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tabRatio="894" activeTab="0"/>
  </bookViews>
  <sheets>
    <sheet name="Příjmy a Výdaje " sheetId="1" r:id="rId1"/>
    <sheet name="Příjmy " sheetId="2" r:id="rId2"/>
    <sheet name="Daňové příjmy" sheetId="3" r:id="rId3"/>
    <sheet name="Ost.daně=Místní popl." sheetId="4" r:id="rId4"/>
    <sheet name="Nedaňové příjmy" sheetId="5" r:id="rId5"/>
    <sheet name="Jiné nedaň.příjmy" sheetId="6" r:id="rId6"/>
    <sheet name="Kapitálové příjmy" sheetId="7" r:id="rId7"/>
    <sheet name="Transfery neinvestiční 2.6" sheetId="8" r:id="rId8"/>
    <sheet name="Transfery nein.2.6a" sheetId="9" r:id="rId9"/>
    <sheet name="Transfery investiční" sheetId="10" r:id="rId10"/>
    <sheet name="Výdaje " sheetId="11" r:id="rId11"/>
    <sheet name="Provozní výdaje" sheetId="12" r:id="rId12"/>
    <sheet name="Kapitálové výdaje3.2" sheetId="13" r:id="rId13"/>
    <sheet name="Kapitálové výdaje3.2a" sheetId="14" r:id="rId14"/>
    <sheet name="Financování" sheetId="15" r:id="rId15"/>
  </sheets>
  <definedNames>
    <definedName name="_xlnm.Print_Area" localSheetId="2">'Daňové příjmy'!$A$1:$R$45</definedName>
    <definedName name="_xlnm.Print_Area" localSheetId="14">'Financování'!$A$1:$AD$48</definedName>
    <definedName name="_xlnm.Print_Area" localSheetId="5">'Jiné nedaň.příjmy'!$A$1:$V$46</definedName>
    <definedName name="_xlnm.Print_Area" localSheetId="6">'Kapitálové příjmy'!$A$1:$J$45</definedName>
    <definedName name="_xlnm.Print_Area" localSheetId="12">'Kapitálové výdaje3.2'!$A$1:$R$47</definedName>
    <definedName name="_xlnm.Print_Area" localSheetId="13">'Kapitálové výdaje3.2a'!$A$1:$N$46</definedName>
    <definedName name="_xlnm.Print_Area" localSheetId="4">'Nedaňové příjmy'!$A$1:$Z$47</definedName>
    <definedName name="_xlnm.Print_Area" localSheetId="3">'Ost.daně=Místní popl.'!$A$1:$R$95</definedName>
    <definedName name="_xlnm.Print_Area" localSheetId="11">'Provozní výdaje'!$A$1:$AD$48</definedName>
    <definedName name="_xlnm.Print_Area" localSheetId="1">'Příjmy '!$A$1:$U$45</definedName>
    <definedName name="_xlnm.Print_Area" localSheetId="0">'Příjmy a Výdaje '!$A$1:$U$45</definedName>
    <definedName name="_xlnm.Print_Area" localSheetId="9">'Transfery investiční'!$A$1:$Z$46</definedName>
    <definedName name="_xlnm.Print_Area" localSheetId="8">'Transfery nein.2.6a'!$A$1:$AD$48</definedName>
    <definedName name="_xlnm.Print_Area" localSheetId="7">'Transfery neinvestiční 2.6'!$A$1:$V$46</definedName>
    <definedName name="_xlnm.Print_Area" localSheetId="10">'Výdaje '!$A$1:$K$45</definedName>
  </definedNames>
  <calcPr fullCalcOnLoad="1"/>
</workbook>
</file>

<file path=xl/comments1.xml><?xml version="1.0" encoding="utf-8"?>
<comments xmlns="http://schemas.openxmlformats.org/spreadsheetml/2006/main">
  <authors>
    <author>MMB</author>
  </authors>
  <commentList>
    <comment ref="S2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</t>
        </r>
      </text>
    </comment>
  </commentList>
</comments>
</file>

<file path=xl/comments10.xml><?xml version="1.0" encoding="utf-8"?>
<comments xmlns="http://schemas.openxmlformats.org/spreadsheetml/2006/main">
  <authors>
    <author>MMB</author>
  </authors>
  <commentList>
    <comment ref="E3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44.629.492</t>
        </r>
      </text>
    </comment>
    <comment ref="E2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37.221.552</t>
        </r>
      </text>
    </comment>
    <comment ref="E2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5.355.608</t>
        </r>
      </text>
    </comment>
    <comment ref="E2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2.285.496</t>
        </r>
      </text>
    </comment>
    <comment ref="E29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14.633.508</t>
        </r>
      </text>
    </comment>
    <comment ref="E3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767.547</t>
        </r>
      </text>
    </comment>
    <comment ref="E3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12.850.552</t>
        </r>
      </text>
    </comment>
  </commentList>
</comments>
</file>

<file path=xl/comments11.xml><?xml version="1.0" encoding="utf-8"?>
<comments xmlns="http://schemas.openxmlformats.org/spreadsheetml/2006/main">
  <authors>
    <author>MMB</author>
  </authors>
  <commentList>
    <comment ref="J1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13.589.420</t>
        </r>
      </text>
    </comment>
    <comment ref="J1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+1
6.966.483</t>
        </r>
      </text>
    </comment>
    <comment ref="J4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1.290.458</t>
        </r>
      </text>
    </comment>
    <comment ref="E1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MMB</author>
  </authors>
  <commentList>
    <comment ref="Y3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1.021.516</t>
        </r>
      </text>
    </comment>
    <comment ref="I2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494.528</t>
        </r>
      </text>
    </comment>
    <comment ref="I23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2.029.466</t>
        </r>
      </text>
    </comment>
    <comment ref="Q2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+1
36.820.492</t>
        </r>
      </text>
    </comment>
    <comment ref="Q29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3.686.435</t>
        </r>
      </text>
    </comment>
    <comment ref="Q3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18.670.586</t>
        </r>
      </text>
    </comment>
    <comment ref="I3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1.289.599</t>
        </r>
      </text>
    </comment>
  </commentList>
</comments>
</file>

<file path=xl/comments14.xml><?xml version="1.0" encoding="utf-8"?>
<comments xmlns="http://schemas.openxmlformats.org/spreadsheetml/2006/main">
  <authors>
    <author>MMB</author>
  </authors>
  <commentList>
    <comment ref="I1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1.116.527</t>
        </r>
      </text>
    </comment>
  </commentList>
</comments>
</file>

<file path=xl/comments15.xml><?xml version="1.0" encoding="utf-8"?>
<comments xmlns="http://schemas.openxmlformats.org/spreadsheetml/2006/main">
  <authors>
    <author>MMB</author>
  </authors>
  <commentList>
    <comment ref="B3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8117, 8118
1.264.000.000,-
-1.264.000.000,-</t>
        </r>
      </text>
    </comment>
    <comment ref="B3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8117
24.777.886,89</t>
        </r>
      </text>
    </comment>
    <comment ref="E2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-5.714.536</t>
        </r>
      </text>
    </comment>
    <comment ref="E4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-1.833.497</t>
        </r>
      </text>
    </comment>
    <comment ref="Q3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-6.223.500</t>
        </r>
      </text>
    </comment>
    <comment ref="Q3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-12.695.504</t>
        </r>
      </text>
    </comment>
    <comment ref="E19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685.427</t>
        </r>
      </text>
    </comment>
    <comment ref="Q2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-3.551.504</t>
        </r>
      </text>
    </comment>
    <comment ref="Q3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-4.838.508</t>
        </r>
      </text>
    </comment>
    <comment ref="Q33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-2.439.504</t>
        </r>
      </text>
    </comment>
    <comment ref="U19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+1
2.956.615</t>
        </r>
      </text>
    </comment>
    <comment ref="E2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5.375.438</t>
        </r>
      </text>
    </comment>
  </commentList>
</comments>
</file>

<file path=xl/comments3.xml><?xml version="1.0" encoding="utf-8"?>
<comments xmlns="http://schemas.openxmlformats.org/spreadsheetml/2006/main">
  <authors>
    <author>MMB</author>
  </authors>
  <commentList>
    <comment ref="E2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6.278.459</t>
        </r>
      </text>
    </comment>
    <comment ref="M1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67.534</t>
        </r>
      </text>
    </comment>
    <comment ref="E1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1.701.486</t>
        </r>
      </text>
    </comment>
    <comment ref="Q1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1.026.615</t>
        </r>
      </text>
    </comment>
    <comment ref="W1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706.542</t>
        </r>
      </text>
    </comment>
    <comment ref="I2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6.500</t>
        </r>
      </text>
    </comment>
    <comment ref="W2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138.576</t>
        </r>
      </text>
    </comment>
    <comment ref="E2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+1
1.042.498</t>
        </r>
      </text>
    </comment>
    <comment ref="M31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+1
1.300.423</t>
        </r>
      </text>
    </comment>
    <comment ref="E33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566.596</t>
        </r>
      </text>
    </comment>
    <comment ref="I2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2.600</t>
        </r>
      </text>
    </comment>
    <comment ref="Q3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2.295.410</t>
        </r>
      </text>
    </comment>
    <comment ref="I31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1.500</t>
        </r>
      </text>
    </comment>
    <comment ref="I3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7.600</t>
        </r>
      </text>
    </comment>
    <comment ref="E3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384.489</t>
        </r>
      </text>
    </comment>
    <comment ref="Q13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19.178.413</t>
        </r>
      </text>
    </comment>
    <comment ref="Q19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1.678.504</t>
        </r>
      </text>
    </comment>
    <comment ref="Q2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956.460</t>
        </r>
      </text>
    </comment>
    <comment ref="Q2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137.507</t>
        </r>
      </text>
    </comment>
    <comment ref="Q2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249.557</t>
        </r>
      </text>
    </comment>
    <comment ref="M2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2.157.415</t>
        </r>
      </text>
    </comment>
    <comment ref="Q33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491.527</t>
        </r>
      </text>
    </comment>
    <comment ref="M3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3.457.527</t>
        </r>
      </text>
    </comment>
  </commentList>
</comments>
</file>

<file path=xl/comments4.xml><?xml version="1.0" encoding="utf-8"?>
<comments xmlns="http://schemas.openxmlformats.org/spreadsheetml/2006/main">
  <authors>
    <author>MMB</author>
  </authors>
  <commentList>
    <comment ref="Q21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1.234.511</t>
        </r>
      </text>
    </comment>
    <comment ref="I2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1.100.582</t>
        </r>
      </text>
    </comment>
    <comment ref="I3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90.566</t>
        </r>
      </text>
    </comment>
    <comment ref="E3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9.159.408</t>
        </r>
      </text>
    </comment>
    <comment ref="Q3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3.618.456</t>
        </r>
      </text>
    </comment>
    <comment ref="M6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1.505.443</t>
        </r>
      </text>
    </comment>
    <comment ref="I69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9.544</t>
        </r>
      </text>
    </comment>
    <comment ref="I81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2.492</t>
        </r>
      </text>
    </comment>
    <comment ref="M8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306.504</t>
        </r>
      </text>
    </comment>
    <comment ref="E83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48.521</t>
        </r>
      </text>
    </comment>
    <comment ref="I1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1.714.585</t>
        </r>
      </text>
    </comment>
    <comment ref="I1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387.500</t>
        </r>
      </text>
    </comment>
    <comment ref="I6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35.604</t>
        </r>
      </text>
    </comment>
    <comment ref="Q2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1.126.497</t>
        </r>
      </text>
    </comment>
    <comment ref="E6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5.600</t>
        </r>
      </text>
    </comment>
    <comment ref="I6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155.550</t>
        </r>
      </text>
    </comment>
    <comment ref="M2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540</t>
        </r>
      </text>
    </comment>
    <comment ref="Q2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+1
1.901.459</t>
        </r>
      </text>
    </comment>
    <comment ref="M73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5.188.588</t>
        </r>
      </text>
    </comment>
    <comment ref="Q2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+1
1.319.463</t>
        </r>
      </text>
    </comment>
    <comment ref="I7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20.588</t>
        </r>
      </text>
    </comment>
    <comment ref="I31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529.505</t>
        </r>
      </text>
    </comment>
    <comment ref="Q3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749.446</t>
        </r>
      </text>
    </comment>
    <comment ref="I8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116.457</t>
        </r>
      </text>
    </comment>
    <comment ref="I3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97.651</t>
        </r>
      </text>
    </comment>
    <comment ref="M83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6.080.469</t>
        </r>
      </text>
    </comment>
    <comment ref="Q3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551.504</t>
        </r>
      </text>
    </comment>
    <comment ref="M1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+1
69.315</t>
        </r>
      </text>
    </comment>
  </commentList>
</comments>
</file>

<file path=xl/comments5.xml><?xml version="1.0" encoding="utf-8"?>
<comments xmlns="http://schemas.openxmlformats.org/spreadsheetml/2006/main">
  <authors>
    <author>MMB</author>
  </authors>
  <commentList>
    <comment ref="U2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297.501</t>
        </r>
      </text>
    </comment>
    <comment ref="I1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990.512</t>
        </r>
      </text>
    </comment>
    <comment ref="E2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6.012.561</t>
        </r>
      </text>
    </comment>
    <comment ref="U1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15.500</t>
        </r>
      </text>
    </comment>
    <comment ref="M33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5.163.539</t>
        </r>
      </text>
    </comment>
    <comment ref="M3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5.047.405</t>
        </r>
      </text>
    </comment>
    <comment ref="E39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333.503</t>
        </r>
      </text>
    </comment>
    <comment ref="M1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5.511.486</t>
        </r>
      </text>
    </comment>
    <comment ref="U1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45.600</t>
        </r>
      </text>
    </comment>
    <comment ref="E21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+1
5.552.439</t>
        </r>
      </text>
    </comment>
    <comment ref="M2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1.758.546</t>
        </r>
      </text>
    </comment>
    <comment ref="U23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500</t>
        </r>
      </text>
    </comment>
    <comment ref="M2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1.486.574</t>
        </r>
      </text>
    </comment>
    <comment ref="Q2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313.570</t>
        </r>
      </text>
    </comment>
    <comment ref="Q2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48.493</t>
        </r>
      </text>
    </comment>
    <comment ref="E2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10.407</t>
        </r>
      </text>
    </comment>
    <comment ref="Q3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659.425</t>
        </r>
      </text>
    </comment>
    <comment ref="Q3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323.500</t>
        </r>
      </text>
    </comment>
    <comment ref="E3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61.541</t>
        </r>
      </text>
    </comment>
    <comment ref="Q3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1.603.529</t>
        </r>
      </text>
    </comment>
    <comment ref="M38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619.549</t>
        </r>
      </text>
    </comment>
    <comment ref="E4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212.459</t>
        </r>
      </text>
    </comment>
  </commentList>
</comments>
</file>

<file path=xl/comments6.xml><?xml version="1.0" encoding="utf-8"?>
<comments xmlns="http://schemas.openxmlformats.org/spreadsheetml/2006/main">
  <authors>
    <author>MMB</author>
  </authors>
  <commentList>
    <comment ref="M2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4.660</t>
        </r>
      </text>
    </comment>
    <comment ref="Q2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279.580</t>
        </r>
      </text>
    </comment>
    <comment ref="U3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141.666</t>
        </r>
      </text>
    </comment>
    <comment ref="Q40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174.570</t>
        </r>
      </text>
    </comment>
    <comment ref="I3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150.695</t>
        </r>
      </text>
    </comment>
    <comment ref="Q1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3.646.515</t>
        </r>
      </text>
    </comment>
    <comment ref="Q35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275.499</t>
        </r>
      </text>
    </comment>
    <comment ref="I39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1.472</t>
        </r>
      </text>
    </comment>
  </commentList>
</comments>
</file>

<file path=xl/comments8.xml><?xml version="1.0" encoding="utf-8"?>
<comments xmlns="http://schemas.openxmlformats.org/spreadsheetml/2006/main">
  <authors>
    <author>MMB</author>
  </authors>
  <commentList>
    <comment ref="M2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990.534</t>
        </r>
      </text>
    </comment>
    <comment ref="M21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1.013.466</t>
        </r>
      </text>
    </comment>
    <comment ref="Q2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16.094.556</t>
        </r>
      </text>
    </comment>
    <comment ref="Q3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847.601</t>
        </r>
      </text>
    </comment>
  </commentList>
</comments>
</file>

<file path=xl/comments9.xml><?xml version="1.0" encoding="utf-8"?>
<comments xmlns="http://schemas.openxmlformats.org/spreadsheetml/2006/main">
  <authors>
    <author>MMB</author>
  </authors>
  <commentList>
    <comment ref="M3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Útěchov74.000
Jehnice 95.000</t>
        </r>
      </text>
    </comment>
    <comment ref="M39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Ivanovice 105 + Ořešín 58 + 12/2008 Medlánky 7</t>
        </r>
      </text>
    </comment>
    <comment ref="M2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Maloměřice</t>
        </r>
      </text>
    </comment>
    <comment ref="K12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ZJ 024+028+od jiných MČ (z výd. jiných MČ p. 5321)</t>
        </r>
      </text>
    </comment>
    <comment ref="E3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20.495.438</t>
        </r>
      </text>
    </comment>
    <comment ref="M34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179.438</t>
        </r>
      </text>
    </comment>
    <comment ref="Q27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+1
534.494</t>
        </r>
      </text>
    </comment>
    <comment ref="E3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12.404.535</t>
        </r>
      </text>
    </comment>
    <comment ref="M36" authorId="0">
      <text>
        <r>
          <rPr>
            <b/>
            <sz val="8"/>
            <rFont val="Tahoma"/>
            <family val="0"/>
          </rPr>
          <t>MMB:</t>
        </r>
        <r>
          <rPr>
            <sz val="8"/>
            <rFont val="Tahoma"/>
            <family val="0"/>
          </rPr>
          <t xml:space="preserve">
-1
333.535</t>
        </r>
      </text>
    </comment>
  </commentList>
</comments>
</file>

<file path=xl/sharedStrings.xml><?xml version="1.0" encoding="utf-8"?>
<sst xmlns="http://schemas.openxmlformats.org/spreadsheetml/2006/main" count="1490" uniqueCount="340">
  <si>
    <t>Schválený</t>
  </si>
  <si>
    <t>rozpočet</t>
  </si>
  <si>
    <t>%</t>
  </si>
  <si>
    <t>v tis. Kč</t>
  </si>
  <si>
    <t>Upravený</t>
  </si>
  <si>
    <t>Skutečnost</t>
  </si>
  <si>
    <t xml:space="preserve"> Brno - střed  </t>
  </si>
  <si>
    <t xml:space="preserve"> Bohunice</t>
  </si>
  <si>
    <t xml:space="preserve"> Starý Lískovec</t>
  </si>
  <si>
    <t xml:space="preserve"> Nový Lískovec</t>
  </si>
  <si>
    <t xml:space="preserve"> Kohoutovice</t>
  </si>
  <si>
    <t xml:space="preserve"> Bosonohy</t>
  </si>
  <si>
    <t xml:space="preserve"> Źabovřesky</t>
  </si>
  <si>
    <t xml:space="preserve"> Bystrc</t>
  </si>
  <si>
    <t xml:space="preserve"> Kníničky</t>
  </si>
  <si>
    <t xml:space="preserve"> Komín</t>
  </si>
  <si>
    <t xml:space="preserve"> Jundrov</t>
  </si>
  <si>
    <t xml:space="preserve"> Źebětín</t>
  </si>
  <si>
    <t xml:space="preserve"> Brno - sever</t>
  </si>
  <si>
    <t xml:space="preserve"> Židenice</t>
  </si>
  <si>
    <t xml:space="preserve"> Černovice</t>
  </si>
  <si>
    <t xml:space="preserve"> Brno - jih</t>
  </si>
  <si>
    <t xml:space="preserve"> Vinohrady</t>
  </si>
  <si>
    <t xml:space="preserve"> Líšeň</t>
  </si>
  <si>
    <t xml:space="preserve"> Slatina</t>
  </si>
  <si>
    <t xml:space="preserve"> Tuřany</t>
  </si>
  <si>
    <t xml:space="preserve"> Chrlice</t>
  </si>
  <si>
    <t xml:space="preserve"> Královo Pole</t>
  </si>
  <si>
    <t xml:space="preserve"> Medlánky</t>
  </si>
  <si>
    <t xml:space="preserve"> Ivanovice</t>
  </si>
  <si>
    <t xml:space="preserve"> Jehnice</t>
  </si>
  <si>
    <t xml:space="preserve"> Ořešín</t>
  </si>
  <si>
    <t xml:space="preserve"> Útěchov</t>
  </si>
  <si>
    <t xml:space="preserve">       Celkem  :</t>
  </si>
  <si>
    <t>součet</t>
  </si>
  <si>
    <t xml:space="preserve"> </t>
  </si>
  <si>
    <t xml:space="preserve">            Celkem   : </t>
  </si>
  <si>
    <t>obyvatel</t>
  </si>
  <si>
    <t xml:space="preserve">    příjmy</t>
  </si>
  <si>
    <t xml:space="preserve">     výdaje</t>
  </si>
  <si>
    <t>zůst.fin.prost.</t>
  </si>
  <si>
    <t xml:space="preserve">       </t>
  </si>
  <si>
    <t xml:space="preserve">  str. 2</t>
  </si>
  <si>
    <t xml:space="preserve">  </t>
  </si>
  <si>
    <t xml:space="preserve">                                v tis. Kč</t>
  </si>
  <si>
    <t xml:space="preserve">         Městská</t>
  </si>
  <si>
    <t xml:space="preserve">     část</t>
  </si>
  <si>
    <t xml:space="preserve">               v tis. Kč</t>
  </si>
  <si>
    <t>k UR</t>
  </si>
  <si>
    <t>SR</t>
  </si>
  <si>
    <t>UR</t>
  </si>
  <si>
    <t>Daňové příjmy</t>
  </si>
  <si>
    <t>P O Č E T</t>
  </si>
  <si>
    <t>Nedaňové příjmy</t>
  </si>
  <si>
    <t>P Ř Í J M Y</t>
  </si>
  <si>
    <t>Kapitálové příjmy</t>
  </si>
  <si>
    <t>V Ý D A J E</t>
  </si>
  <si>
    <t>P Ř Í J M Y    a     V Ý D A J E</t>
  </si>
  <si>
    <t xml:space="preserve"> Maloměřice a Obřany</t>
  </si>
  <si>
    <t>Účto</t>
  </si>
  <si>
    <t>P Ř Í J M Y    celkem</t>
  </si>
  <si>
    <t>V Ý D A J E    celkem</t>
  </si>
  <si>
    <t>S A L D O   příjmů  a výdajů</t>
  </si>
  <si>
    <t xml:space="preserve">  str. 1</t>
  </si>
  <si>
    <t>D A Ň O V É      P Ř Í J M Y</t>
  </si>
  <si>
    <t>str. 2.1</t>
  </si>
  <si>
    <t>Daň z příjmů právnických osob za obce</t>
  </si>
  <si>
    <t>Poplatky a odvody v oblasti životního  prostředí</t>
  </si>
  <si>
    <t>Ostatní odvody z vybraných služeb a činností</t>
  </si>
  <si>
    <t>Správní poplatky</t>
  </si>
  <si>
    <t xml:space="preserve">  Městská</t>
  </si>
  <si>
    <t>Rozpočet</t>
  </si>
  <si>
    <t>Skuteč.</t>
  </si>
  <si>
    <t>část</t>
  </si>
  <si>
    <t>schválený</t>
  </si>
  <si>
    <t>upravený</t>
  </si>
  <si>
    <t>p. 1122</t>
  </si>
  <si>
    <t>p. 133x</t>
  </si>
  <si>
    <t>p. 135x</t>
  </si>
  <si>
    <t>p. 1361</t>
  </si>
  <si>
    <t xml:space="preserve"> Brno - střed</t>
  </si>
  <si>
    <t xml:space="preserve">Celkem: </t>
  </si>
  <si>
    <t>OSTATNÍ  DANĚ  A  POPLATKY  z  vybraných  činností  a  služeb</t>
  </si>
  <si>
    <t xml:space="preserve">  Místní  poplatky</t>
  </si>
  <si>
    <t xml:space="preserve"> z toho  :</t>
  </si>
  <si>
    <t>c e l k e m</t>
  </si>
  <si>
    <t>ze  psů</t>
  </si>
  <si>
    <t>za lázeňský nebo rekreační pobyt</t>
  </si>
  <si>
    <t>za užívání veřejného prostranství</t>
  </si>
  <si>
    <t>p. 1341</t>
  </si>
  <si>
    <t>p. 1342</t>
  </si>
  <si>
    <t>p. 1343</t>
  </si>
  <si>
    <t xml:space="preserve"> Řečkovice - M. Hora</t>
  </si>
  <si>
    <t xml:space="preserve">   </t>
  </si>
  <si>
    <t xml:space="preserve"> (pokračování)</t>
  </si>
  <si>
    <t>z ubytovací kapacity</t>
  </si>
  <si>
    <t>zrušené místní poplatky</t>
  </si>
  <si>
    <t>p. 1344</t>
  </si>
  <si>
    <t>p. 1345</t>
  </si>
  <si>
    <t>p. 1347</t>
  </si>
  <si>
    <t>p. 1349</t>
  </si>
  <si>
    <t xml:space="preserve"> Maloměřice - Obřany</t>
  </si>
  <si>
    <t>N E D A Ň O V É      P Ř Í J M Y</t>
  </si>
  <si>
    <t xml:space="preserve">      </t>
  </si>
  <si>
    <t xml:space="preserve">                str. 2.3</t>
  </si>
  <si>
    <t>Příjmy z vlastní činnosti</t>
  </si>
  <si>
    <t>Odvody přebytků organizací</t>
  </si>
  <si>
    <t>Příjmy  z  pronájmu  majetku</t>
  </si>
  <si>
    <t>Přijaté sankční platby</t>
  </si>
  <si>
    <t>schvál.</t>
  </si>
  <si>
    <t>uprav.</t>
  </si>
  <si>
    <t>p. 211x</t>
  </si>
  <si>
    <t>p. 212x</t>
  </si>
  <si>
    <t>p. 213x</t>
  </si>
  <si>
    <t>p. 2141</t>
  </si>
  <si>
    <t>p. 221x</t>
  </si>
  <si>
    <t>p.211x</t>
  </si>
  <si>
    <t>p.212x</t>
  </si>
  <si>
    <t>p.213x</t>
  </si>
  <si>
    <t>p.221x</t>
  </si>
  <si>
    <t>p. 2223</t>
  </si>
  <si>
    <t xml:space="preserve">                                  </t>
  </si>
  <si>
    <t xml:space="preserve">      Plnění rozpočtů městských částí   za   leden  -  březen      2 0 0 0</t>
  </si>
  <si>
    <t xml:space="preserve">      O S T A T N Í    N E D A Ň O V É    P Ř Í J M Y</t>
  </si>
  <si>
    <t xml:space="preserve">             str. 2.4</t>
  </si>
  <si>
    <t xml:space="preserve">           v tis. Kč</t>
  </si>
  <si>
    <t>p.2441</t>
  </si>
  <si>
    <t>p.231x</t>
  </si>
  <si>
    <t>p.232x</t>
  </si>
  <si>
    <t>mimo p.2441</t>
  </si>
  <si>
    <t>Jiné nedaňové příjmy</t>
  </si>
  <si>
    <t xml:space="preserve">  z toho:</t>
  </si>
  <si>
    <t xml:space="preserve">              Jiné nedaňové příjmy</t>
  </si>
  <si>
    <t xml:space="preserve">        Městská</t>
  </si>
  <si>
    <t xml:space="preserve">                        celkem</t>
  </si>
  <si>
    <t xml:space="preserve">Příjmy z prodeje krátkodobého </t>
  </si>
  <si>
    <t>Ostatní  nedaňové  příjmy</t>
  </si>
  <si>
    <t>Přijaté  splátky půjčených prostředků</t>
  </si>
  <si>
    <t xml:space="preserve">   Příjmy z fin. vypořádání r. 1999</t>
  </si>
  <si>
    <t xml:space="preserve">     Přijaté splátky půjček od MČ</t>
  </si>
  <si>
    <t xml:space="preserve">               c e l k e m</t>
  </si>
  <si>
    <t xml:space="preserve">                Příjmy  z  prodeje  </t>
  </si>
  <si>
    <t xml:space="preserve">       Ostatní  nedaňové  příjmy</t>
  </si>
  <si>
    <t xml:space="preserve">          Přijaté  splátky  půjček</t>
  </si>
  <si>
    <t xml:space="preserve">    část</t>
  </si>
  <si>
    <t>Ostatní přijaté vratky transferů</t>
  </si>
  <si>
    <t>a drobného dlouhod. majetku</t>
  </si>
  <si>
    <t xml:space="preserve">          neinvestičního  majetku</t>
  </si>
  <si>
    <t xml:space="preserve">        ostatní</t>
  </si>
  <si>
    <t xml:space="preserve">      Rozpočet</t>
  </si>
  <si>
    <t>k 31. 3.</t>
  </si>
  <si>
    <t>ze SR</t>
  </si>
  <si>
    <t>p. 2229</t>
  </si>
  <si>
    <t>p. 231x</t>
  </si>
  <si>
    <t>p. 232x</t>
  </si>
  <si>
    <t>p. 24xx</t>
  </si>
  <si>
    <t xml:space="preserve"> Maloměřice-Obřany</t>
  </si>
  <si>
    <t xml:space="preserve"> Řečkovice-M.Hora</t>
  </si>
  <si>
    <t>K A P I T Á L O V É      P Ř Í J M Y</t>
  </si>
  <si>
    <t xml:space="preserve">                 str. 2.5</t>
  </si>
  <si>
    <t>O s t a t n í   k a p i t á l o v é  p ř í j m y   ( dary,  příspěvky )</t>
  </si>
  <si>
    <t xml:space="preserve">          Městská </t>
  </si>
  <si>
    <t xml:space="preserve">             část</t>
  </si>
  <si>
    <t>k  UR</t>
  </si>
  <si>
    <t>p. 311x</t>
  </si>
  <si>
    <t>p. 312x</t>
  </si>
  <si>
    <t xml:space="preserve">            str. 2.6 </t>
  </si>
  <si>
    <t xml:space="preserve">                     v tis. Kč</t>
  </si>
  <si>
    <t xml:space="preserve"> z všeobecné pokladní správy  SR</t>
  </si>
  <si>
    <t xml:space="preserve">ze SR v rámci souhr. dotačního vztahu </t>
  </si>
  <si>
    <t>ze státních fondů</t>
  </si>
  <si>
    <t>p. 4111</t>
  </si>
  <si>
    <t>p. 4112</t>
  </si>
  <si>
    <t>p. 4113</t>
  </si>
  <si>
    <t>p. 4116</t>
  </si>
  <si>
    <t>z   t o h o :</t>
  </si>
  <si>
    <t>od města</t>
  </si>
  <si>
    <t>p. 4121</t>
  </si>
  <si>
    <t>v tis.Kč</t>
  </si>
  <si>
    <t>p. 4131</t>
  </si>
  <si>
    <t xml:space="preserve">Převody z vlastních fondů </t>
  </si>
  <si>
    <t>Převody z ostatních vlastních fondů</t>
  </si>
  <si>
    <t>hospodářské činnosti</t>
  </si>
  <si>
    <t xml:space="preserve"> pokladní správy stát. rozpočtu</t>
  </si>
  <si>
    <t>účto</t>
  </si>
  <si>
    <t>p. 4132</t>
  </si>
  <si>
    <t>p. 4211</t>
  </si>
  <si>
    <t>p. 4213</t>
  </si>
  <si>
    <t>p. 4221</t>
  </si>
  <si>
    <t xml:space="preserve"> Brno-sever</t>
  </si>
  <si>
    <t xml:space="preserve">         B Ě Ž N É   V Ý D A J E</t>
  </si>
  <si>
    <t xml:space="preserve">                      str. 3.1</t>
  </si>
  <si>
    <t xml:space="preserve">                  str. 3.1</t>
  </si>
  <si>
    <t xml:space="preserve">                    v tis. Kč</t>
  </si>
  <si>
    <t xml:space="preserve"> z  toho  :</t>
  </si>
  <si>
    <t>Úroky vlastní</t>
  </si>
  <si>
    <t>Neinv.transfery příspěv.a podob. org.</t>
  </si>
  <si>
    <t>Ostatní  běžné  výdaje</t>
  </si>
  <si>
    <t>p. 5141</t>
  </si>
  <si>
    <t>p. 5366</t>
  </si>
  <si>
    <t>p. 5321</t>
  </si>
  <si>
    <t>p. 533x</t>
  </si>
  <si>
    <t>zbýv. tř. 5</t>
  </si>
  <si>
    <t>tř.5</t>
  </si>
  <si>
    <t>p.5141</t>
  </si>
  <si>
    <t>p.5366</t>
  </si>
  <si>
    <t>p.5321</t>
  </si>
  <si>
    <t>p.533x</t>
  </si>
  <si>
    <t>zbýv.pol.tř.5</t>
  </si>
  <si>
    <t>s tab. Př. A výd.</t>
  </si>
  <si>
    <t>tř. 5</t>
  </si>
  <si>
    <t>K A P I T Á L O V É      V Ý D A J E</t>
  </si>
  <si>
    <t>str. 3.2</t>
  </si>
  <si>
    <t>K A P I T Á L O V É     V Ý D A J E</t>
  </si>
  <si>
    <t>str. 3.2a</t>
  </si>
  <si>
    <t>zbýv. tř.6</t>
  </si>
  <si>
    <t>J I N É    N E D A Ň O V É    P Ř Í J M Y</t>
  </si>
  <si>
    <t xml:space="preserve">žáků MŠ a ZŠ </t>
  </si>
  <si>
    <t>P ř í j m y   z   p r o d e j e    d l o u h o d o b é h o    m a j e t k u  (kromě drobného)</t>
  </si>
  <si>
    <t xml:space="preserve">   O D  K R A J E</t>
  </si>
  <si>
    <t>p. 4122</t>
  </si>
  <si>
    <t xml:space="preserve">str. 2.7 </t>
  </si>
  <si>
    <t>p. 4222</t>
  </si>
  <si>
    <t>Příjmy z úroků a realiz. fin. majetku</t>
  </si>
  <si>
    <t>z toho:</t>
  </si>
  <si>
    <t>p. 4216</t>
  </si>
  <si>
    <t>Ostatní investiční přijaté</t>
  </si>
  <si>
    <t>p. 6351</t>
  </si>
  <si>
    <t xml:space="preserve">Fond bytové výstavby </t>
  </si>
  <si>
    <t>p. 8115</t>
  </si>
  <si>
    <t>p. 8123</t>
  </si>
  <si>
    <t xml:space="preserve">Změna stavu krátkodobých prostředků </t>
  </si>
  <si>
    <t>na bankovních účtech</t>
  </si>
  <si>
    <t xml:space="preserve">Dlouhodobě přijaté půjčené </t>
  </si>
  <si>
    <t>prostředky od města</t>
  </si>
  <si>
    <t>prostředky - úvěry</t>
  </si>
  <si>
    <t>Uhrazené splátky dlouhodobých</t>
  </si>
  <si>
    <t>přijatých prostředků od města</t>
  </si>
  <si>
    <t>přijatých prostředků - úvěry</t>
  </si>
  <si>
    <t>p. 8124</t>
  </si>
  <si>
    <t>p.214x</t>
  </si>
  <si>
    <t>řízení likvidity - výdaje</t>
  </si>
  <si>
    <t xml:space="preserve"> Žabovřesky</t>
  </si>
  <si>
    <t>F I N A N C O VÁ N Í</t>
  </si>
  <si>
    <t xml:space="preserve"> Žebětín</t>
  </si>
  <si>
    <t>z Národního fondu</t>
  </si>
  <si>
    <t>od jiných MČ, od jiných obcí</t>
  </si>
  <si>
    <t>OD  MEZINÁRODNÍCH INSTITUCÍ</t>
  </si>
  <si>
    <t>p. 4152</t>
  </si>
  <si>
    <t>str. 2.6a</t>
  </si>
  <si>
    <t>Přijaté transfery</t>
  </si>
  <si>
    <t>T R A N S F E R Y     -     neinvestiční</t>
  </si>
  <si>
    <t>N   E  I  N  V  E  S  T  I  Č  N  Í     P  Ř  I   J  A  T  É     T  R  A  N  S  F  E  R  Y              O D   O B C Í</t>
  </si>
  <si>
    <t>Investiční přijaté transfery z všeob.</t>
  </si>
  <si>
    <t>transfery ze státního rozpočtu</t>
  </si>
  <si>
    <t>Investiční přijaté transfery od krajů</t>
  </si>
  <si>
    <t>Neinv. transfery obcím, MČ a MMB</t>
  </si>
  <si>
    <t>ostatní transfery ze SR</t>
  </si>
  <si>
    <t>Městská</t>
  </si>
  <si>
    <t>skutečnost</t>
  </si>
  <si>
    <t>p. 2226</t>
  </si>
  <si>
    <t>nedaňové příjmy celkem</t>
  </si>
  <si>
    <t>kapitálové příjmy celkem</t>
  </si>
  <si>
    <t>Vlastní příjmy celkem</t>
  </si>
  <si>
    <t>1 + 2 + 3</t>
  </si>
  <si>
    <t xml:space="preserve">Investiční přijaté transfery </t>
  </si>
  <si>
    <t>Přijaté transfery celkem</t>
  </si>
  <si>
    <t>bez konsol. Položek</t>
  </si>
  <si>
    <t>konsolidace</t>
  </si>
  <si>
    <t>sestava</t>
  </si>
  <si>
    <t>bez konsol položek</t>
  </si>
  <si>
    <t>transfery</t>
  </si>
  <si>
    <t>vč. konsol. pol.</t>
  </si>
  <si>
    <t>příjmy</t>
  </si>
  <si>
    <t>běžné výdaje</t>
  </si>
  <si>
    <t>p. 5366 mezi krajem a obcemi</t>
  </si>
  <si>
    <t>dle sestavy</t>
  </si>
  <si>
    <t>daňové příjmy</t>
  </si>
  <si>
    <t>kontrola</t>
  </si>
  <si>
    <t>financování celkem</t>
  </si>
  <si>
    <t>čerpání</t>
  </si>
  <si>
    <t>bilance</t>
  </si>
  <si>
    <t>nedaňové</t>
  </si>
  <si>
    <t>ze sestavy</t>
  </si>
  <si>
    <t xml:space="preserve">s ORG </t>
  </si>
  <si>
    <t>p. 4118</t>
  </si>
  <si>
    <t>Fin. prostředky městských částí (účet 231 + 236)</t>
  </si>
  <si>
    <t>Příspěvky  přísp.  organizacím</t>
  </si>
  <si>
    <t>Převod investorství z rozpočtu města</t>
  </si>
  <si>
    <t xml:space="preserve">Ostatní  kapitálové  výdaje  </t>
  </si>
  <si>
    <t xml:space="preserve">                str. 4</t>
  </si>
  <si>
    <t>P R O V O Z N Í     V Ý D A J E</t>
  </si>
  <si>
    <t>P  R  O  V  O  Z  N  Í        V  Ý  D  A  J  E</t>
  </si>
  <si>
    <t>K  A  P  I  T  Á  L  O  V  É       V  Ý  D  A  J  E</t>
  </si>
  <si>
    <t xml:space="preserve">N     E     I     N     V     E     S     T     I     Č     N     Í                    P     Ř     I     J     A     T     É                    T     R    A    N    S    F    E    R    Y </t>
  </si>
  <si>
    <t>T R A N S F E R Y - převody z vlastních fondů a investiční transfery</t>
  </si>
  <si>
    <t>Investiční transfery od města</t>
  </si>
  <si>
    <t>p. 5367 s městem</t>
  </si>
  <si>
    <t>zbývající pol. třídy 5</t>
  </si>
  <si>
    <t>k 30.6.2008</t>
  </si>
  <si>
    <t>rok   2008</t>
  </si>
  <si>
    <t>(včetně FV 2007)</t>
  </si>
  <si>
    <t>DPPO - rozpočtová činnost</t>
  </si>
  <si>
    <t>VHČ</t>
  </si>
  <si>
    <t>řízení likvidity - příjmy</t>
  </si>
  <si>
    <t xml:space="preserve">       Finanční vypořádání r. 2007</t>
  </si>
  <si>
    <t>Výdaje z fin. vypořádání r.2007</t>
  </si>
  <si>
    <t>k 30.9.</t>
  </si>
  <si>
    <t>kontrola k 31.3.2006</t>
  </si>
  <si>
    <t>za vstupného</t>
  </si>
  <si>
    <t>za provozovaný výherní hrací automat</t>
  </si>
  <si>
    <t>p. 4240</t>
  </si>
  <si>
    <t>ze státních finančních aktiv</t>
  </si>
  <si>
    <t>+ 8117, - 8118</t>
  </si>
  <si>
    <t>k 31. 12. 2008</t>
  </si>
  <si>
    <t>PLNĚNÍ  ROZPOČTŮ  MĚSTSKÝCH   ČASTÍ  LEDEN  - PROSINEC 2008</t>
  </si>
  <si>
    <t>k 31.12.2008</t>
  </si>
  <si>
    <t>PLNĚNÍ  ROZPOČTŮ  MĚSTSKÝCH   ČASTÍ  LEDEN - PROSINEC 2008</t>
  </si>
  <si>
    <t>ČERPÁNÍ ROZPOČTŮ  MĚSTSKÝCH   ČASTÍ  LEDEN  - PROSINEC 2008</t>
  </si>
  <si>
    <t>k 31.12.</t>
  </si>
  <si>
    <t>k 31.12. 2008</t>
  </si>
  <si>
    <t>kontrola k 31.12.2008</t>
  </si>
  <si>
    <t>k 31. 12.</t>
  </si>
  <si>
    <t>PLNĚNÍ  ROZPOČTŮ  MĚSTSKÝCH   ČÁSTÍ  LEDEN - PROSINEC 2008</t>
  </si>
  <si>
    <t>ČERPÁNÍ  ROZPOČTŮ  MĚSTSKÝCH   ČASTÍ  LEDEN - PROSINEC 2008</t>
  </si>
  <si>
    <t xml:space="preserve"> Řečkovice a Mokrá Hora</t>
  </si>
  <si>
    <t xml:space="preserve"> Řečkovice  a Mokrá Hora</t>
  </si>
  <si>
    <t>Neinvestiční přijaté transfery ze státních finančních aktiv</t>
  </si>
  <si>
    <t>p. 4160</t>
  </si>
  <si>
    <t>ÚZ 773 (včetně FV 2007)</t>
  </si>
  <si>
    <t>str. 2.2</t>
  </si>
  <si>
    <t>str. 2.2.a</t>
  </si>
  <si>
    <t xml:space="preserve">              str. 3   </t>
  </si>
  <si>
    <t xml:space="preserve"> T  R A N S F E R Y    -     neinvestiční     -     2. část</t>
  </si>
  <si>
    <t xml:space="preserve">Aktivní operace </t>
  </si>
  <si>
    <t>p. 8117, 8127</t>
  </si>
  <si>
    <t>p. 8118, 8128</t>
  </si>
  <si>
    <t>bez označení</t>
  </si>
  <si>
    <t>Limitky poskytnuté ze státního rozpočtu, rozpočtu státních fondů a Jihomoravského kraje v r. 2008</t>
  </si>
  <si>
    <t>Investiční transfery z rozpočtu města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</si>
</sst>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#,##0.0_);\(#,##0.0\)"/>
    <numFmt numFmtId="167" formatCode="#,##0.0"/>
    <numFmt numFmtId="168" formatCode="0.0E+00"/>
    <numFmt numFmtId="169" formatCode="0;[Red]0"/>
    <numFmt numFmtId="170" formatCode="0.0"/>
    <numFmt numFmtId="171" formatCode="#,##0_ ;\-#,##0\ "/>
    <numFmt numFmtId="172" formatCode="#,##0\ _K_č"/>
    <numFmt numFmtId="173" formatCode="0.E+00"/>
    <numFmt numFmtId="174" formatCode="#,##0;[Red]#,##0"/>
    <numFmt numFmtId="175" formatCode="#,##0.0_ ;\-#,##0.0\ "/>
    <numFmt numFmtId="176" formatCode="0.00_ ;\-0.00\ "/>
    <numFmt numFmtId="177" formatCode="0_ ;\-0\ "/>
    <numFmt numFmtId="178" formatCode="##,#0_;#,##0"/>
    <numFmt numFmtId="179" formatCode="#,##0.000"/>
    <numFmt numFmtId="180" formatCode="0.000"/>
  </numFmts>
  <fonts count="40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Times New Roman CE"/>
      <family val="1"/>
    </font>
    <font>
      <b/>
      <sz val="18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2"/>
      <name val="Times New Roman CE"/>
      <family val="1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b/>
      <sz val="13"/>
      <name val="Times New Roman CE"/>
      <family val="1"/>
    </font>
    <font>
      <sz val="13"/>
      <name val="Times New Roman CE"/>
      <family val="1"/>
    </font>
    <font>
      <b/>
      <sz val="18"/>
      <name val="Arial CE"/>
      <family val="2"/>
    </font>
    <font>
      <b/>
      <sz val="16"/>
      <name val="Arial CE"/>
      <family val="2"/>
    </font>
    <font>
      <u val="single"/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u val="single"/>
      <sz val="12"/>
      <name val="Arial CE"/>
      <family val="2"/>
    </font>
    <font>
      <u val="single"/>
      <sz val="14"/>
      <name val="Times New Roman CE"/>
      <family val="1"/>
    </font>
    <font>
      <sz val="10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sz val="11.5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2"/>
      <name val="Times New Roman"/>
      <family val="1"/>
    </font>
    <font>
      <sz val="11"/>
      <name val="Times New Roman CE"/>
      <family val="1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1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2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13">
    <xf numFmtId="0" fontId="0" fillId="0" borderId="0" xfId="0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165" fontId="6" fillId="0" borderId="0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8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8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8" fillId="0" borderId="5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Continuous"/>
    </xf>
    <xf numFmtId="0" fontId="8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3" fontId="30" fillId="3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3" fontId="6" fillId="3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Continuous"/>
    </xf>
    <xf numFmtId="166" fontId="6" fillId="0" borderId="0" xfId="0" applyNumberFormat="1" applyFont="1" applyFill="1" applyAlignment="1" applyProtection="1">
      <alignment/>
      <protection/>
    </xf>
    <xf numFmtId="166" fontId="6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horizontal="center"/>
    </xf>
    <xf numFmtId="0" fontId="8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166" fontId="8" fillId="0" borderId="26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Alignment="1">
      <alignment/>
    </xf>
    <xf numFmtId="0" fontId="8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65" fontId="6" fillId="0" borderId="29" xfId="0" applyNumberFormat="1" applyFont="1" applyFill="1" applyBorder="1" applyAlignment="1" applyProtection="1">
      <alignment/>
      <protection/>
    </xf>
    <xf numFmtId="165" fontId="6" fillId="0" borderId="30" xfId="0" applyNumberFormat="1" applyFont="1" applyFill="1" applyBorder="1" applyAlignment="1" applyProtection="1">
      <alignment/>
      <protection/>
    </xf>
    <xf numFmtId="166" fontId="8" fillId="0" borderId="31" xfId="0" applyNumberFormat="1" applyFont="1" applyFill="1" applyBorder="1" applyAlignment="1" applyProtection="1">
      <alignment/>
      <protection/>
    </xf>
    <xf numFmtId="0" fontId="8" fillId="0" borderId="28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165" fontId="6" fillId="0" borderId="35" xfId="0" applyNumberFormat="1" applyFont="1" applyFill="1" applyBorder="1" applyAlignment="1" applyProtection="1">
      <alignment/>
      <protection/>
    </xf>
    <xf numFmtId="166" fontId="8" fillId="0" borderId="36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6" fontId="8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165" fontId="6" fillId="0" borderId="10" xfId="0" applyNumberFormat="1" applyFont="1" applyFill="1" applyBorder="1" applyAlignment="1" applyProtection="1">
      <alignment/>
      <protection/>
    </xf>
    <xf numFmtId="165" fontId="6" fillId="0" borderId="11" xfId="0" applyNumberFormat="1" applyFont="1" applyFill="1" applyBorder="1" applyAlignment="1" applyProtection="1">
      <alignment/>
      <protection/>
    </xf>
    <xf numFmtId="166" fontId="8" fillId="0" borderId="12" xfId="0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Continuous"/>
    </xf>
    <xf numFmtId="3" fontId="6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centerContinuous"/>
    </xf>
    <xf numFmtId="165" fontId="0" fillId="0" borderId="0" xfId="0" applyNumberFormat="1" applyFill="1" applyAlignment="1">
      <alignment/>
    </xf>
    <xf numFmtId="0" fontId="6" fillId="0" borderId="37" xfId="0" applyFont="1" applyFill="1" applyBorder="1" applyAlignment="1">
      <alignment/>
    </xf>
    <xf numFmtId="3" fontId="6" fillId="0" borderId="30" xfId="0" applyNumberFormat="1" applyFont="1" applyFill="1" applyBorder="1" applyAlignment="1" applyProtection="1">
      <alignment/>
      <protection/>
    </xf>
    <xf numFmtId="0" fontId="0" fillId="0" borderId="38" xfId="0" applyFill="1" applyBorder="1" applyAlignment="1">
      <alignment/>
    </xf>
    <xf numFmtId="0" fontId="0" fillId="0" borderId="0" xfId="0" applyFill="1" applyAlignment="1">
      <alignment horizontal="right"/>
    </xf>
    <xf numFmtId="3" fontId="28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6" fillId="0" borderId="39" xfId="0" applyNumberFormat="1" applyFont="1" applyFill="1" applyBorder="1" applyAlignment="1" applyProtection="1">
      <alignment/>
      <protection/>
    </xf>
    <xf numFmtId="165" fontId="6" fillId="0" borderId="40" xfId="0" applyNumberFormat="1" applyFont="1" applyFill="1" applyBorder="1" applyAlignment="1" applyProtection="1">
      <alignment/>
      <protection/>
    </xf>
    <xf numFmtId="165" fontId="6" fillId="0" borderId="4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0" xfId="0" applyFill="1" applyAlignment="1">
      <alignment horizontal="center"/>
    </xf>
    <xf numFmtId="3" fontId="0" fillId="3" borderId="0" xfId="0" applyNumberFormat="1" applyFill="1" applyBorder="1" applyAlignment="1">
      <alignment/>
    </xf>
    <xf numFmtId="0" fontId="0" fillId="3" borderId="20" xfId="0" applyFill="1" applyBorder="1" applyAlignment="1">
      <alignment/>
    </xf>
    <xf numFmtId="3" fontId="0" fillId="3" borderId="0" xfId="0" applyNumberFormat="1" applyFill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165" fontId="0" fillId="3" borderId="2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10" fillId="0" borderId="4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8" fillId="0" borderId="44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Continuous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1" fillId="0" borderId="59" xfId="0" applyFont="1" applyFill="1" applyBorder="1" applyAlignment="1">
      <alignment horizontal="center"/>
    </xf>
    <xf numFmtId="0" fontId="11" fillId="0" borderId="59" xfId="0" applyFont="1" applyFill="1" applyBorder="1" applyAlignment="1">
      <alignment/>
    </xf>
    <xf numFmtId="3" fontId="0" fillId="0" borderId="59" xfId="0" applyNumberFormat="1" applyFill="1" applyBorder="1" applyAlignment="1">
      <alignment/>
    </xf>
    <xf numFmtId="0" fontId="8" fillId="0" borderId="5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" fontId="0" fillId="0" borderId="60" xfId="0" applyNumberFormat="1" applyFill="1" applyBorder="1" applyAlignment="1">
      <alignment/>
    </xf>
    <xf numFmtId="0" fontId="5" fillId="0" borderId="6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centerContinuous"/>
      <protection hidden="1"/>
    </xf>
    <xf numFmtId="0" fontId="8" fillId="0" borderId="64" xfId="0" applyFont="1" applyFill="1" applyBorder="1" applyAlignment="1">
      <alignment horizontal="centerContinuous"/>
    </xf>
    <xf numFmtId="0" fontId="6" fillId="0" borderId="65" xfId="0" applyFont="1" applyFill="1" applyBorder="1" applyAlignment="1">
      <alignment horizontal="centerContinuous"/>
    </xf>
    <xf numFmtId="0" fontId="8" fillId="0" borderId="66" xfId="0" applyFont="1" applyFill="1" applyBorder="1" applyAlignment="1">
      <alignment horizontal="centerContinuous"/>
    </xf>
    <xf numFmtId="0" fontId="6" fillId="0" borderId="66" xfId="0" applyFont="1" applyFill="1" applyBorder="1" applyAlignment="1">
      <alignment horizontal="centerContinuous"/>
    </xf>
    <xf numFmtId="0" fontId="37" fillId="0" borderId="0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10" fillId="0" borderId="0" xfId="0" applyNumberFormat="1" applyFont="1" applyFill="1" applyBorder="1" applyAlignment="1" applyProtection="1">
      <alignment/>
      <protection/>
    </xf>
    <xf numFmtId="166" fontId="11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3" fillId="0" borderId="69" xfId="0" applyFont="1" applyFill="1" applyBorder="1" applyAlignment="1">
      <alignment/>
    </xf>
    <xf numFmtId="0" fontId="0" fillId="0" borderId="71" xfId="0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0" xfId="0" applyFill="1" applyBorder="1" applyAlignment="1">
      <alignment horizontal="centerContinuous" shrinkToFit="1"/>
    </xf>
    <xf numFmtId="0" fontId="6" fillId="0" borderId="0" xfId="0" applyFont="1" applyFill="1" applyBorder="1" applyAlignment="1">
      <alignment horizontal="centerContinuous" shrinkToFit="1"/>
    </xf>
    <xf numFmtId="0" fontId="0" fillId="0" borderId="0" xfId="0" applyFont="1" applyFill="1" applyAlignment="1">
      <alignment/>
    </xf>
    <xf numFmtId="0" fontId="3" fillId="0" borderId="72" xfId="0" applyFont="1" applyFill="1" applyBorder="1" applyAlignment="1">
      <alignment horizontal="left"/>
    </xf>
    <xf numFmtId="0" fontId="0" fillId="0" borderId="73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0" fillId="0" borderId="73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72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3" fillId="0" borderId="73" xfId="0" applyFont="1" applyFill="1" applyBorder="1" applyAlignment="1">
      <alignment horizontal="left"/>
    </xf>
    <xf numFmtId="0" fontId="3" fillId="0" borderId="74" xfId="0" applyFont="1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 horizontal="center"/>
    </xf>
    <xf numFmtId="0" fontId="3" fillId="0" borderId="75" xfId="0" applyFont="1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4" xfId="0" applyFill="1" applyBorder="1" applyAlignment="1">
      <alignment/>
    </xf>
    <xf numFmtId="0" fontId="3" fillId="0" borderId="7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Continuous"/>
    </xf>
    <xf numFmtId="0" fontId="6" fillId="0" borderId="25" xfId="0" applyFont="1" applyFill="1" applyBorder="1" applyAlignment="1">
      <alignment horizontal="centerContinuous"/>
    </xf>
    <xf numFmtId="0" fontId="8" fillId="0" borderId="77" xfId="0" applyFont="1" applyFill="1" applyBorder="1" applyAlignment="1">
      <alignment horizontal="centerContinuous"/>
    </xf>
    <xf numFmtId="0" fontId="6" fillId="0" borderId="78" xfId="0" applyFont="1" applyFill="1" applyBorder="1" applyAlignment="1">
      <alignment horizontal="centerContinuous"/>
    </xf>
    <xf numFmtId="0" fontId="6" fillId="0" borderId="7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80" xfId="0" applyFont="1" applyFill="1" applyBorder="1" applyAlignment="1">
      <alignment/>
    </xf>
    <xf numFmtId="0" fontId="0" fillId="0" borderId="81" xfId="0" applyFill="1" applyBorder="1" applyAlignment="1">
      <alignment/>
    </xf>
    <xf numFmtId="0" fontId="3" fillId="0" borderId="82" xfId="0" applyFont="1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3" fillId="0" borderId="8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166" fontId="0" fillId="0" borderId="0" xfId="0" applyNumberFormat="1" applyFill="1" applyAlignment="1" applyProtection="1">
      <alignment/>
      <protection/>
    </xf>
    <xf numFmtId="0" fontId="19" fillId="0" borderId="0" xfId="0" applyFont="1" applyFill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6" fillId="0" borderId="90" xfId="0" applyFont="1" applyFill="1" applyBorder="1" applyAlignment="1">
      <alignment horizontal="centerContinuous"/>
    </xf>
    <xf numFmtId="0" fontId="10" fillId="0" borderId="9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42" xfId="0" applyFill="1" applyBorder="1" applyAlignment="1">
      <alignment/>
    </xf>
    <xf numFmtId="0" fontId="8" fillId="0" borderId="94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0" fillId="0" borderId="20" xfId="0" applyFill="1" applyBorder="1" applyAlignment="1">
      <alignment horizontal="centerContinuous"/>
    </xf>
    <xf numFmtId="0" fontId="0" fillId="0" borderId="42" xfId="0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8" fillId="0" borderId="97" xfId="0" applyFont="1" applyFill="1" applyBorder="1" applyAlignment="1">
      <alignment horizontal="centerContinuous"/>
    </xf>
    <xf numFmtId="0" fontId="6" fillId="0" borderId="98" xfId="0" applyFont="1" applyFill="1" applyBorder="1" applyAlignment="1">
      <alignment horizontal="centerContinuous"/>
    </xf>
    <xf numFmtId="0" fontId="8" fillId="0" borderId="65" xfId="0" applyFont="1" applyFill="1" applyBorder="1" applyAlignment="1">
      <alignment horizontal="centerContinuous"/>
    </xf>
    <xf numFmtId="0" fontId="6" fillId="0" borderId="99" xfId="0" applyFont="1" applyFill="1" applyBorder="1" applyAlignment="1">
      <alignment horizontal="centerContinuous"/>
    </xf>
    <xf numFmtId="0" fontId="8" fillId="0" borderId="10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8" fillId="0" borderId="101" xfId="0" applyFont="1" applyFill="1" applyBorder="1" applyAlignment="1">
      <alignment horizontal="centerContinuous"/>
    </xf>
    <xf numFmtId="0" fontId="8" fillId="0" borderId="81" xfId="0" applyFont="1" applyFill="1" applyBorder="1" applyAlignment="1">
      <alignment horizontal="centerContinuous"/>
    </xf>
    <xf numFmtId="0" fontId="6" fillId="0" borderId="77" xfId="0" applyFont="1" applyFill="1" applyBorder="1" applyAlignment="1">
      <alignment horizontal="centerContinuous"/>
    </xf>
    <xf numFmtId="0" fontId="8" fillId="0" borderId="78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66" fontId="15" fillId="0" borderId="0" xfId="0" applyNumberFormat="1" applyFont="1" applyFill="1" applyBorder="1" applyAlignment="1" applyProtection="1">
      <alignment horizontal="left"/>
      <protection/>
    </xf>
    <xf numFmtId="166" fontId="15" fillId="0" borderId="0" xfId="0" applyNumberFormat="1" applyFont="1" applyFill="1" applyBorder="1" applyAlignment="1" applyProtection="1">
      <alignment horizontal="right"/>
      <protection/>
    </xf>
    <xf numFmtId="166" fontId="15" fillId="0" borderId="0" xfId="0" applyNumberFormat="1" applyFont="1" applyFill="1" applyBorder="1" applyAlignment="1" applyProtection="1">
      <alignment/>
      <protection/>
    </xf>
    <xf numFmtId="0" fontId="8" fillId="0" borderId="25" xfId="0" applyFont="1" applyFill="1" applyBorder="1" applyAlignment="1">
      <alignment horizontal="center"/>
    </xf>
    <xf numFmtId="0" fontId="8" fillId="0" borderId="103" xfId="0" applyFont="1" applyFill="1" applyBorder="1" applyAlignment="1">
      <alignment horizontal="centerContinuous"/>
    </xf>
    <xf numFmtId="0" fontId="6" fillId="0" borderId="81" xfId="0" applyFont="1" applyFill="1" applyBorder="1" applyAlignment="1">
      <alignment horizontal="centerContinuous"/>
    </xf>
    <xf numFmtId="0" fontId="6" fillId="0" borderId="104" xfId="0" applyFont="1" applyFill="1" applyBorder="1" applyAlignment="1">
      <alignment horizontal="centerContinuous"/>
    </xf>
    <xf numFmtId="0" fontId="0" fillId="0" borderId="103" xfId="0" applyFill="1" applyBorder="1" applyAlignment="1">
      <alignment/>
    </xf>
    <xf numFmtId="0" fontId="0" fillId="0" borderId="105" xfId="0" applyFill="1" applyBorder="1" applyAlignment="1">
      <alignment/>
    </xf>
    <xf numFmtId="0" fontId="0" fillId="0" borderId="106" xfId="0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8" fillId="0" borderId="10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6" fillId="0" borderId="108" xfId="0" applyFont="1" applyFill="1" applyBorder="1" applyAlignment="1">
      <alignment/>
    </xf>
    <xf numFmtId="0" fontId="6" fillId="0" borderId="107" xfId="0" applyFont="1" applyFill="1" applyBorder="1" applyAlignment="1">
      <alignment/>
    </xf>
    <xf numFmtId="0" fontId="8" fillId="0" borderId="108" xfId="0" applyFont="1" applyFill="1" applyBorder="1" applyAlignment="1">
      <alignment horizontal="centerContinuous"/>
    </xf>
    <xf numFmtId="0" fontId="8" fillId="0" borderId="107" xfId="0" applyFont="1" applyFill="1" applyBorder="1" applyAlignment="1">
      <alignment horizontal="centerContinuous"/>
    </xf>
    <xf numFmtId="0" fontId="6" fillId="0" borderId="107" xfId="0" applyFont="1" applyFill="1" applyBorder="1" applyAlignment="1">
      <alignment horizontal="centerContinuous"/>
    </xf>
    <xf numFmtId="0" fontId="6" fillId="0" borderId="109" xfId="0" applyFont="1" applyFill="1" applyBorder="1" applyAlignment="1">
      <alignment horizontal="centerContinuous"/>
    </xf>
    <xf numFmtId="0" fontId="8" fillId="0" borderId="107" xfId="0" applyFont="1" applyFill="1" applyBorder="1" applyAlignment="1">
      <alignment/>
    </xf>
    <xf numFmtId="0" fontId="6" fillId="0" borderId="109" xfId="0" applyFont="1" applyFill="1" applyBorder="1" applyAlignment="1">
      <alignment/>
    </xf>
    <xf numFmtId="0" fontId="8" fillId="0" borderId="109" xfId="0" applyFont="1" applyFill="1" applyBorder="1" applyAlignment="1">
      <alignment/>
    </xf>
    <xf numFmtId="0" fontId="8" fillId="0" borderId="110" xfId="0" applyFont="1" applyFill="1" applyBorder="1" applyAlignment="1">
      <alignment horizontal="left"/>
    </xf>
    <xf numFmtId="0" fontId="8" fillId="0" borderId="111" xfId="0" applyFont="1" applyFill="1" applyBorder="1" applyAlignment="1">
      <alignment horizontal="centerContinuous"/>
    </xf>
    <xf numFmtId="0" fontId="8" fillId="0" borderId="112" xfId="0" applyFont="1" applyFill="1" applyBorder="1" applyAlignment="1">
      <alignment horizontal="centerContinuous"/>
    </xf>
    <xf numFmtId="0" fontId="6" fillId="0" borderId="112" xfId="0" applyFont="1" applyFill="1" applyBorder="1" applyAlignment="1">
      <alignment horizontal="centerContinuous"/>
    </xf>
    <xf numFmtId="0" fontId="6" fillId="0" borderId="113" xfId="0" applyFont="1" applyFill="1" applyBorder="1" applyAlignment="1">
      <alignment horizontal="centerContinuous"/>
    </xf>
    <xf numFmtId="0" fontId="0" fillId="0" borderId="112" xfId="0" applyFill="1" applyBorder="1" applyAlignment="1">
      <alignment horizontal="centerContinuous"/>
    </xf>
    <xf numFmtId="0" fontId="6" fillId="0" borderId="110" xfId="0" applyFont="1" applyFill="1" applyBorder="1" applyAlignment="1">
      <alignment/>
    </xf>
    <xf numFmtId="0" fontId="8" fillId="0" borderId="114" xfId="0" applyFont="1" applyFill="1" applyBorder="1" applyAlignment="1">
      <alignment horizontal="centerContinuous"/>
    </xf>
    <xf numFmtId="0" fontId="6" fillId="0" borderId="115" xfId="0" applyFont="1" applyFill="1" applyBorder="1" applyAlignment="1">
      <alignment horizontal="centerContinuous"/>
    </xf>
    <xf numFmtId="0" fontId="8" fillId="0" borderId="116" xfId="0" applyFont="1" applyFill="1" applyBorder="1" applyAlignment="1">
      <alignment horizontal="center"/>
    </xf>
    <xf numFmtId="0" fontId="6" fillId="0" borderId="117" xfId="0" applyFont="1" applyFill="1" applyBorder="1" applyAlignment="1">
      <alignment horizontal="center"/>
    </xf>
    <xf numFmtId="0" fontId="6" fillId="0" borderId="118" xfId="0" applyFont="1" applyFill="1" applyBorder="1" applyAlignment="1">
      <alignment horizontal="center"/>
    </xf>
    <xf numFmtId="0" fontId="8" fillId="0" borderId="119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Continuous"/>
    </xf>
    <xf numFmtId="0" fontId="6" fillId="0" borderId="120" xfId="0" applyFont="1" applyFill="1" applyBorder="1" applyAlignment="1">
      <alignment horizontal="center"/>
    </xf>
    <xf numFmtId="0" fontId="6" fillId="0" borderId="121" xfId="0" applyFont="1" applyFill="1" applyBorder="1" applyAlignment="1">
      <alignment/>
    </xf>
    <xf numFmtId="0" fontId="8" fillId="0" borderId="59" xfId="0" applyFont="1" applyFill="1" applyBorder="1" applyAlignment="1">
      <alignment horizontal="left"/>
    </xf>
    <xf numFmtId="0" fontId="8" fillId="0" borderId="122" xfId="0" applyFont="1" applyFill="1" applyBorder="1" applyAlignment="1">
      <alignment horizontal="center"/>
    </xf>
    <xf numFmtId="0" fontId="8" fillId="0" borderId="123" xfId="0" applyFont="1" applyFill="1" applyBorder="1" applyAlignment="1">
      <alignment horizontal="center"/>
    </xf>
    <xf numFmtId="14" fontId="8" fillId="0" borderId="123" xfId="0" applyNumberFormat="1" applyFont="1" applyFill="1" applyBorder="1" applyAlignment="1">
      <alignment horizontal="center"/>
    </xf>
    <xf numFmtId="0" fontId="8" fillId="0" borderId="124" xfId="0" applyFont="1" applyFill="1" applyBorder="1" applyAlignment="1">
      <alignment horizontal="center"/>
    </xf>
    <xf numFmtId="0" fontId="8" fillId="0" borderId="125" xfId="0" applyFont="1" applyFill="1" applyBorder="1" applyAlignment="1">
      <alignment horizontal="center"/>
    </xf>
    <xf numFmtId="0" fontId="8" fillId="0" borderId="126" xfId="0" applyFont="1" applyFill="1" applyBorder="1" applyAlignment="1">
      <alignment horizontal="center"/>
    </xf>
    <xf numFmtId="0" fontId="8" fillId="0" borderId="127" xfId="0" applyFont="1" applyFill="1" applyBorder="1" applyAlignment="1">
      <alignment horizontal="center"/>
    </xf>
    <xf numFmtId="0" fontId="8" fillId="0" borderId="128" xfId="0" applyFont="1" applyFill="1" applyBorder="1" applyAlignment="1">
      <alignment horizontal="center"/>
    </xf>
    <xf numFmtId="167" fontId="11" fillId="0" borderId="0" xfId="0" applyNumberFormat="1" applyFont="1" applyFill="1" applyAlignment="1">
      <alignment/>
    </xf>
    <xf numFmtId="0" fontId="0" fillId="0" borderId="5" xfId="0" applyFill="1" applyBorder="1" applyAlignment="1">
      <alignment/>
    </xf>
    <xf numFmtId="2" fontId="6" fillId="0" borderId="0" xfId="0" applyNumberFormat="1" applyFont="1" applyFill="1" applyAlignment="1">
      <alignment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8" fillId="0" borderId="22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96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65" fontId="6" fillId="0" borderId="28" xfId="0" applyNumberFormat="1" applyFont="1" applyFill="1" applyBorder="1" applyAlignment="1" applyProtection="1">
      <alignment/>
      <protection/>
    </xf>
    <xf numFmtId="3" fontId="0" fillId="4" borderId="0" xfId="0" applyNumberFormat="1" applyFill="1" applyAlignment="1">
      <alignment/>
    </xf>
    <xf numFmtId="0" fontId="0" fillId="4" borderId="0" xfId="0" applyFill="1" applyAlignment="1">
      <alignment/>
    </xf>
    <xf numFmtId="171" fontId="6" fillId="0" borderId="30" xfId="0" applyNumberFormat="1" applyFont="1" applyFill="1" applyBorder="1" applyAlignment="1" applyProtection="1">
      <alignment/>
      <protection/>
    </xf>
    <xf numFmtId="170" fontId="8" fillId="0" borderId="129" xfId="0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>
      <alignment/>
    </xf>
    <xf numFmtId="165" fontId="37" fillId="0" borderId="20" xfId="0" applyNumberFormat="1" applyFont="1" applyFill="1" applyBorder="1" applyAlignment="1">
      <alignment/>
    </xf>
    <xf numFmtId="165" fontId="37" fillId="0" borderId="20" xfId="0" applyNumberFormat="1" applyFont="1" applyFill="1" applyBorder="1" applyAlignment="1" applyProtection="1">
      <alignment/>
      <protection/>
    </xf>
    <xf numFmtId="172" fontId="37" fillId="0" borderId="20" xfId="0" applyNumberFormat="1" applyFont="1" applyFill="1" applyBorder="1" applyAlignment="1">
      <alignment/>
    </xf>
    <xf numFmtId="3" fontId="37" fillId="0" borderId="0" xfId="0" applyNumberFormat="1" applyFont="1" applyFill="1" applyBorder="1" applyAlignment="1" applyProtection="1">
      <alignment horizontal="right"/>
      <protection/>
    </xf>
    <xf numFmtId="171" fontId="37" fillId="0" borderId="20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37" fillId="0" borderId="20" xfId="0" applyFont="1" applyFill="1" applyBorder="1" applyAlignment="1">
      <alignment/>
    </xf>
    <xf numFmtId="170" fontId="10" fillId="0" borderId="129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171" fontId="6" fillId="0" borderId="35" xfId="0" applyNumberFormat="1" applyFont="1" applyFill="1" applyBorder="1" applyAlignment="1" applyProtection="1">
      <alignment/>
      <protection/>
    </xf>
    <xf numFmtId="170" fontId="0" fillId="0" borderId="36" xfId="0" applyNumberFormat="1" applyFill="1" applyBorder="1" applyAlignment="1">
      <alignment/>
    </xf>
    <xf numFmtId="171" fontId="6" fillId="0" borderId="11" xfId="0" applyNumberFormat="1" applyFont="1" applyFill="1" applyBorder="1" applyAlignment="1" applyProtection="1">
      <alignment/>
      <protection/>
    </xf>
    <xf numFmtId="170" fontId="8" fillId="0" borderId="12" xfId="0" applyNumberFormat="1" applyFont="1" applyFill="1" applyBorder="1" applyAlignment="1" applyProtection="1">
      <alignment/>
      <protection/>
    </xf>
    <xf numFmtId="165" fontId="6" fillId="0" borderId="24" xfId="0" applyNumberFormat="1" applyFont="1" applyFill="1" applyBorder="1" applyAlignment="1" applyProtection="1">
      <alignment horizontal="center"/>
      <protection/>
    </xf>
    <xf numFmtId="165" fontId="6" fillId="0" borderId="25" xfId="0" applyNumberFormat="1" applyFont="1" applyFill="1" applyBorder="1" applyAlignment="1" applyProtection="1">
      <alignment/>
      <protection/>
    </xf>
    <xf numFmtId="165" fontId="6" fillId="0" borderId="29" xfId="0" applyNumberFormat="1" applyFont="1" applyFill="1" applyBorder="1" applyAlignment="1" applyProtection="1">
      <alignment horizontal="right"/>
      <protection/>
    </xf>
    <xf numFmtId="165" fontId="6" fillId="0" borderId="30" xfId="0" applyNumberFormat="1" applyFont="1" applyFill="1" applyBorder="1" applyAlignment="1" applyProtection="1">
      <alignment horizontal="right"/>
      <protection/>
    </xf>
    <xf numFmtId="3" fontId="6" fillId="0" borderId="1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65" fontId="6" fillId="0" borderId="10" xfId="0" applyNumberFormat="1" applyFont="1" applyFill="1" applyBorder="1" applyAlignment="1" applyProtection="1">
      <alignment horizontal="right"/>
      <protection/>
    </xf>
    <xf numFmtId="165" fontId="6" fillId="0" borderId="11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ill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15" fillId="0" borderId="29" xfId="0" applyNumberFormat="1" applyFont="1" applyFill="1" applyBorder="1" applyAlignment="1" applyProtection="1">
      <alignment/>
      <protection/>
    </xf>
    <xf numFmtId="1" fontId="6" fillId="0" borderId="30" xfId="0" applyNumberFormat="1" applyFont="1" applyFill="1" applyBorder="1" applyAlignment="1" applyProtection="1">
      <alignment/>
      <protection/>
    </xf>
    <xf numFmtId="0" fontId="6" fillId="0" borderId="29" xfId="0" applyFont="1" applyFill="1" applyBorder="1" applyAlignment="1">
      <alignment/>
    </xf>
    <xf numFmtId="166" fontId="20" fillId="0" borderId="0" xfId="0" applyNumberFormat="1" applyFont="1" applyFill="1" applyBorder="1" applyAlignment="1" applyProtection="1">
      <alignment/>
      <protection/>
    </xf>
    <xf numFmtId="165" fontId="0" fillId="0" borderId="43" xfId="0" applyNumberFormat="1" applyFont="1" applyFill="1" applyBorder="1" applyAlignment="1">
      <alignment/>
    </xf>
    <xf numFmtId="165" fontId="6" fillId="0" borderId="4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Fill="1" applyAlignment="1">
      <alignment/>
    </xf>
    <xf numFmtId="0" fontId="3" fillId="0" borderId="130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165" fontId="0" fillId="0" borderId="80" xfId="0" applyNumberFormat="1" applyFont="1" applyFill="1" applyBorder="1" applyAlignment="1" applyProtection="1">
      <alignment horizontal="right"/>
      <protection/>
    </xf>
    <xf numFmtId="165" fontId="0" fillId="0" borderId="31" xfId="0" applyNumberFormat="1" applyFont="1" applyFill="1" applyBorder="1" applyAlignment="1" applyProtection="1">
      <alignment/>
      <protection/>
    </xf>
    <xf numFmtId="165" fontId="0" fillId="0" borderId="132" xfId="0" applyNumberFormat="1" applyFont="1" applyFill="1" applyBorder="1" applyAlignment="1" applyProtection="1">
      <alignment/>
      <protection/>
    </xf>
    <xf numFmtId="166" fontId="20" fillId="0" borderId="133" xfId="0" applyNumberFormat="1" applyFont="1" applyFill="1" applyBorder="1" applyAlignment="1" applyProtection="1">
      <alignment/>
      <protection/>
    </xf>
    <xf numFmtId="165" fontId="0" fillId="0" borderId="134" xfId="0" applyNumberFormat="1" applyFont="1" applyFill="1" applyBorder="1" applyAlignment="1" applyProtection="1">
      <alignment/>
      <protection/>
    </xf>
    <xf numFmtId="165" fontId="0" fillId="0" borderId="31" xfId="0" applyNumberFormat="1" applyFont="1" applyFill="1" applyBorder="1" applyAlignment="1" applyProtection="1">
      <alignment/>
      <protection/>
    </xf>
    <xf numFmtId="165" fontId="0" fillId="0" borderId="132" xfId="0" applyNumberFormat="1" applyFont="1" applyFill="1" applyBorder="1" applyAlignment="1" applyProtection="1">
      <alignment/>
      <protection/>
    </xf>
    <xf numFmtId="166" fontId="3" fillId="0" borderId="133" xfId="0" applyNumberFormat="1" applyFont="1" applyFill="1" applyBorder="1" applyAlignment="1" applyProtection="1">
      <alignment/>
      <protection/>
    </xf>
    <xf numFmtId="165" fontId="0" fillId="0" borderId="130" xfId="0" applyNumberFormat="1" applyFont="1" applyFill="1" applyBorder="1" applyAlignment="1" applyProtection="1">
      <alignment/>
      <protection/>
    </xf>
    <xf numFmtId="165" fontId="0" fillId="0" borderId="30" xfId="0" applyNumberFormat="1" applyFont="1" applyFill="1" applyBorder="1" applyAlignment="1" applyProtection="1">
      <alignment/>
      <protection/>
    </xf>
    <xf numFmtId="165" fontId="0" fillId="0" borderId="135" xfId="0" applyNumberFormat="1" applyFont="1" applyFill="1" applyBorder="1" applyAlignment="1" applyProtection="1">
      <alignment/>
      <protection/>
    </xf>
    <xf numFmtId="165" fontId="0" fillId="0" borderId="43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8" fillId="0" borderId="37" xfId="0" applyFont="1" applyFill="1" applyBorder="1" applyAlignment="1">
      <alignment horizontal="centerContinuous"/>
    </xf>
    <xf numFmtId="0" fontId="6" fillId="0" borderId="38" xfId="0" applyFont="1" applyFill="1" applyBorder="1" applyAlignment="1">
      <alignment horizontal="centerContinuous"/>
    </xf>
    <xf numFmtId="165" fontId="6" fillId="0" borderId="24" xfId="0" applyNumberFormat="1" applyFont="1" applyFill="1" applyBorder="1" applyAlignment="1" applyProtection="1">
      <alignment/>
      <protection/>
    </xf>
    <xf numFmtId="166" fontId="15" fillId="0" borderId="36" xfId="0" applyNumberFormat="1" applyFont="1" applyFill="1" applyBorder="1" applyAlignment="1" applyProtection="1">
      <alignment/>
      <protection/>
    </xf>
    <xf numFmtId="166" fontId="15" fillId="0" borderId="0" xfId="0" applyNumberFormat="1" applyFont="1" applyFill="1" applyAlignment="1" applyProtection="1">
      <alignment/>
      <protection/>
    </xf>
    <xf numFmtId="166" fontId="15" fillId="0" borderId="31" xfId="0" applyNumberFormat="1" applyFont="1" applyFill="1" applyBorder="1" applyAlignment="1" applyProtection="1">
      <alignment/>
      <protection/>
    </xf>
    <xf numFmtId="0" fontId="3" fillId="0" borderId="131" xfId="0" applyFont="1" applyFill="1" applyBorder="1" applyAlignment="1">
      <alignment/>
    </xf>
    <xf numFmtId="165" fontId="0" fillId="0" borderId="134" xfId="0" applyNumberFormat="1" applyFill="1" applyBorder="1" applyAlignment="1" applyProtection="1">
      <alignment/>
      <protection/>
    </xf>
    <xf numFmtId="165" fontId="0" fillId="0" borderId="31" xfId="0" applyNumberFormat="1" applyFill="1" applyBorder="1" applyAlignment="1" applyProtection="1">
      <alignment/>
      <protection/>
    </xf>
    <xf numFmtId="165" fontId="0" fillId="0" borderId="132" xfId="0" applyNumberFormat="1" applyFill="1" applyBorder="1" applyAlignment="1" applyProtection="1">
      <alignment/>
      <protection/>
    </xf>
    <xf numFmtId="165" fontId="0" fillId="0" borderId="130" xfId="0" applyNumberFormat="1" applyFill="1" applyBorder="1" applyAlignment="1" applyProtection="1">
      <alignment/>
      <protection/>
    </xf>
    <xf numFmtId="165" fontId="0" fillId="0" borderId="30" xfId="0" applyNumberFormat="1" applyFill="1" applyBorder="1" applyAlignment="1" applyProtection="1">
      <alignment/>
      <protection/>
    </xf>
    <xf numFmtId="165" fontId="0" fillId="0" borderId="135" xfId="0" applyNumberFormat="1" applyFill="1" applyBorder="1" applyAlignment="1" applyProtection="1">
      <alignment/>
      <protection/>
    </xf>
    <xf numFmtId="166" fontId="8" fillId="0" borderId="129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165" fontId="6" fillId="0" borderId="2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ill="1" applyBorder="1" applyAlignment="1">
      <alignment/>
    </xf>
    <xf numFmtId="166" fontId="8" fillId="0" borderId="136" xfId="0" applyNumberFormat="1" applyFont="1" applyFill="1" applyBorder="1" applyAlignment="1" applyProtection="1">
      <alignment/>
      <protection/>
    </xf>
    <xf numFmtId="0" fontId="0" fillId="0" borderId="137" xfId="0" applyFill="1" applyBorder="1" applyAlignment="1">
      <alignment/>
    </xf>
    <xf numFmtId="0" fontId="0" fillId="0" borderId="138" xfId="0" applyFill="1" applyBorder="1" applyAlignment="1">
      <alignment/>
    </xf>
    <xf numFmtId="0" fontId="0" fillId="3" borderId="96" xfId="0" applyFill="1" applyBorder="1" applyAlignment="1">
      <alignment horizontal="centerContinuous"/>
    </xf>
    <xf numFmtId="0" fontId="31" fillId="3" borderId="126" xfId="0" applyFont="1" applyFill="1" applyBorder="1" applyAlignment="1">
      <alignment horizontal="center"/>
    </xf>
    <xf numFmtId="0" fontId="31" fillId="3" borderId="127" xfId="0" applyFont="1" applyFill="1" applyBorder="1" applyAlignment="1">
      <alignment horizontal="center"/>
    </xf>
    <xf numFmtId="0" fontId="31" fillId="3" borderId="128" xfId="0" applyFont="1" applyFill="1" applyBorder="1" applyAlignment="1">
      <alignment horizontal="center"/>
    </xf>
    <xf numFmtId="165" fontId="6" fillId="0" borderId="101" xfId="0" applyNumberFormat="1" applyFont="1" applyFill="1" applyBorder="1" applyAlignment="1" applyProtection="1">
      <alignment horizontal="right"/>
      <protection/>
    </xf>
    <xf numFmtId="1" fontId="16" fillId="0" borderId="29" xfId="0" applyNumberFormat="1" applyFont="1" applyFill="1" applyBorder="1" applyAlignment="1" applyProtection="1">
      <alignment/>
      <protection/>
    </xf>
    <xf numFmtId="165" fontId="6" fillId="0" borderId="78" xfId="0" applyNumberFormat="1" applyFont="1" applyFill="1" applyBorder="1" applyAlignment="1" applyProtection="1">
      <alignment horizontal="right"/>
      <protection/>
    </xf>
    <xf numFmtId="165" fontId="6" fillId="0" borderId="27" xfId="0" applyNumberFormat="1" applyFont="1" applyFill="1" applyBorder="1" applyAlignment="1" applyProtection="1">
      <alignment/>
      <protection/>
    </xf>
    <xf numFmtId="165" fontId="6" fillId="0" borderId="139" xfId="0" applyNumberFormat="1" applyFont="1" applyFill="1" applyBorder="1" applyAlignment="1" applyProtection="1">
      <alignment/>
      <protection/>
    </xf>
    <xf numFmtId="167" fontId="8" fillId="0" borderId="31" xfId="0" applyNumberFormat="1" applyFont="1" applyFill="1" applyBorder="1" applyAlignment="1" applyProtection="1">
      <alignment/>
      <protection/>
    </xf>
    <xf numFmtId="171" fontId="0" fillId="0" borderId="31" xfId="0" applyNumberFormat="1" applyFill="1" applyBorder="1" applyAlignment="1" applyProtection="1">
      <alignment/>
      <protection/>
    </xf>
    <xf numFmtId="171" fontId="0" fillId="0" borderId="135" xfId="0" applyNumberFormat="1" applyFill="1" applyBorder="1" applyAlignment="1" applyProtection="1">
      <alignment/>
      <protection/>
    </xf>
    <xf numFmtId="165" fontId="6" fillId="0" borderId="101" xfId="0" applyNumberFormat="1" applyFont="1" applyFill="1" applyBorder="1" applyAlignment="1" applyProtection="1">
      <alignment/>
      <protection/>
    </xf>
    <xf numFmtId="165" fontId="6" fillId="0" borderId="78" xfId="0" applyNumberFormat="1" applyFont="1" applyFill="1" applyBorder="1" applyAlignment="1" applyProtection="1">
      <alignment/>
      <protection/>
    </xf>
    <xf numFmtId="1" fontId="6" fillId="0" borderId="51" xfId="0" applyNumberFormat="1" applyFont="1" applyFill="1" applyBorder="1" applyAlignment="1" applyProtection="1">
      <alignment/>
      <protection/>
    </xf>
    <xf numFmtId="0" fontId="0" fillId="0" borderId="31" xfId="0" applyFont="1" applyFill="1" applyBorder="1" applyAlignment="1">
      <alignment/>
    </xf>
    <xf numFmtId="0" fontId="8" fillId="0" borderId="103" xfId="0" applyFont="1" applyFill="1" applyBorder="1" applyAlignment="1">
      <alignment/>
    </xf>
    <xf numFmtId="0" fontId="6" fillId="0" borderId="8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165" fontId="6" fillId="0" borderId="34" xfId="0" applyNumberFormat="1" applyFont="1" applyFill="1" applyBorder="1" applyAlignment="1" applyProtection="1">
      <alignment/>
      <protection/>
    </xf>
    <xf numFmtId="166" fontId="8" fillId="0" borderId="19" xfId="0" applyNumberFormat="1" applyFont="1" applyFill="1" applyBorder="1" applyAlignment="1" applyProtection="1">
      <alignment/>
      <protection/>
    </xf>
    <xf numFmtId="166" fontId="15" fillId="0" borderId="34" xfId="0" applyNumberFormat="1" applyFont="1" applyFill="1" applyBorder="1" applyAlignment="1" applyProtection="1">
      <alignment/>
      <protection/>
    </xf>
    <xf numFmtId="1" fontId="6" fillId="0" borderId="35" xfId="0" applyNumberFormat="1" applyFont="1" applyFill="1" applyBorder="1" applyAlignment="1" applyProtection="1">
      <alignment/>
      <protection/>
    </xf>
    <xf numFmtId="3" fontId="6" fillId="0" borderId="35" xfId="0" applyNumberFormat="1" applyFont="1" applyFill="1" applyBorder="1" applyAlignment="1" applyProtection="1">
      <alignment/>
      <protection/>
    </xf>
    <xf numFmtId="0" fontId="0" fillId="0" borderId="131" xfId="0" applyFill="1" applyBorder="1" applyAlignment="1">
      <alignment/>
    </xf>
    <xf numFmtId="165" fontId="0" fillId="0" borderId="102" xfId="0" applyNumberFormat="1" applyFont="1" applyFill="1" applyBorder="1" applyAlignment="1" applyProtection="1">
      <alignment/>
      <protection/>
    </xf>
    <xf numFmtId="165" fontId="0" fillId="0" borderId="14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Alignment="1">
      <alignment/>
    </xf>
    <xf numFmtId="1" fontId="6" fillId="0" borderId="11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5" fontId="6" fillId="0" borderId="141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0" fontId="6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6" fillId="0" borderId="26" xfId="0" applyFont="1" applyFill="1" applyBorder="1" applyAlignment="1">
      <alignment/>
    </xf>
    <xf numFmtId="0" fontId="8" fillId="0" borderId="14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143" xfId="0" applyFont="1" applyFill="1" applyBorder="1" applyAlignment="1">
      <alignment/>
    </xf>
    <xf numFmtId="166" fontId="28" fillId="0" borderId="144" xfId="0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165" fontId="0" fillId="0" borderId="145" xfId="0" applyNumberFormat="1" applyFont="1" applyFill="1" applyBorder="1" applyAlignment="1" applyProtection="1">
      <alignment/>
      <protection/>
    </xf>
    <xf numFmtId="165" fontId="0" fillId="0" borderId="146" xfId="0" applyNumberFormat="1" applyFont="1" applyFill="1" applyBorder="1" applyAlignment="1" applyProtection="1">
      <alignment/>
      <protection/>
    </xf>
    <xf numFmtId="166" fontId="20" fillId="0" borderId="147" xfId="0" applyNumberFormat="1" applyFont="1" applyFill="1" applyBorder="1" applyAlignment="1" applyProtection="1">
      <alignment/>
      <protection/>
    </xf>
    <xf numFmtId="165" fontId="0" fillId="0" borderId="145" xfId="0" applyNumberFormat="1" applyFill="1" applyBorder="1" applyAlignment="1" applyProtection="1">
      <alignment/>
      <protection/>
    </xf>
    <xf numFmtId="165" fontId="0" fillId="0" borderId="146" xfId="0" applyNumberFormat="1" applyFill="1" applyBorder="1" applyAlignment="1" applyProtection="1">
      <alignment/>
      <protection/>
    </xf>
    <xf numFmtId="0" fontId="8" fillId="0" borderId="81" xfId="0" applyFont="1" applyFill="1" applyBorder="1" applyAlignment="1">
      <alignment/>
    </xf>
    <xf numFmtId="166" fontId="8" fillId="0" borderId="102" xfId="0" applyNumberFormat="1" applyFont="1" applyFill="1" applyBorder="1" applyAlignment="1" applyProtection="1">
      <alignment/>
      <protection/>
    </xf>
    <xf numFmtId="166" fontId="15" fillId="0" borderId="102" xfId="0" applyNumberFormat="1" applyFont="1" applyFill="1" applyBorder="1" applyAlignment="1" applyProtection="1">
      <alignment/>
      <protection/>
    </xf>
    <xf numFmtId="170" fontId="8" fillId="0" borderId="31" xfId="0" applyNumberFormat="1" applyFont="1" applyFill="1" applyBorder="1" applyAlignment="1" applyProtection="1">
      <alignment/>
      <protection/>
    </xf>
    <xf numFmtId="170" fontId="8" fillId="0" borderId="101" xfId="0" applyNumberFormat="1" applyFont="1" applyFill="1" applyBorder="1" applyAlignment="1" applyProtection="1">
      <alignment/>
      <protection/>
    </xf>
    <xf numFmtId="3" fontId="6" fillId="0" borderId="148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8" fillId="0" borderId="104" xfId="0" applyFont="1" applyFill="1" applyBorder="1" applyAlignment="1">
      <alignment/>
    </xf>
    <xf numFmtId="170" fontId="8" fillId="0" borderId="29" xfId="0" applyNumberFormat="1" applyFont="1" applyFill="1" applyBorder="1" applyAlignment="1" applyProtection="1">
      <alignment/>
      <protection/>
    </xf>
    <xf numFmtId="179" fontId="0" fillId="0" borderId="20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0" fontId="8" fillId="0" borderId="149" xfId="0" applyFont="1" applyFill="1" applyBorder="1" applyAlignment="1">
      <alignment/>
    </xf>
    <xf numFmtId="170" fontId="8" fillId="0" borderId="5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>
      <alignment/>
    </xf>
    <xf numFmtId="167" fontId="8" fillId="0" borderId="0" xfId="0" applyNumberFormat="1" applyFont="1" applyFill="1" applyBorder="1" applyAlignment="1" applyProtection="1">
      <alignment/>
      <protection/>
    </xf>
    <xf numFmtId="0" fontId="6" fillId="0" borderId="150" xfId="0" applyFont="1" applyFill="1" applyBorder="1" applyAlignment="1">
      <alignment horizontal="center"/>
    </xf>
    <xf numFmtId="0" fontId="8" fillId="0" borderId="151" xfId="0" applyFont="1" applyFill="1" applyBorder="1" applyAlignment="1">
      <alignment horizontal="centerContinuous"/>
    </xf>
    <xf numFmtId="0" fontId="6" fillId="0" borderId="152" xfId="0" applyFont="1" applyFill="1" applyBorder="1" applyAlignment="1">
      <alignment horizontal="center"/>
    </xf>
    <xf numFmtId="3" fontId="6" fillId="0" borderId="38" xfId="0" applyNumberFormat="1" applyFont="1" applyFill="1" applyBorder="1" applyAlignment="1" applyProtection="1">
      <alignment horizontal="right"/>
      <protection/>
    </xf>
    <xf numFmtId="0" fontId="6" fillId="0" borderId="14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65" fontId="6" fillId="0" borderId="29" xfId="0" applyNumberFormat="1" applyFont="1" applyFill="1" applyBorder="1" applyAlignment="1">
      <alignment/>
    </xf>
    <xf numFmtId="165" fontId="6" fillId="0" borderId="30" xfId="0" applyNumberFormat="1" applyFont="1" applyFill="1" applyBorder="1" applyAlignment="1">
      <alignment/>
    </xf>
    <xf numFmtId="0" fontId="6" fillId="0" borderId="101" xfId="0" applyFont="1" applyFill="1" applyBorder="1" applyAlignment="1">
      <alignment/>
    </xf>
    <xf numFmtId="0" fontId="6" fillId="0" borderId="104" xfId="0" applyFont="1" applyFill="1" applyBorder="1" applyAlignment="1">
      <alignment/>
    </xf>
    <xf numFmtId="170" fontId="8" fillId="0" borderId="102" xfId="0" applyNumberFormat="1" applyFont="1" applyFill="1" applyBorder="1" applyAlignment="1" applyProtection="1">
      <alignment/>
      <protection/>
    </xf>
    <xf numFmtId="165" fontId="6" fillId="0" borderId="101" xfId="0" applyNumberFormat="1" applyFont="1" applyFill="1" applyBorder="1" applyAlignment="1">
      <alignment/>
    </xf>
    <xf numFmtId="166" fontId="33" fillId="0" borderId="0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70" fontId="8" fillId="0" borderId="16" xfId="0" applyNumberFormat="1" applyFont="1" applyFill="1" applyBorder="1" applyAlignment="1" applyProtection="1">
      <alignment/>
      <protection/>
    </xf>
    <xf numFmtId="170" fontId="8" fillId="0" borderId="17" xfId="0" applyNumberFormat="1" applyFont="1" applyFill="1" applyBorder="1" applyAlignment="1" applyProtection="1">
      <alignment/>
      <protection/>
    </xf>
    <xf numFmtId="170" fontId="8" fillId="0" borderId="19" xfId="0" applyNumberFormat="1" applyFont="1" applyFill="1" applyBorder="1" applyAlignment="1" applyProtection="1">
      <alignment/>
      <protection/>
    </xf>
    <xf numFmtId="170" fontId="6" fillId="0" borderId="0" xfId="0" applyNumberFormat="1" applyFont="1" applyFill="1" applyBorder="1" applyAlignment="1">
      <alignment/>
    </xf>
    <xf numFmtId="0" fontId="6" fillId="0" borderId="59" xfId="0" applyFont="1" applyFill="1" applyBorder="1" applyAlignment="1">
      <alignment/>
    </xf>
    <xf numFmtId="166" fontId="8" fillId="0" borderId="63" xfId="0" applyNumberFormat="1" applyFont="1" applyFill="1" applyBorder="1" applyAlignment="1" applyProtection="1">
      <alignment/>
      <protection/>
    </xf>
    <xf numFmtId="170" fontId="8" fillId="0" borderId="10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70" fontId="8" fillId="0" borderId="39" xfId="0" applyNumberFormat="1" applyFont="1" applyFill="1" applyBorder="1" applyAlignment="1" applyProtection="1">
      <alignment/>
      <protection/>
    </xf>
    <xf numFmtId="165" fontId="6" fillId="0" borderId="153" xfId="0" applyNumberFormat="1" applyFont="1" applyFill="1" applyBorder="1" applyAlignment="1" applyProtection="1">
      <alignment/>
      <protection/>
    </xf>
    <xf numFmtId="165" fontId="6" fillId="0" borderId="154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5" fontId="6" fillId="0" borderId="10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6" fontId="6" fillId="0" borderId="26" xfId="0" applyNumberFormat="1" applyFont="1" applyFill="1" applyBorder="1" applyAlignment="1" applyProtection="1">
      <alignment/>
      <protection/>
    </xf>
    <xf numFmtId="166" fontId="8" fillId="0" borderId="31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/>
    </xf>
    <xf numFmtId="1" fontId="6" fillId="0" borderId="30" xfId="0" applyNumberFormat="1" applyFont="1" applyFill="1" applyBorder="1" applyAlignment="1" applyProtection="1">
      <alignment horizontal="right"/>
      <protection/>
    </xf>
    <xf numFmtId="166" fontId="8" fillId="0" borderId="19" xfId="0" applyNumberFormat="1" applyFont="1" applyFill="1" applyBorder="1" applyAlignment="1" applyProtection="1">
      <alignment horizontal="right"/>
      <protection/>
    </xf>
    <xf numFmtId="165" fontId="6" fillId="0" borderId="16" xfId="0" applyNumberFormat="1" applyFont="1" applyFill="1" applyBorder="1" applyAlignment="1">
      <alignment horizontal="right"/>
    </xf>
    <xf numFmtId="165" fontId="6" fillId="0" borderId="17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66" fontId="4" fillId="0" borderId="0" xfId="0" applyNumberFormat="1" applyFont="1" applyFill="1" applyBorder="1" applyAlignment="1" applyProtection="1">
      <alignment/>
      <protection/>
    </xf>
    <xf numFmtId="3" fontId="0" fillId="0" borderId="155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179" fontId="1" fillId="0" borderId="0" xfId="0" applyNumberFormat="1" applyFont="1" applyFill="1" applyAlignment="1">
      <alignment/>
    </xf>
    <xf numFmtId="165" fontId="6" fillId="0" borderId="20" xfId="0" applyNumberFormat="1" applyFont="1" applyFill="1" applyBorder="1" applyAlignment="1" applyProtection="1">
      <alignment/>
      <protection/>
    </xf>
    <xf numFmtId="165" fontId="6" fillId="0" borderId="135" xfId="0" applyNumberFormat="1" applyFont="1" applyFill="1" applyBorder="1" applyAlignment="1" applyProtection="1">
      <alignment/>
      <protection/>
    </xf>
    <xf numFmtId="0" fontId="6" fillId="0" borderId="78" xfId="0" applyFont="1" applyFill="1" applyBorder="1" applyAlignment="1">
      <alignment/>
    </xf>
    <xf numFmtId="165" fontId="6" fillId="0" borderId="156" xfId="0" applyNumberFormat="1" applyFont="1" applyFill="1" applyBorder="1" applyAlignment="1" applyProtection="1">
      <alignment/>
      <protection/>
    </xf>
    <xf numFmtId="165" fontId="6" fillId="0" borderId="157" xfId="0" applyNumberFormat="1" applyFont="1" applyFill="1" applyBorder="1" applyAlignment="1" applyProtection="1">
      <alignment/>
      <protection/>
    </xf>
    <xf numFmtId="166" fontId="8" fillId="0" borderId="158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165" fontId="12" fillId="0" borderId="32" xfId="0" applyNumberFormat="1" applyFont="1" applyFill="1" applyBorder="1" applyAlignment="1" applyProtection="1">
      <alignment/>
      <protection/>
    </xf>
    <xf numFmtId="165" fontId="6" fillId="0" borderId="8" xfId="0" applyNumberFormat="1" applyFont="1" applyFill="1" applyBorder="1" applyAlignment="1" applyProtection="1">
      <alignment/>
      <protection/>
    </xf>
    <xf numFmtId="3" fontId="37" fillId="0" borderId="159" xfId="21" applyNumberFormat="1" applyFont="1" applyFill="1" applyBorder="1">
      <alignment/>
      <protection/>
    </xf>
    <xf numFmtId="3" fontId="37" fillId="0" borderId="159" xfId="21" applyNumberFormat="1" applyFont="1" applyFill="1" applyBorder="1" applyAlignment="1">
      <alignment horizontal="right"/>
      <protection/>
    </xf>
    <xf numFmtId="3" fontId="6" fillId="0" borderId="129" xfId="0" applyNumberFormat="1" applyFont="1" applyFill="1" applyBorder="1" applyAlignment="1">
      <alignment/>
    </xf>
    <xf numFmtId="0" fontId="8" fillId="0" borderId="109" xfId="0" applyFont="1" applyFill="1" applyBorder="1" applyAlignment="1">
      <alignment horizontal="centerContinuous"/>
    </xf>
    <xf numFmtId="0" fontId="8" fillId="0" borderId="110" xfId="0" applyFont="1" applyFill="1" applyBorder="1" applyAlignment="1">
      <alignment horizontal="centerContinuous"/>
    </xf>
    <xf numFmtId="0" fontId="6" fillId="0" borderId="160" xfId="0" applyFont="1" applyFill="1" applyBorder="1" applyAlignment="1">
      <alignment horizontal="centerContinuous"/>
    </xf>
    <xf numFmtId="0" fontId="8" fillId="0" borderId="161" xfId="0" applyFont="1" applyFill="1" applyBorder="1" applyAlignment="1">
      <alignment horizontal="center"/>
    </xf>
    <xf numFmtId="0" fontId="8" fillId="0" borderId="162" xfId="0" applyFont="1" applyFill="1" applyBorder="1" applyAlignment="1">
      <alignment horizontal="center"/>
    </xf>
    <xf numFmtId="0" fontId="6" fillId="0" borderId="163" xfId="0" applyFont="1" applyFill="1" applyBorder="1" applyAlignment="1">
      <alignment/>
    </xf>
    <xf numFmtId="0" fontId="6" fillId="0" borderId="164" xfId="0" applyFont="1" applyFill="1" applyBorder="1" applyAlignment="1">
      <alignment/>
    </xf>
    <xf numFmtId="165" fontId="6" fillId="0" borderId="129" xfId="0" applyNumberFormat="1" applyFont="1" applyFill="1" applyBorder="1" applyAlignment="1" applyProtection="1">
      <alignment/>
      <protection/>
    </xf>
    <xf numFmtId="0" fontId="6" fillId="0" borderId="161" xfId="0" applyFont="1" applyFill="1" applyBorder="1" applyAlignment="1">
      <alignment/>
    </xf>
    <xf numFmtId="0" fontId="6" fillId="0" borderId="165" xfId="0" applyFont="1" applyFill="1" applyBorder="1" applyAlignment="1">
      <alignment/>
    </xf>
    <xf numFmtId="165" fontId="6" fillId="0" borderId="12" xfId="0" applyNumberFormat="1" applyFont="1" applyFill="1" applyBorder="1" applyAlignment="1" applyProtection="1">
      <alignment/>
      <protection/>
    </xf>
    <xf numFmtId="3" fontId="6" fillId="0" borderId="29" xfId="0" applyNumberFormat="1" applyFont="1" applyFill="1" applyBorder="1" applyAlignment="1" applyProtection="1">
      <alignment/>
      <protection/>
    </xf>
    <xf numFmtId="3" fontId="6" fillId="0" borderId="91" xfId="0" applyNumberFormat="1" applyFont="1" applyFill="1" applyBorder="1" applyAlignment="1" applyProtection="1">
      <alignment/>
      <protection/>
    </xf>
    <xf numFmtId="3" fontId="6" fillId="0" borderId="88" xfId="0" applyNumberFormat="1" applyFont="1" applyFill="1" applyBorder="1" applyAlignment="1" applyProtection="1">
      <alignment/>
      <protection/>
    </xf>
    <xf numFmtId="3" fontId="6" fillId="0" borderId="89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3" fontId="6" fillId="0" borderId="40" xfId="0" applyNumberFormat="1" applyFont="1" applyFill="1" applyBorder="1" applyAlignment="1" applyProtection="1">
      <alignment/>
      <protection/>
    </xf>
    <xf numFmtId="0" fontId="0" fillId="0" borderId="166" xfId="0" applyFill="1" applyBorder="1" applyAlignment="1">
      <alignment/>
    </xf>
    <xf numFmtId="3" fontId="6" fillId="0" borderId="96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3" fontId="6" fillId="0" borderId="42" xfId="0" applyNumberFormat="1" applyFont="1" applyFill="1" applyBorder="1" applyAlignment="1" applyProtection="1">
      <alignment/>
      <protection/>
    </xf>
    <xf numFmtId="3" fontId="6" fillId="0" borderId="78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Alignment="1">
      <alignment/>
    </xf>
    <xf numFmtId="165" fontId="8" fillId="0" borderId="35" xfId="0" applyNumberFormat="1" applyFont="1" applyFill="1" applyBorder="1" applyAlignment="1">
      <alignment/>
    </xf>
    <xf numFmtId="168" fontId="8" fillId="0" borderId="17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Alignment="1">
      <alignment/>
    </xf>
    <xf numFmtId="3" fontId="6" fillId="0" borderId="101" xfId="0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165" fontId="8" fillId="0" borderId="34" xfId="0" applyNumberFormat="1" applyFont="1" applyFill="1" applyBorder="1" applyAlignment="1">
      <alignment/>
    </xf>
    <xf numFmtId="3" fontId="6" fillId="0" borderId="10" xfId="0" applyNumberFormat="1" applyFont="1" applyFill="1" applyBorder="1" applyAlignment="1" applyProtection="1">
      <alignment/>
      <protection/>
    </xf>
    <xf numFmtId="0" fontId="6" fillId="0" borderId="28" xfId="0" applyFont="1" applyFill="1" applyBorder="1" applyAlignment="1">
      <alignment/>
    </xf>
    <xf numFmtId="3" fontId="6" fillId="0" borderId="78" xfId="0" applyNumberFormat="1" applyFont="1" applyFill="1" applyBorder="1" applyAlignment="1" applyProtection="1">
      <alignment horizontal="right"/>
      <protection/>
    </xf>
    <xf numFmtId="3" fontId="6" fillId="0" borderId="101" xfId="0" applyNumberFormat="1" applyFont="1" applyFill="1" applyBorder="1" applyAlignment="1" applyProtection="1">
      <alignment/>
      <protection/>
    </xf>
    <xf numFmtId="168" fontId="8" fillId="0" borderId="16" xfId="0" applyNumberFormat="1" applyFont="1" applyFill="1" applyBorder="1" applyAlignment="1" applyProtection="1">
      <alignment/>
      <protection/>
    </xf>
    <xf numFmtId="3" fontId="6" fillId="0" borderId="126" xfId="0" applyNumberFormat="1" applyFont="1" applyFill="1" applyBorder="1" applyAlignment="1" applyProtection="1">
      <alignment/>
      <protection/>
    </xf>
    <xf numFmtId="3" fontId="6" fillId="0" borderId="127" xfId="0" applyNumberFormat="1" applyFont="1" applyFill="1" applyBorder="1" applyAlignment="1" applyProtection="1">
      <alignment/>
      <protection/>
    </xf>
    <xf numFmtId="3" fontId="6" fillId="0" borderId="128" xfId="0" applyNumberFormat="1" applyFont="1" applyFill="1" applyBorder="1" applyAlignment="1" applyProtection="1">
      <alignment/>
      <protection/>
    </xf>
    <xf numFmtId="3" fontId="6" fillId="0" borderId="121" xfId="0" applyNumberFormat="1" applyFont="1" applyFill="1" applyBorder="1" applyAlignment="1" applyProtection="1">
      <alignment/>
      <protection/>
    </xf>
    <xf numFmtId="3" fontId="6" fillId="0" borderId="167" xfId="0" applyNumberFormat="1" applyFont="1" applyFill="1" applyBorder="1" applyAlignment="1" applyProtection="1">
      <alignment/>
      <protection/>
    </xf>
    <xf numFmtId="3" fontId="6" fillId="0" borderId="168" xfId="0" applyNumberFormat="1" applyFont="1" applyFill="1" applyBorder="1" applyAlignment="1" applyProtection="1">
      <alignment/>
      <protection/>
    </xf>
    <xf numFmtId="3" fontId="6" fillId="0" borderId="122" xfId="0" applyNumberFormat="1" applyFont="1" applyFill="1" applyBorder="1" applyAlignment="1" applyProtection="1">
      <alignment/>
      <protection/>
    </xf>
    <xf numFmtId="167" fontId="8" fillId="0" borderId="12" xfId="0" applyNumberFormat="1" applyFont="1" applyFill="1" applyBorder="1" applyAlignment="1" applyProtection="1">
      <alignment/>
      <protection/>
    </xf>
    <xf numFmtId="165" fontId="6" fillId="0" borderId="7" xfId="0" applyNumberFormat="1" applyFont="1" applyFill="1" applyBorder="1" applyAlignment="1" applyProtection="1">
      <alignment/>
      <protection/>
    </xf>
    <xf numFmtId="165" fontId="6" fillId="0" borderId="169" xfId="0" applyNumberFormat="1" applyFont="1" applyFill="1" applyBorder="1" applyAlignment="1" applyProtection="1">
      <alignment/>
      <protection/>
    </xf>
    <xf numFmtId="165" fontId="6" fillId="0" borderId="170" xfId="0" applyNumberFormat="1" applyFont="1" applyFill="1" applyBorder="1" applyAlignment="1" applyProtection="1">
      <alignment/>
      <protection/>
    </xf>
    <xf numFmtId="166" fontId="15" fillId="0" borderId="126" xfId="0" applyNumberFormat="1" applyFont="1" applyFill="1" applyBorder="1" applyAlignment="1" applyProtection="1">
      <alignment/>
      <protection/>
    </xf>
    <xf numFmtId="166" fontId="15" fillId="0" borderId="127" xfId="0" applyNumberFormat="1" applyFont="1" applyFill="1" applyBorder="1" applyAlignment="1" applyProtection="1">
      <alignment/>
      <protection/>
    </xf>
    <xf numFmtId="3" fontId="24" fillId="0" borderId="128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/>
    </xf>
    <xf numFmtId="0" fontId="0" fillId="0" borderId="108" xfId="0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109" xfId="0" applyFill="1" applyBorder="1" applyAlignment="1">
      <alignment/>
    </xf>
    <xf numFmtId="3" fontId="6" fillId="0" borderId="171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6" fillId="0" borderId="25" xfId="0" applyFont="1" applyFill="1" applyBorder="1" applyAlignment="1">
      <alignment horizontal="center"/>
    </xf>
    <xf numFmtId="41" fontId="6" fillId="0" borderId="34" xfId="0" applyNumberFormat="1" applyFont="1" applyFill="1" applyBorder="1" applyAlignment="1">
      <alignment/>
    </xf>
    <xf numFmtId="41" fontId="6" fillId="0" borderId="35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0" fillId="0" borderId="139" xfId="0" applyFill="1" applyBorder="1" applyAlignment="1">
      <alignment/>
    </xf>
    <xf numFmtId="166" fontId="8" fillId="0" borderId="25" xfId="0" applyNumberFormat="1" applyFont="1" applyFill="1" applyBorder="1" applyAlignment="1" applyProtection="1">
      <alignment/>
      <protection/>
    </xf>
    <xf numFmtId="165" fontId="8" fillId="0" borderId="17" xfId="0" applyNumberFormat="1" applyFont="1" applyFill="1" applyBorder="1" applyAlignment="1" applyProtection="1">
      <alignment/>
      <protection/>
    </xf>
    <xf numFmtId="166" fontId="8" fillId="0" borderId="24" xfId="0" applyNumberFormat="1" applyFont="1" applyFill="1" applyBorder="1" applyAlignment="1" applyProtection="1">
      <alignment/>
      <protection/>
    </xf>
    <xf numFmtId="165" fontId="8" fillId="0" borderId="16" xfId="0" applyNumberFormat="1" applyFont="1" applyFill="1" applyBorder="1" applyAlignment="1" applyProtection="1">
      <alignment/>
      <protection/>
    </xf>
    <xf numFmtId="165" fontId="6" fillId="0" borderId="172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Alignment="1">
      <alignment/>
    </xf>
    <xf numFmtId="3" fontId="6" fillId="0" borderId="173" xfId="0" applyNumberFormat="1" applyFont="1" applyFill="1" applyBorder="1" applyAlignment="1" applyProtection="1">
      <alignment/>
      <protection/>
    </xf>
    <xf numFmtId="0" fontId="8" fillId="0" borderId="4" xfId="0" applyFont="1" applyFill="1" applyBorder="1" applyAlignment="1">
      <alignment horizontal="centerContinuous"/>
    </xf>
    <xf numFmtId="0" fontId="6" fillId="0" borderId="174" xfId="0" applyFont="1" applyFill="1" applyBorder="1" applyAlignment="1">
      <alignment/>
    </xf>
    <xf numFmtId="0" fontId="6" fillId="0" borderId="175" xfId="0" applyFont="1" applyFill="1" applyBorder="1" applyAlignment="1">
      <alignment horizontal="center"/>
    </xf>
    <xf numFmtId="0" fontId="8" fillId="0" borderId="176" xfId="0" applyFont="1" applyFill="1" applyBorder="1" applyAlignment="1">
      <alignment/>
    </xf>
    <xf numFmtId="0" fontId="8" fillId="0" borderId="175" xfId="0" applyFont="1" applyFill="1" applyBorder="1" applyAlignment="1">
      <alignment/>
    </xf>
    <xf numFmtId="3" fontId="6" fillId="0" borderId="28" xfId="0" applyNumberFormat="1" applyFont="1" applyFill="1" applyBorder="1" applyAlignment="1" applyProtection="1">
      <alignment/>
      <protection/>
    </xf>
    <xf numFmtId="166" fontId="8" fillId="0" borderId="172" xfId="0" applyNumberFormat="1" applyFont="1" applyFill="1" applyBorder="1" applyAlignment="1" applyProtection="1">
      <alignment/>
      <protection/>
    </xf>
    <xf numFmtId="166" fontId="8" fillId="0" borderId="40" xfId="0" applyNumberFormat="1" applyFont="1" applyFill="1" applyBorder="1" applyAlignment="1" applyProtection="1">
      <alignment/>
      <protection/>
    </xf>
    <xf numFmtId="171" fontId="6" fillId="0" borderId="29" xfId="0" applyNumberFormat="1" applyFont="1" applyFill="1" applyBorder="1" applyAlignment="1" applyProtection="1">
      <alignment/>
      <protection/>
    </xf>
    <xf numFmtId="0" fontId="6" fillId="0" borderId="177" xfId="0" applyFont="1" applyFill="1" applyBorder="1" applyAlignment="1">
      <alignment/>
    </xf>
    <xf numFmtId="165" fontId="6" fillId="0" borderId="33" xfId="0" applyNumberFormat="1" applyFont="1" applyFill="1" applyBorder="1" applyAlignment="1" applyProtection="1">
      <alignment/>
      <protection/>
    </xf>
    <xf numFmtId="165" fontId="6" fillId="0" borderId="178" xfId="0" applyNumberFormat="1" applyFont="1" applyFill="1" applyBorder="1" applyAlignment="1" applyProtection="1">
      <alignment/>
      <protection/>
    </xf>
    <xf numFmtId="3" fontId="6" fillId="0" borderId="33" xfId="0" applyNumberFormat="1" applyFont="1" applyFill="1" applyBorder="1" applyAlignment="1">
      <alignment/>
    </xf>
    <xf numFmtId="166" fontId="8" fillId="0" borderId="41" xfId="0" applyNumberFormat="1" applyFont="1" applyFill="1" applyBorder="1" applyAlignment="1" applyProtection="1">
      <alignment/>
      <protection/>
    </xf>
    <xf numFmtId="171" fontId="6" fillId="0" borderId="34" xfId="0" applyNumberFormat="1" applyFont="1" applyFill="1" applyBorder="1" applyAlignment="1" applyProtection="1">
      <alignment/>
      <protection/>
    </xf>
    <xf numFmtId="0" fontId="6" fillId="0" borderId="118" xfId="0" applyFont="1" applyFill="1" applyBorder="1" applyAlignment="1">
      <alignment/>
    </xf>
    <xf numFmtId="3" fontId="6" fillId="0" borderId="0" xfId="0" applyNumberFormat="1" applyFont="1" applyFill="1" applyAlignment="1" applyProtection="1">
      <alignment/>
      <protection/>
    </xf>
    <xf numFmtId="171" fontId="6" fillId="0" borderId="0" xfId="0" applyNumberFormat="1" applyFont="1" applyFill="1" applyBorder="1" applyAlignment="1" applyProtection="1">
      <alignment/>
      <protection/>
    </xf>
    <xf numFmtId="165" fontId="6" fillId="0" borderId="118" xfId="0" applyNumberFormat="1" applyFont="1" applyFill="1" applyBorder="1" applyAlignment="1" applyProtection="1">
      <alignment/>
      <protection/>
    </xf>
    <xf numFmtId="165" fontId="38" fillId="0" borderId="8" xfId="0" applyNumberFormat="1" applyFont="1" applyFill="1" applyBorder="1" applyAlignment="1" applyProtection="1">
      <alignment/>
      <protection/>
    </xf>
    <xf numFmtId="166" fontId="8" fillId="0" borderId="169" xfId="0" applyNumberFormat="1" applyFont="1" applyFill="1" applyBorder="1" applyAlignment="1" applyProtection="1">
      <alignment/>
      <protection/>
    </xf>
    <xf numFmtId="165" fontId="38" fillId="0" borderId="11" xfId="0" applyNumberFormat="1" applyFont="1" applyFill="1" applyBorder="1" applyAlignment="1" applyProtection="1">
      <alignment/>
      <protection/>
    </xf>
    <xf numFmtId="3" fontId="6" fillId="0" borderId="39" xfId="0" applyNumberFormat="1" applyFont="1" applyFill="1" applyBorder="1" applyAlignment="1" applyProtection="1">
      <alignment/>
      <protection/>
    </xf>
    <xf numFmtId="171" fontId="6" fillId="0" borderId="141" xfId="0" applyNumberFormat="1" applyFont="1" applyFill="1" applyBorder="1" applyAlignment="1" applyProtection="1">
      <alignment/>
      <protection/>
    </xf>
    <xf numFmtId="171" fontId="6" fillId="0" borderId="8" xfId="0" applyNumberFormat="1" applyFont="1" applyFill="1" applyBorder="1" applyAlignment="1" applyProtection="1">
      <alignment/>
      <protection/>
    </xf>
    <xf numFmtId="4" fontId="28" fillId="0" borderId="0" xfId="0" applyNumberFormat="1" applyFont="1" applyFill="1" applyAlignment="1">
      <alignment/>
    </xf>
    <xf numFmtId="165" fontId="6" fillId="0" borderId="175" xfId="0" applyNumberFormat="1" applyFont="1" applyFill="1" applyBorder="1" applyAlignment="1" applyProtection="1">
      <alignment/>
      <protection/>
    </xf>
    <xf numFmtId="3" fontId="6" fillId="0" borderId="40" xfId="0" applyNumberFormat="1" applyFont="1" applyFill="1" applyBorder="1" applyAlignment="1" applyProtection="1">
      <alignment horizontal="right"/>
      <protection/>
    </xf>
    <xf numFmtId="3" fontId="6" fillId="0" borderId="18" xfId="0" applyNumberFormat="1" applyFont="1" applyFill="1" applyBorder="1" applyAlignment="1">
      <alignment horizontal="right"/>
    </xf>
    <xf numFmtId="165" fontId="6" fillId="0" borderId="39" xfId="0" applyNumberFormat="1" applyFon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/>
    </xf>
    <xf numFmtId="3" fontId="3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 applyProtection="1">
      <alignment/>
      <protection/>
    </xf>
    <xf numFmtId="0" fontId="6" fillId="0" borderId="160" xfId="0" applyFont="1" applyFill="1" applyBorder="1" applyAlignment="1">
      <alignment/>
    </xf>
    <xf numFmtId="0" fontId="37" fillId="0" borderId="20" xfId="0" applyFont="1" applyFill="1" applyBorder="1" applyAlignment="1">
      <alignment horizontal="center"/>
    </xf>
    <xf numFmtId="172" fontId="37" fillId="0" borderId="0" xfId="0" applyNumberFormat="1" applyFont="1" applyFill="1" applyBorder="1" applyAlignment="1">
      <alignment/>
    </xf>
    <xf numFmtId="165" fontId="37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Alignment="1" applyProtection="1">
      <alignment/>
      <protection/>
    </xf>
    <xf numFmtId="3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Alignment="1">
      <alignment/>
    </xf>
    <xf numFmtId="0" fontId="6" fillId="0" borderId="17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165" fontId="6" fillId="0" borderId="13" xfId="0" applyNumberFormat="1" applyFont="1" applyFill="1" applyBorder="1" applyAlignment="1" applyProtection="1">
      <alignment/>
      <protection/>
    </xf>
    <xf numFmtId="166" fontId="29" fillId="0" borderId="144" xfId="0" applyNumberFormat="1" applyFont="1" applyFill="1" applyBorder="1" applyAlignment="1" applyProtection="1">
      <alignment horizontal="center"/>
      <protection/>
    </xf>
    <xf numFmtId="0" fontId="29" fillId="0" borderId="167" xfId="0" applyFont="1" applyFill="1" applyBorder="1" applyAlignment="1">
      <alignment horizontal="center"/>
    </xf>
    <xf numFmtId="0" fontId="29" fillId="0" borderId="16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179" xfId="0" applyFont="1" applyFill="1" applyBorder="1" applyAlignment="1">
      <alignment/>
    </xf>
    <xf numFmtId="0" fontId="0" fillId="0" borderId="180" xfId="0" applyFill="1" applyBorder="1" applyAlignment="1">
      <alignment/>
    </xf>
    <xf numFmtId="0" fontId="0" fillId="0" borderId="181" xfId="0" applyFill="1" applyBorder="1" applyAlignment="1">
      <alignment/>
    </xf>
    <xf numFmtId="0" fontId="0" fillId="0" borderId="182" xfId="0" applyFill="1" applyBorder="1" applyAlignment="1">
      <alignment/>
    </xf>
    <xf numFmtId="0" fontId="0" fillId="0" borderId="183" xfId="0" applyFill="1" applyBorder="1" applyAlignment="1">
      <alignment/>
    </xf>
    <xf numFmtId="166" fontId="3" fillId="0" borderId="184" xfId="0" applyNumberFormat="1" applyFont="1" applyFill="1" applyBorder="1" applyAlignment="1" applyProtection="1">
      <alignment/>
      <protection/>
    </xf>
    <xf numFmtId="0" fontId="3" fillId="0" borderId="184" xfId="0" applyFont="1" applyFill="1" applyBorder="1" applyAlignment="1">
      <alignment/>
    </xf>
    <xf numFmtId="0" fontId="0" fillId="0" borderId="185" xfId="0" applyFill="1" applyBorder="1" applyAlignment="1">
      <alignment/>
    </xf>
    <xf numFmtId="165" fontId="0" fillId="0" borderId="134" xfId="0" applyNumberFormat="1" applyFill="1" applyBorder="1" applyAlignment="1" applyProtection="1">
      <alignment horizontal="right"/>
      <protection/>
    </xf>
    <xf numFmtId="0" fontId="16" fillId="0" borderId="0" xfId="0" applyFont="1" applyFill="1" applyAlignment="1">
      <alignment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166" fontId="8" fillId="0" borderId="6" xfId="0" applyNumberFormat="1" applyFont="1" applyFill="1" applyBorder="1" applyAlignment="1" applyProtection="1">
      <alignment/>
      <protection/>
    </xf>
    <xf numFmtId="0" fontId="0" fillId="0" borderId="105" xfId="0" applyFont="1" applyFill="1" applyBorder="1" applyAlignment="1">
      <alignment/>
    </xf>
    <xf numFmtId="165" fontId="0" fillId="0" borderId="75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>
      <alignment/>
    </xf>
    <xf numFmtId="166" fontId="21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/>
      <protection/>
    </xf>
    <xf numFmtId="0" fontId="30" fillId="0" borderId="43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0" fillId="0" borderId="17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167" fontId="6" fillId="0" borderId="24" xfId="0" applyNumberFormat="1" applyFont="1" applyFill="1" applyBorder="1" applyAlignment="1" applyProtection="1">
      <alignment/>
      <protection/>
    </xf>
    <xf numFmtId="167" fontId="6" fillId="0" borderId="25" xfId="0" applyNumberFormat="1" applyFont="1" applyFill="1" applyBorder="1" applyAlignment="1" applyProtection="1">
      <alignment/>
      <protection/>
    </xf>
    <xf numFmtId="167" fontId="6" fillId="0" borderId="26" xfId="0" applyNumberFormat="1" applyFont="1" applyFill="1" applyBorder="1" applyAlignment="1" applyProtection="1">
      <alignment/>
      <protection/>
    </xf>
    <xf numFmtId="0" fontId="32" fillId="0" borderId="2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3" fontId="0" fillId="0" borderId="105" xfId="0" applyNumberFormat="1" applyFill="1" applyBorder="1" applyAlignment="1">
      <alignment/>
    </xf>
    <xf numFmtId="3" fontId="0" fillId="0" borderId="144" xfId="0" applyNumberFormat="1" applyFill="1" applyBorder="1" applyAlignment="1">
      <alignment/>
    </xf>
    <xf numFmtId="3" fontId="0" fillId="0" borderId="167" xfId="0" applyNumberFormat="1" applyFill="1" applyBorder="1" applyAlignment="1">
      <alignment/>
    </xf>
    <xf numFmtId="3" fontId="0" fillId="0" borderId="168" xfId="0" applyNumberFormat="1" applyFill="1" applyBorder="1" applyAlignment="1">
      <alignment/>
    </xf>
    <xf numFmtId="3" fontId="33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35" fillId="0" borderId="0" xfId="0" applyNumberFormat="1" applyFont="1" applyFill="1" applyBorder="1" applyAlignment="1" applyProtection="1">
      <alignment/>
      <protection/>
    </xf>
    <xf numFmtId="0" fontId="0" fillId="0" borderId="6" xfId="0" applyFill="1" applyBorder="1" applyAlignment="1">
      <alignment/>
    </xf>
    <xf numFmtId="0" fontId="30" fillId="0" borderId="2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/>
    </xf>
    <xf numFmtId="167" fontId="8" fillId="0" borderId="26" xfId="0" applyNumberFormat="1" applyFont="1" applyFill="1" applyBorder="1" applyAlignment="1" applyProtection="1">
      <alignment/>
      <protection/>
    </xf>
    <xf numFmtId="167" fontId="8" fillId="0" borderId="24" xfId="0" applyNumberFormat="1" applyFont="1" applyFill="1" applyBorder="1" applyAlignment="1" applyProtection="1">
      <alignment/>
      <protection/>
    </xf>
    <xf numFmtId="167" fontId="8" fillId="0" borderId="25" xfId="0" applyNumberFormat="1" applyFont="1" applyFill="1" applyBorder="1" applyAlignment="1" applyProtection="1">
      <alignment/>
      <protection/>
    </xf>
    <xf numFmtId="165" fontId="6" fillId="0" borderId="34" xfId="0" applyNumberFormat="1" applyFont="1" applyFill="1" applyBorder="1" applyAlignment="1">
      <alignment/>
    </xf>
    <xf numFmtId="165" fontId="6" fillId="0" borderId="35" xfId="0" applyNumberFormat="1" applyFont="1" applyFill="1" applyBorder="1" applyAlignment="1">
      <alignment/>
    </xf>
    <xf numFmtId="170" fontId="8" fillId="0" borderId="36" xfId="0" applyNumberFormat="1" applyFont="1" applyFill="1" applyBorder="1" applyAlignment="1" applyProtection="1">
      <alignment/>
      <protection/>
    </xf>
    <xf numFmtId="165" fontId="6" fillId="0" borderId="16" xfId="0" applyNumberFormat="1" applyFont="1" applyFill="1" applyBorder="1" applyAlignment="1">
      <alignment/>
    </xf>
    <xf numFmtId="165" fontId="6" fillId="0" borderId="17" xfId="0" applyNumberFormat="1" applyFont="1" applyFill="1" applyBorder="1" applyAlignment="1">
      <alignment/>
    </xf>
    <xf numFmtId="170" fontId="8" fillId="0" borderId="19" xfId="0" applyNumberFormat="1" applyFont="1" applyFill="1" applyBorder="1" applyAlignment="1">
      <alignment/>
    </xf>
    <xf numFmtId="170" fontId="8" fillId="0" borderId="16" xfId="0" applyNumberFormat="1" applyFont="1" applyFill="1" applyBorder="1" applyAlignment="1">
      <alignment/>
    </xf>
    <xf numFmtId="170" fontId="6" fillId="0" borderId="0" xfId="0" applyNumberFormat="1" applyFont="1" applyFill="1" applyAlignment="1">
      <alignment/>
    </xf>
    <xf numFmtId="170" fontId="8" fillId="0" borderId="0" xfId="0" applyNumberFormat="1" applyFont="1" applyFill="1" applyAlignment="1">
      <alignment/>
    </xf>
    <xf numFmtId="3" fontId="28" fillId="0" borderId="20" xfId="0" applyNumberFormat="1" applyFont="1" applyFill="1" applyBorder="1" applyAlignment="1" applyProtection="1">
      <alignment/>
      <protection/>
    </xf>
    <xf numFmtId="165" fontId="5" fillId="0" borderId="186" xfId="0" applyNumberFormat="1" applyFont="1" applyFill="1" applyBorder="1" applyAlignment="1" applyProtection="1">
      <alignment/>
      <protection/>
    </xf>
    <xf numFmtId="165" fontId="5" fillId="0" borderId="145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 horizontal="center"/>
    </xf>
    <xf numFmtId="165" fontId="0" fillId="0" borderId="12" xfId="0" applyNumberFormat="1" applyFill="1" applyBorder="1" applyAlignment="1" applyProtection="1">
      <alignment/>
      <protection/>
    </xf>
    <xf numFmtId="165" fontId="11" fillId="0" borderId="25" xfId="0" applyNumberFormat="1" applyFont="1" applyFill="1" applyBorder="1" applyAlignment="1" applyProtection="1">
      <alignment/>
      <protection/>
    </xf>
    <xf numFmtId="166" fontId="11" fillId="0" borderId="26" xfId="0" applyNumberFormat="1" applyFont="1" applyFill="1" applyBorder="1" applyAlignment="1" applyProtection="1">
      <alignment/>
      <protection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65" fontId="11" fillId="0" borderId="24" xfId="0" applyNumberFormat="1" applyFont="1" applyFill="1" applyBorder="1" applyAlignment="1" applyProtection="1">
      <alignment/>
      <protection/>
    </xf>
    <xf numFmtId="166" fontId="10" fillId="0" borderId="26" xfId="0" applyNumberFormat="1" applyFont="1" applyFill="1" applyBorder="1" applyAlignment="1" applyProtection="1">
      <alignment/>
      <protection/>
    </xf>
    <xf numFmtId="165" fontId="11" fillId="0" borderId="25" xfId="0" applyNumberFormat="1" applyFont="1" applyFill="1" applyBorder="1" applyAlignment="1" applyProtection="1">
      <alignment horizontal="right"/>
      <protection/>
    </xf>
    <xf numFmtId="165" fontId="11" fillId="0" borderId="14" xfId="0" applyNumberFormat="1" applyFont="1" applyFill="1" applyBorder="1" applyAlignment="1" applyProtection="1">
      <alignment/>
      <protection/>
    </xf>
    <xf numFmtId="167" fontId="8" fillId="0" borderId="19" xfId="0" applyNumberFormat="1" applyFont="1" applyFill="1" applyBorder="1" applyAlignment="1">
      <alignment/>
    </xf>
    <xf numFmtId="165" fontId="6" fillId="0" borderId="17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67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/>
      <protection/>
    </xf>
    <xf numFmtId="0" fontId="8" fillId="0" borderId="187" xfId="0" applyFont="1" applyFill="1" applyBorder="1" applyAlignment="1">
      <alignment/>
    </xf>
    <xf numFmtId="0" fontId="6" fillId="0" borderId="187" xfId="0" applyFont="1" applyFill="1" applyBorder="1" applyAlignment="1">
      <alignment/>
    </xf>
    <xf numFmtId="0" fontId="6" fillId="0" borderId="188" xfId="0" applyFont="1" applyFill="1" applyBorder="1" applyAlignment="1">
      <alignment/>
    </xf>
    <xf numFmtId="0" fontId="6" fillId="0" borderId="189" xfId="0" applyFont="1" applyFill="1" applyBorder="1" applyAlignment="1">
      <alignment/>
    </xf>
    <xf numFmtId="0" fontId="6" fillId="0" borderId="19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0" fillId="0" borderId="191" xfId="0" applyFill="1" applyBorder="1" applyAlignment="1">
      <alignment horizontal="center"/>
    </xf>
    <xf numFmtId="0" fontId="0" fillId="0" borderId="192" xfId="0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0" fillId="3" borderId="88" xfId="0" applyFill="1" applyBorder="1" applyAlignment="1">
      <alignment horizontal="center"/>
    </xf>
    <xf numFmtId="0" fontId="0" fillId="3" borderId="89" xfId="0" applyFill="1" applyBorder="1" applyAlignment="1">
      <alignment horizontal="center"/>
    </xf>
    <xf numFmtId="0" fontId="8" fillId="0" borderId="193" xfId="0" applyFont="1" applyFill="1" applyBorder="1" applyAlignment="1">
      <alignment horizontal="center"/>
    </xf>
    <xf numFmtId="0" fontId="8" fillId="0" borderId="194" xfId="0" applyFont="1" applyFill="1" applyBorder="1" applyAlignment="1">
      <alignment horizontal="center"/>
    </xf>
    <xf numFmtId="0" fontId="8" fillId="0" borderId="19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49" xfId="0" applyFont="1" applyFill="1" applyBorder="1" applyAlignment="1">
      <alignment horizontal="center"/>
    </xf>
    <xf numFmtId="0" fontId="0" fillId="3" borderId="9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91" xfId="0" applyFill="1" applyBorder="1" applyAlignment="1">
      <alignment horizontal="center"/>
    </xf>
    <xf numFmtId="166" fontId="8" fillId="0" borderId="23" xfId="0" applyNumberFormat="1" applyFont="1" applyFill="1" applyBorder="1" applyAlignment="1" applyProtection="1">
      <alignment/>
      <protection/>
    </xf>
    <xf numFmtId="166" fontId="8" fillId="0" borderId="28" xfId="0" applyNumberFormat="1" applyFont="1" applyFill="1" applyBorder="1" applyAlignment="1" applyProtection="1">
      <alignment/>
      <protection/>
    </xf>
    <xf numFmtId="166" fontId="8" fillId="0" borderId="39" xfId="0" applyNumberFormat="1" applyFont="1" applyFill="1" applyBorder="1" applyAlignment="1" applyProtection="1">
      <alignment/>
      <protection/>
    </xf>
    <xf numFmtId="166" fontId="8" fillId="0" borderId="196" xfId="0" applyNumberFormat="1" applyFont="1" applyFill="1" applyBorder="1" applyAlignment="1" applyProtection="1">
      <alignment/>
      <protection/>
    </xf>
    <xf numFmtId="3" fontId="8" fillId="0" borderId="23" xfId="0" applyNumberFormat="1" applyFont="1" applyFill="1" applyBorder="1" applyAlignment="1" applyProtection="1">
      <alignment/>
      <protection/>
    </xf>
    <xf numFmtId="3" fontId="8" fillId="0" borderId="197" xfId="0" applyNumberFormat="1" applyFont="1" applyFill="1" applyBorder="1" applyAlignment="1" applyProtection="1">
      <alignment/>
      <protection/>
    </xf>
    <xf numFmtId="3" fontId="8" fillId="0" borderId="28" xfId="0" applyNumberFormat="1" applyFont="1" applyFill="1" applyBorder="1" applyAlignment="1" applyProtection="1">
      <alignment/>
      <protection/>
    </xf>
    <xf numFmtId="3" fontId="8" fillId="0" borderId="13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/>
    </xf>
    <xf numFmtId="3" fontId="8" fillId="0" borderId="198" xfId="0" applyNumberFormat="1" applyFont="1" applyFill="1" applyBorder="1" applyAlignment="1" applyProtection="1">
      <alignment/>
      <protection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166" fontId="6" fillId="0" borderId="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8" fillId="0" borderId="199" xfId="0" applyFont="1" applyFill="1" applyBorder="1" applyAlignment="1">
      <alignment horizontal="center"/>
    </xf>
    <xf numFmtId="0" fontId="0" fillId="0" borderId="200" xfId="0" applyFill="1" applyBorder="1" applyAlignment="1">
      <alignment horizontal="center"/>
    </xf>
    <xf numFmtId="0" fontId="0" fillId="0" borderId="201" xfId="0" applyFill="1" applyBorder="1" applyAlignment="1">
      <alignment horizontal="center"/>
    </xf>
    <xf numFmtId="3" fontId="8" fillId="0" borderId="202" xfId="0" applyNumberFormat="1" applyFont="1" applyFill="1" applyBorder="1" applyAlignment="1" applyProtection="1">
      <alignment/>
      <protection/>
    </xf>
    <xf numFmtId="0" fontId="0" fillId="0" borderId="203" xfId="0" applyFill="1" applyBorder="1" applyAlignment="1">
      <alignment/>
    </xf>
    <xf numFmtId="3" fontId="8" fillId="0" borderId="204" xfId="0" applyNumberFormat="1" applyFont="1" applyFill="1" applyBorder="1" applyAlignment="1" applyProtection="1">
      <alignment/>
      <protection/>
    </xf>
    <xf numFmtId="3" fontId="8" fillId="0" borderId="167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/>
    </xf>
    <xf numFmtId="0" fontId="36" fillId="0" borderId="2" xfId="0" applyNumberFormat="1" applyFont="1" applyFill="1" applyBorder="1" applyAlignment="1">
      <alignment horizontal="center" wrapText="1"/>
    </xf>
    <xf numFmtId="0" fontId="27" fillId="0" borderId="5" xfId="0" applyNumberFormat="1" applyFont="1" applyFill="1" applyBorder="1" applyAlignment="1">
      <alignment horizontal="center" wrapText="1"/>
    </xf>
    <xf numFmtId="0" fontId="27" fillId="0" borderId="1" xfId="0" applyNumberFormat="1" applyFont="1" applyFill="1" applyBorder="1" applyAlignment="1">
      <alignment horizontal="center" wrapText="1"/>
    </xf>
    <xf numFmtId="0" fontId="37" fillId="0" borderId="20" xfId="0" applyFont="1" applyFill="1" applyBorder="1" applyAlignment="1">
      <alignment horizontal="center"/>
    </xf>
    <xf numFmtId="0" fontId="37" fillId="0" borderId="106" xfId="0" applyFont="1" applyFill="1" applyBorder="1" applyAlignment="1">
      <alignment horizontal="center"/>
    </xf>
    <xf numFmtId="0" fontId="37" fillId="0" borderId="194" xfId="0" applyFont="1" applyFill="1" applyBorder="1" applyAlignment="1">
      <alignment horizontal="center"/>
    </xf>
    <xf numFmtId="0" fontId="37" fillId="0" borderId="20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0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6" fontId="29" fillId="0" borderId="202" xfId="0" applyNumberFormat="1" applyFont="1" applyFill="1" applyBorder="1" applyAlignment="1" applyProtection="1">
      <alignment horizontal="center"/>
      <protection/>
    </xf>
    <xf numFmtId="166" fontId="29" fillId="0" borderId="207" xfId="0" applyNumberFormat="1" applyFont="1" applyFill="1" applyBorder="1" applyAlignment="1" applyProtection="1">
      <alignment horizontal="center"/>
      <protection/>
    </xf>
    <xf numFmtId="166" fontId="29" fillId="0" borderId="208" xfId="0" applyNumberFormat="1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4" xfId="0" applyFont="1" applyFill="1" applyBorder="1" applyAlignment="1">
      <alignment horizontal="center"/>
    </xf>
    <xf numFmtId="0" fontId="0" fillId="0" borderId="106" xfId="0" applyFill="1" applyBorder="1" applyAlignment="1">
      <alignment horizontal="center"/>
    </xf>
    <xf numFmtId="0" fontId="0" fillId="0" borderId="194" xfId="0" applyFill="1" applyBorder="1" applyAlignment="1">
      <alignment horizontal="center"/>
    </xf>
    <xf numFmtId="0" fontId="0" fillId="0" borderId="205" xfId="0" applyFill="1" applyBorder="1" applyAlignment="1">
      <alignment horizontal="center"/>
    </xf>
    <xf numFmtId="0" fontId="8" fillId="0" borderId="108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209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188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8" fillId="0" borderId="111" xfId="0" applyFont="1" applyFill="1" applyBorder="1" applyAlignment="1">
      <alignment horizontal="center"/>
    </xf>
    <xf numFmtId="0" fontId="8" fillId="0" borderId="112" xfId="0" applyFont="1" applyFill="1" applyBorder="1" applyAlignment="1">
      <alignment horizontal="center"/>
    </xf>
    <xf numFmtId="0" fontId="8" fillId="0" borderId="113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103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8" fillId="0" borderId="104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102" xfId="0" applyFont="1" applyFill="1" applyBorder="1" applyAlignment="1">
      <alignment horizontal="center"/>
    </xf>
    <xf numFmtId="0" fontId="8" fillId="0" borderId="103" xfId="0" applyFont="1" applyFill="1" applyBorder="1" applyAlignment="1">
      <alignment horizontal="center"/>
    </xf>
    <xf numFmtId="0" fontId="8" fillId="0" borderId="108" xfId="0" applyFont="1" applyFill="1" applyBorder="1" applyAlignment="1">
      <alignment horizontal="center"/>
    </xf>
    <xf numFmtId="0" fontId="8" fillId="0" borderId="107" xfId="0" applyFont="1" applyFill="1" applyBorder="1" applyAlignment="1">
      <alignment horizontal="center"/>
    </xf>
    <xf numFmtId="0" fontId="8" fillId="0" borderId="10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" fillId="0" borderId="10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08" xfId="0" applyFont="1" applyFill="1" applyBorder="1" applyAlignment="1">
      <alignment horizontal="center" wrapText="1"/>
    </xf>
    <xf numFmtId="0" fontId="8" fillId="0" borderId="107" xfId="0" applyFont="1" applyFill="1" applyBorder="1" applyAlignment="1">
      <alignment horizontal="center" wrapText="1"/>
    </xf>
    <xf numFmtId="0" fontId="8" fillId="0" borderId="109" xfId="0" applyFont="1" applyFill="1" applyBorder="1" applyAlignment="1">
      <alignment horizontal="center" wrapText="1"/>
    </xf>
    <xf numFmtId="0" fontId="8" fillId="0" borderId="121" xfId="0" applyFont="1" applyFill="1" applyBorder="1" applyAlignment="1">
      <alignment horizontal="center" wrapText="1"/>
    </xf>
    <xf numFmtId="0" fontId="8" fillId="0" borderId="59" xfId="0" applyFont="1" applyFill="1" applyBorder="1" applyAlignment="1">
      <alignment horizontal="center" wrapText="1"/>
    </xf>
    <xf numFmtId="0" fontId="8" fillId="0" borderId="210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15" fillId="0" borderId="199" xfId="0" applyNumberFormat="1" applyFont="1" applyFill="1" applyBorder="1" applyAlignment="1" applyProtection="1">
      <alignment horizontal="center"/>
      <protection/>
    </xf>
    <xf numFmtId="49" fontId="15" fillId="0" borderId="200" xfId="0" applyNumberFormat="1" applyFont="1" applyFill="1" applyBorder="1" applyAlignment="1" applyProtection="1">
      <alignment horizontal="center"/>
      <protection/>
    </xf>
    <xf numFmtId="49" fontId="15" fillId="0" borderId="20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" fontId="30" fillId="0" borderId="0" xfId="0" applyNumberFormat="1" applyFont="1" applyFill="1" applyAlignment="1">
      <alignment horizontal="center"/>
    </xf>
    <xf numFmtId="3" fontId="6" fillId="0" borderId="138" xfId="0" applyNumberFormat="1" applyFont="1" applyFill="1" applyBorder="1" applyAlignment="1" applyProtection="1">
      <alignment/>
      <protection/>
    </xf>
    <xf numFmtId="3" fontId="6" fillId="0" borderId="116" xfId="0" applyNumberFormat="1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n2005-Kriteria,vč.porovnání 04-05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112"/>
  <sheetViews>
    <sheetView showZeros="0" tabSelected="1" workbookViewId="0" topLeftCell="A1">
      <pane xSplit="1" topLeftCell="N1" activePane="topRight" state="frozen"/>
      <selection pane="topLeft" activeCell="O7" sqref="P7"/>
      <selection pane="topRight" activeCell="R5" sqref="R5"/>
    </sheetView>
  </sheetViews>
  <sheetFormatPr defaultColWidth="9.796875" defaultRowHeight="15"/>
  <cols>
    <col min="1" max="1" width="9.796875" style="2" customWidth="1"/>
    <col min="2" max="2" width="11.3984375" style="2" customWidth="1"/>
    <col min="3" max="3" width="11.09765625" style="2" customWidth="1"/>
    <col min="4" max="4" width="11" style="2" customWidth="1"/>
    <col min="5" max="5" width="11.09765625" style="2" customWidth="1"/>
    <col min="6" max="6" width="11.09765625" style="2" hidden="1" customWidth="1"/>
    <col min="7" max="7" width="4.796875" style="2" hidden="1" customWidth="1"/>
    <col min="8" max="11" width="11.09765625" style="2" customWidth="1"/>
    <col min="12" max="12" width="11.09765625" style="2" hidden="1" customWidth="1"/>
    <col min="13" max="13" width="6.19921875" style="2" hidden="1" customWidth="1"/>
    <col min="14" max="14" width="11.09765625" style="2" customWidth="1"/>
    <col min="15" max="15" width="10.796875" style="2" customWidth="1"/>
    <col min="16" max="16" width="9.8984375" style="2" customWidth="1"/>
    <col min="17" max="17" width="10.19921875" style="2" customWidth="1"/>
    <col min="18" max="18" width="8.296875" style="2" customWidth="1"/>
    <col min="19" max="19" width="12.796875" style="2" customWidth="1"/>
    <col min="20" max="20" width="9.8984375" style="2" customWidth="1"/>
    <col min="21" max="22" width="11.796875" style="2" customWidth="1"/>
    <col min="23" max="23" width="10.796875" style="2" customWidth="1"/>
    <col min="24" max="24" width="7.796875" style="2" customWidth="1"/>
    <col min="25" max="26" width="9.796875" style="2" customWidth="1"/>
    <col min="27" max="27" width="10.796875" style="2" customWidth="1"/>
    <col min="28" max="28" width="7.796875" style="2" customWidth="1"/>
    <col min="29" max="29" width="5.796875" style="2" customWidth="1"/>
    <col min="30" max="33" width="9.796875" style="2" customWidth="1"/>
    <col min="34" max="34" width="10.796875" style="2" customWidth="1"/>
    <col min="35" max="37" width="9.796875" style="2" customWidth="1"/>
    <col min="38" max="38" width="10.796875" style="2" customWidth="1"/>
    <col min="39" max="41" width="9.796875" style="2" customWidth="1"/>
    <col min="42" max="42" width="10.796875" style="2" customWidth="1"/>
    <col min="43" max="44" width="9.796875" style="2" customWidth="1"/>
    <col min="45" max="45" width="10.796875" style="2" customWidth="1"/>
    <col min="46" max="16384" width="9.796875" style="2" customWidth="1"/>
  </cols>
  <sheetData>
    <row r="1" spans="1:22" ht="17.25" customHeight="1">
      <c r="A1" s="9"/>
      <c r="B1" s="1"/>
      <c r="C1" s="8"/>
      <c r="D1" s="1"/>
      <c r="E1" s="8"/>
      <c r="F1" s="8"/>
      <c r="G1" s="8"/>
      <c r="H1" s="8"/>
      <c r="I1" s="1"/>
      <c r="J1" s="140"/>
      <c r="K1" s="141"/>
      <c r="L1" s="141"/>
      <c r="M1" s="141"/>
      <c r="N1" s="140"/>
      <c r="O1" s="140"/>
      <c r="P1" s="140"/>
      <c r="Q1" s="1"/>
      <c r="R1" s="1"/>
      <c r="S1" s="1"/>
      <c r="T1" s="1"/>
      <c r="U1" s="1"/>
      <c r="V1" s="1"/>
    </row>
    <row r="2" spans="1:22" ht="24" customHeight="1">
      <c r="A2" s="824" t="s">
        <v>315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</row>
    <row r="3" spans="1:22" ht="15" customHeight="1">
      <c r="A3" s="4"/>
      <c r="B3" s="4"/>
      <c r="C3" s="4"/>
      <c r="D3" s="4"/>
      <c r="E3" s="4"/>
      <c r="F3" s="4"/>
      <c r="G3" s="4"/>
      <c r="H3" s="4"/>
      <c r="I3" s="4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1" customHeight="1">
      <c r="A4" s="10" t="s">
        <v>57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1" ht="22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75" t="s">
        <v>63</v>
      </c>
    </row>
    <row r="6" spans="1:21" ht="19.5" customHeight="1" thickBot="1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76" t="s">
        <v>3</v>
      </c>
    </row>
    <row r="7" spans="1:21" ht="20.25" customHeight="1">
      <c r="A7" s="120"/>
      <c r="B7" s="24"/>
      <c r="C7" s="20" t="s">
        <v>60</v>
      </c>
      <c r="D7" s="21"/>
      <c r="E7" s="22"/>
      <c r="F7" s="22"/>
      <c r="G7" s="22"/>
      <c r="H7" s="121"/>
      <c r="I7" s="20" t="s">
        <v>61</v>
      </c>
      <c r="J7" s="122"/>
      <c r="K7" s="122"/>
      <c r="L7" s="122"/>
      <c r="M7" s="122"/>
      <c r="N7" s="50"/>
      <c r="O7" s="20" t="s">
        <v>62</v>
      </c>
      <c r="P7" s="122"/>
      <c r="Q7" s="123"/>
      <c r="R7" s="623"/>
      <c r="S7" s="825" t="s">
        <v>286</v>
      </c>
      <c r="T7" s="308" t="s">
        <v>300</v>
      </c>
      <c r="U7" s="555"/>
    </row>
    <row r="8" spans="1:21" ht="18" customHeight="1">
      <c r="A8" s="25" t="s">
        <v>45</v>
      </c>
      <c r="B8" s="124"/>
      <c r="C8" s="125" t="s">
        <v>0</v>
      </c>
      <c r="D8" s="126" t="s">
        <v>4</v>
      </c>
      <c r="E8" s="126" t="s">
        <v>5</v>
      </c>
      <c r="F8" s="126"/>
      <c r="G8" s="126"/>
      <c r="H8" s="127" t="s">
        <v>2</v>
      </c>
      <c r="I8" s="125" t="s">
        <v>0</v>
      </c>
      <c r="J8" s="126" t="s">
        <v>4</v>
      </c>
      <c r="K8" s="126" t="s">
        <v>5</v>
      </c>
      <c r="L8" s="128"/>
      <c r="M8" s="128"/>
      <c r="N8" s="129" t="s">
        <v>2</v>
      </c>
      <c r="O8" s="125" t="s">
        <v>0</v>
      </c>
      <c r="P8" s="126" t="s">
        <v>4</v>
      </c>
      <c r="Q8" s="130" t="s">
        <v>5</v>
      </c>
      <c r="R8" s="127" t="s">
        <v>2</v>
      </c>
      <c r="S8" s="826"/>
      <c r="T8" s="556" t="s">
        <v>52</v>
      </c>
      <c r="U8" s="557"/>
    </row>
    <row r="9" spans="1:49" ht="18" customHeight="1" thickBot="1">
      <c r="A9" s="13"/>
      <c r="B9" s="131" t="s">
        <v>46</v>
      </c>
      <c r="C9" s="43" t="s">
        <v>1</v>
      </c>
      <c r="D9" s="45" t="s">
        <v>1</v>
      </c>
      <c r="E9" s="45" t="s">
        <v>316</v>
      </c>
      <c r="F9" s="45"/>
      <c r="G9" s="45"/>
      <c r="H9" s="46" t="s">
        <v>48</v>
      </c>
      <c r="I9" s="43" t="s">
        <v>1</v>
      </c>
      <c r="J9" s="45" t="s">
        <v>1</v>
      </c>
      <c r="K9" s="45" t="s">
        <v>316</v>
      </c>
      <c r="L9" s="132"/>
      <c r="M9" s="132"/>
      <c r="N9" s="133" t="s">
        <v>48</v>
      </c>
      <c r="O9" s="43" t="s">
        <v>1</v>
      </c>
      <c r="P9" s="45" t="s">
        <v>1</v>
      </c>
      <c r="Q9" s="45" t="s">
        <v>316</v>
      </c>
      <c r="R9" s="46" t="s">
        <v>48</v>
      </c>
      <c r="S9" s="827"/>
      <c r="T9" s="558" t="s">
        <v>37</v>
      </c>
      <c r="U9" s="559" t="s">
        <v>217</v>
      </c>
      <c r="AU9" s="2" t="s">
        <v>38</v>
      </c>
      <c r="AV9" s="2" t="s">
        <v>39</v>
      </c>
      <c r="AW9" s="2" t="s">
        <v>40</v>
      </c>
    </row>
    <row r="10" spans="1:21" ht="18" customHeight="1">
      <c r="A10" s="14"/>
      <c r="B10" s="3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548"/>
      <c r="T10" s="110"/>
      <c r="U10" s="110"/>
    </row>
    <row r="11" spans="1:21" ht="18" customHeight="1" thickBot="1">
      <c r="A11" s="14"/>
      <c r="B11" s="38"/>
      <c r="C11" s="110"/>
      <c r="D11" s="110"/>
      <c r="E11" s="110"/>
      <c r="F11" s="110" t="s">
        <v>269</v>
      </c>
      <c r="G11" s="110"/>
      <c r="H11" s="14"/>
      <c r="I11" s="110"/>
      <c r="J11" s="110"/>
      <c r="K11" s="110"/>
      <c r="L11" s="110"/>
      <c r="M11" s="110"/>
      <c r="N11" s="14"/>
      <c r="O11" s="110"/>
      <c r="P11" s="110"/>
      <c r="Q11" s="110"/>
      <c r="R11" s="14"/>
      <c r="S11" s="110"/>
      <c r="T11" s="110"/>
      <c r="U11" s="110"/>
    </row>
    <row r="12" spans="1:21" ht="16.5" customHeight="1">
      <c r="A12" s="65"/>
      <c r="B12" s="624"/>
      <c r="C12" s="66"/>
      <c r="D12" s="625"/>
      <c r="E12" s="68"/>
      <c r="F12" s="2" t="s">
        <v>273</v>
      </c>
      <c r="G12" s="66"/>
      <c r="H12" s="626"/>
      <c r="I12" s="67"/>
      <c r="J12" s="611"/>
      <c r="K12" s="66"/>
      <c r="L12" s="66"/>
      <c r="M12" s="66"/>
      <c r="N12" s="627"/>
      <c r="O12" s="67"/>
      <c r="P12" s="68"/>
      <c r="Q12" s="68"/>
      <c r="R12" s="69"/>
      <c r="S12" s="549" t="s">
        <v>41</v>
      </c>
      <c r="T12" s="560"/>
      <c r="U12" s="561"/>
    </row>
    <row r="13" spans="1:47" ht="16.5" customHeight="1">
      <c r="A13" s="72" t="s">
        <v>6</v>
      </c>
      <c r="B13" s="499"/>
      <c r="C13" s="352">
        <f>SUM('Příjmy '!C13+'Příjmy '!I13+'Příjmy '!M13+'Příjmy '!Q13)</f>
        <v>341925</v>
      </c>
      <c r="D13" s="108">
        <f>SUM('Příjmy '!D13+'Příjmy '!J13+'Příjmy '!N13+'Příjmy '!R13)</f>
        <v>422011</v>
      </c>
      <c r="E13" s="75">
        <f>SUM('Příjmy '!E13+'Příjmy '!K13+'Příjmy '!O13+'Příjmy '!S13)</f>
        <v>411609</v>
      </c>
      <c r="F13" s="12">
        <v>411610556</v>
      </c>
      <c r="G13" s="628">
        <f>F13/1000-E13</f>
        <v>1.5559999999823049</v>
      </c>
      <c r="H13" s="629">
        <f>SUM(E13/D13*100)</f>
        <v>97.53513534007408</v>
      </c>
      <c r="I13" s="74">
        <f>SUM('Výdaje '!C13+'Výdaje '!H13)</f>
        <v>381374</v>
      </c>
      <c r="J13" s="75">
        <f>SUM('Výdaje '!D13+'Výdaje '!I13)</f>
        <v>468666</v>
      </c>
      <c r="K13" s="352">
        <f>SUM('Výdaje '!E13+'Výdaje '!J13)</f>
        <v>443942</v>
      </c>
      <c r="L13" s="352">
        <v>443942500</v>
      </c>
      <c r="M13" s="628">
        <f>L13/1000-K13</f>
        <v>0.5</v>
      </c>
      <c r="N13" s="630">
        <f>SUM(K13/J13*100)</f>
        <v>94.72460131522236</v>
      </c>
      <c r="O13" s="631">
        <f aca="true" t="shared" si="0" ref="O13:O41">SUM(C13-I13)</f>
        <v>-39449</v>
      </c>
      <c r="P13" s="355">
        <f aca="true" t="shared" si="1" ref="P13:P41">SUM(D13-J13)</f>
        <v>-46655</v>
      </c>
      <c r="Q13" s="355">
        <f aca="true" t="shared" si="2" ref="Q13:Q41">SUM(E13-K13)</f>
        <v>-32333</v>
      </c>
      <c r="R13" s="441">
        <f aca="true" t="shared" si="3" ref="R13:R20">SUM(Q13/P13*100)</f>
        <v>69.30232558139535</v>
      </c>
      <c r="S13" s="439">
        <f>14670+57070</f>
        <v>71740</v>
      </c>
      <c r="T13" s="552">
        <v>64940</v>
      </c>
      <c r="U13" s="554">
        <v>6098</v>
      </c>
      <c r="AU13" s="2">
        <v>-1</v>
      </c>
    </row>
    <row r="14" spans="1:21" ht="16.5" customHeight="1">
      <c r="A14" s="72" t="s">
        <v>7</v>
      </c>
      <c r="B14" s="491"/>
      <c r="C14" s="352">
        <f>SUM('Příjmy '!C14+'Příjmy '!I14+'Příjmy '!M14+'Příjmy '!Q14)</f>
        <v>43994</v>
      </c>
      <c r="D14" s="108">
        <f>SUM('Příjmy '!D14+'Příjmy '!J14+'Příjmy '!N14+'Příjmy '!R14)</f>
        <v>61900</v>
      </c>
      <c r="E14" s="75">
        <f>SUM('Příjmy '!E14+'Příjmy '!K14+'Příjmy '!O14+'Příjmy '!S14)</f>
        <v>62577</v>
      </c>
      <c r="F14" s="12">
        <v>62576319</v>
      </c>
      <c r="G14" s="628">
        <f aca="true" t="shared" si="4" ref="G14:G41">F14/1000-E14</f>
        <v>-0.6809999999968568</v>
      </c>
      <c r="H14" s="629">
        <f aca="true" t="shared" si="5" ref="H14:H41">SUM(E14/D14*100)</f>
        <v>101.09369951534732</v>
      </c>
      <c r="I14" s="74">
        <f>SUM('Výdaje '!C14+'Výdaje '!H14)</f>
        <v>48133</v>
      </c>
      <c r="J14" s="75">
        <f>SUM('Výdaje '!D14+'Výdaje '!I14)</f>
        <v>67538</v>
      </c>
      <c r="K14" s="352">
        <f>SUM('Výdaje '!E14+'Výdaje '!J14)</f>
        <v>63778</v>
      </c>
      <c r="L14" s="352">
        <v>63778450</v>
      </c>
      <c r="M14" s="628">
        <f aca="true" t="shared" si="6" ref="M14:M41">L14/1000-K14</f>
        <v>0.4499999999970896</v>
      </c>
      <c r="N14" s="630">
        <f aca="true" t="shared" si="7" ref="N14:N41">SUM(K14/J14*100)</f>
        <v>94.432763777429</v>
      </c>
      <c r="O14" s="631">
        <f t="shared" si="0"/>
        <v>-4139</v>
      </c>
      <c r="P14" s="355">
        <f t="shared" si="1"/>
        <v>-5638</v>
      </c>
      <c r="Q14" s="355">
        <f t="shared" si="2"/>
        <v>-1201</v>
      </c>
      <c r="R14" s="441">
        <f t="shared" si="3"/>
        <v>21.301880099326002</v>
      </c>
      <c r="S14" s="439">
        <f>4429+62</f>
        <v>4491</v>
      </c>
      <c r="T14" s="552">
        <v>14644</v>
      </c>
      <c r="U14" s="554">
        <v>1226</v>
      </c>
    </row>
    <row r="15" spans="1:21" ht="16.5" customHeight="1">
      <c r="A15" s="72" t="s">
        <v>8</v>
      </c>
      <c r="B15" s="491"/>
      <c r="C15" s="352">
        <f>SUM('Příjmy '!C15+'Příjmy '!I15+'Příjmy '!M15+'Příjmy '!Q15)</f>
        <v>62384</v>
      </c>
      <c r="D15" s="108">
        <f>SUM('Příjmy '!D15+'Příjmy '!J15+'Příjmy '!N15+'Příjmy '!R15)</f>
        <v>90742</v>
      </c>
      <c r="E15" s="75">
        <f>SUM('Příjmy '!E15+'Příjmy '!K15+'Příjmy '!O15+'Příjmy '!S15)</f>
        <v>76563</v>
      </c>
      <c r="F15" s="12">
        <v>76562552</v>
      </c>
      <c r="G15" s="628">
        <f t="shared" si="4"/>
        <v>-0.4480000000039581</v>
      </c>
      <c r="H15" s="629">
        <f t="shared" si="5"/>
        <v>84.37438011064337</v>
      </c>
      <c r="I15" s="74">
        <f>SUM('Výdaje '!C15+'Výdaje '!H15)</f>
        <v>61519</v>
      </c>
      <c r="J15" s="75">
        <f>SUM('Výdaje '!D15+'Výdaje '!I15)</f>
        <v>100775</v>
      </c>
      <c r="K15" s="352">
        <f>SUM('Výdaje '!E15+'Výdaje '!J15)</f>
        <v>68350</v>
      </c>
      <c r="L15" s="352">
        <v>68349807</v>
      </c>
      <c r="M15" s="628">
        <f t="shared" si="6"/>
        <v>-0.1929999999993015</v>
      </c>
      <c r="N15" s="630">
        <f t="shared" si="7"/>
        <v>67.82436120069461</v>
      </c>
      <c r="O15" s="631">
        <f t="shared" si="0"/>
        <v>865</v>
      </c>
      <c r="P15" s="355">
        <f t="shared" si="1"/>
        <v>-10033</v>
      </c>
      <c r="Q15" s="355">
        <f t="shared" si="2"/>
        <v>8213</v>
      </c>
      <c r="R15" s="441">
        <f t="shared" si="3"/>
        <v>-81.85986245390212</v>
      </c>
      <c r="S15" s="439">
        <f>12206+7812</f>
        <v>20018</v>
      </c>
      <c r="T15" s="552">
        <v>13228</v>
      </c>
      <c r="U15" s="554">
        <v>1447</v>
      </c>
    </row>
    <row r="16" spans="1:47" ht="16.5" customHeight="1">
      <c r="A16" s="72" t="s">
        <v>9</v>
      </c>
      <c r="B16" s="491"/>
      <c r="C16" s="352">
        <f>SUM('Příjmy '!C16+'Příjmy '!I16+'Příjmy '!M16+'Příjmy '!Q16)</f>
        <v>40640</v>
      </c>
      <c r="D16" s="108">
        <f>SUM('Příjmy '!D16+'Příjmy '!J16+'Příjmy '!N16+'Příjmy '!R16)</f>
        <v>54082</v>
      </c>
      <c r="E16" s="75">
        <f>SUM('Příjmy '!E16+'Příjmy '!K16+'Příjmy '!O16+'Příjmy '!S16)</f>
        <v>59221</v>
      </c>
      <c r="F16" s="12">
        <v>59222512</v>
      </c>
      <c r="G16" s="628">
        <f t="shared" si="4"/>
        <v>1.5120000000024447</v>
      </c>
      <c r="H16" s="629">
        <f t="shared" si="5"/>
        <v>109.50223734329352</v>
      </c>
      <c r="I16" s="74">
        <f>SUM('Výdaje '!C16+'Výdaje '!H16)</f>
        <v>35290</v>
      </c>
      <c r="J16" s="75">
        <f>SUM('Výdaje '!D16+'Výdaje '!I16)</f>
        <v>58052</v>
      </c>
      <c r="K16" s="352">
        <f>SUM('Výdaje '!E16+'Výdaje '!J16)</f>
        <v>52678</v>
      </c>
      <c r="L16" s="352">
        <v>52677591</v>
      </c>
      <c r="M16" s="628">
        <f t="shared" si="6"/>
        <v>-0.40899999999965075</v>
      </c>
      <c r="N16" s="630">
        <f t="shared" si="7"/>
        <v>90.74278233308068</v>
      </c>
      <c r="O16" s="631">
        <f t="shared" si="0"/>
        <v>5350</v>
      </c>
      <c r="P16" s="355">
        <f t="shared" si="1"/>
        <v>-3970</v>
      </c>
      <c r="Q16" s="355">
        <f t="shared" si="2"/>
        <v>6543</v>
      </c>
      <c r="R16" s="441">
        <f t="shared" si="3"/>
        <v>-164.8110831234257</v>
      </c>
      <c r="S16" s="439">
        <f>6410+9652</f>
        <v>16062</v>
      </c>
      <c r="T16" s="552">
        <v>10915</v>
      </c>
      <c r="U16" s="554">
        <v>1005</v>
      </c>
      <c r="AU16" s="2">
        <v>-1</v>
      </c>
    </row>
    <row r="17" spans="1:49" ht="16.5" customHeight="1">
      <c r="A17" s="72" t="s">
        <v>10</v>
      </c>
      <c r="B17" s="491"/>
      <c r="C17" s="352">
        <f>SUM('Příjmy '!C17+'Příjmy '!I17+'Příjmy '!M17+'Příjmy '!Q17)</f>
        <v>55642</v>
      </c>
      <c r="D17" s="108">
        <f>SUM('Příjmy '!D17+'Příjmy '!J17+'Příjmy '!N17+'Příjmy '!R17)</f>
        <v>69801</v>
      </c>
      <c r="E17" s="75">
        <f>SUM('Příjmy '!E17+'Příjmy '!K17+'Příjmy '!O17+'Příjmy '!S17)</f>
        <v>70418</v>
      </c>
      <c r="F17" s="12">
        <v>70417022</v>
      </c>
      <c r="G17" s="628">
        <f t="shared" si="4"/>
        <v>-0.978000000002794</v>
      </c>
      <c r="H17" s="629">
        <f t="shared" si="5"/>
        <v>100.88394149080959</v>
      </c>
      <c r="I17" s="74">
        <f>SUM('Výdaje '!C17+'Výdaje '!H17)</f>
        <v>44916</v>
      </c>
      <c r="J17" s="75">
        <f>SUM('Výdaje '!D17+'Výdaje '!I17)</f>
        <v>66295</v>
      </c>
      <c r="K17" s="352">
        <f>SUM('Výdaje '!E17+'Výdaje '!J17)</f>
        <v>64297</v>
      </c>
      <c r="L17" s="352">
        <v>64296882</v>
      </c>
      <c r="M17" s="628">
        <f t="shared" si="6"/>
        <v>-0.11800000000221189</v>
      </c>
      <c r="N17" s="630">
        <f t="shared" si="7"/>
        <v>96.9861980541519</v>
      </c>
      <c r="O17" s="631">
        <f t="shared" si="0"/>
        <v>10726</v>
      </c>
      <c r="P17" s="355">
        <f t="shared" si="1"/>
        <v>3506</v>
      </c>
      <c r="Q17" s="355">
        <f t="shared" si="2"/>
        <v>6121</v>
      </c>
      <c r="R17" s="441">
        <f t="shared" si="3"/>
        <v>174.58642327438676</v>
      </c>
      <c r="S17" s="439">
        <f>16512+2318</f>
        <v>18830</v>
      </c>
      <c r="T17" s="552">
        <v>12886</v>
      </c>
      <c r="U17" s="554">
        <v>1016</v>
      </c>
      <c r="AW17" s="2">
        <v>48</v>
      </c>
    </row>
    <row r="18" spans="1:47" ht="16.5" customHeight="1">
      <c r="A18" s="72" t="s">
        <v>11</v>
      </c>
      <c r="B18" s="491"/>
      <c r="C18" s="352">
        <f>SUM('Příjmy '!C18+'Příjmy '!I18+'Příjmy '!M18+'Příjmy '!Q18)</f>
        <v>13023</v>
      </c>
      <c r="D18" s="108">
        <f>SUM('Příjmy '!D18+'Příjmy '!J18+'Příjmy '!N18+'Příjmy '!R18)</f>
        <v>15576</v>
      </c>
      <c r="E18" s="75">
        <f>SUM('Příjmy '!E18+'Příjmy '!K18+'Příjmy '!O18+'Příjmy '!S18)</f>
        <v>15675</v>
      </c>
      <c r="F18" s="12">
        <v>15675096</v>
      </c>
      <c r="G18" s="628">
        <f t="shared" si="4"/>
        <v>0.09599999999954889</v>
      </c>
      <c r="H18" s="629">
        <f t="shared" si="5"/>
        <v>100.63559322033899</v>
      </c>
      <c r="I18" s="74">
        <f>SUM('Výdaje '!C18+'Výdaje '!H18)</f>
        <v>12220</v>
      </c>
      <c r="J18" s="75">
        <f>SUM('Výdaje '!D18+'Výdaje '!I18)</f>
        <v>15096</v>
      </c>
      <c r="K18" s="352">
        <f>SUM('Výdaje '!E18+'Výdaje '!J18)</f>
        <v>13451</v>
      </c>
      <c r="L18" s="352">
        <v>13451176</v>
      </c>
      <c r="M18" s="628">
        <f t="shared" si="6"/>
        <v>0.17599999999947613</v>
      </c>
      <c r="N18" s="630">
        <f t="shared" si="7"/>
        <v>89.1030736618972</v>
      </c>
      <c r="O18" s="631">
        <f t="shared" si="0"/>
        <v>803</v>
      </c>
      <c r="P18" s="355">
        <f t="shared" si="1"/>
        <v>480</v>
      </c>
      <c r="Q18" s="355">
        <f t="shared" si="2"/>
        <v>2224</v>
      </c>
      <c r="R18" s="441">
        <f t="shared" si="3"/>
        <v>463.33333333333337</v>
      </c>
      <c r="S18" s="439">
        <f>3603+1085</f>
        <v>4688</v>
      </c>
      <c r="T18" s="552">
        <v>2301</v>
      </c>
      <c r="U18" s="554">
        <v>153</v>
      </c>
      <c r="AU18" s="2">
        <v>-1</v>
      </c>
    </row>
    <row r="19" spans="1:49" ht="16.5" customHeight="1">
      <c r="A19" s="72" t="s">
        <v>242</v>
      </c>
      <c r="B19" s="491"/>
      <c r="C19" s="352">
        <f>SUM('Příjmy '!C19+'Příjmy '!I19+'Příjmy '!M19+'Příjmy '!Q19)</f>
        <v>108993</v>
      </c>
      <c r="D19" s="108">
        <f>SUM('Příjmy '!D19+'Příjmy '!J19+'Příjmy '!N19+'Příjmy '!R19)</f>
        <v>149304</v>
      </c>
      <c r="E19" s="75">
        <f>SUM('Příjmy '!E19+'Příjmy '!K19+'Příjmy '!O19+'Příjmy '!S19)</f>
        <v>146945</v>
      </c>
      <c r="F19" s="12">
        <v>146944927</v>
      </c>
      <c r="G19" s="628">
        <f t="shared" si="4"/>
        <v>-0.07300000000395812</v>
      </c>
      <c r="H19" s="629">
        <f t="shared" si="5"/>
        <v>98.42000214327814</v>
      </c>
      <c r="I19" s="74">
        <f>SUM('Výdaje '!C19+'Výdaje '!H19)</f>
        <v>106357</v>
      </c>
      <c r="J19" s="75">
        <f>SUM('Výdaje '!D19+'Výdaje '!I19)</f>
        <v>156116</v>
      </c>
      <c r="K19" s="352">
        <f>SUM('Výdaje '!E19+'Výdaje '!J19)</f>
        <v>145114</v>
      </c>
      <c r="L19" s="352">
        <v>145114585</v>
      </c>
      <c r="M19" s="628">
        <f t="shared" si="6"/>
        <v>0.5849999999918509</v>
      </c>
      <c r="N19" s="630">
        <f t="shared" si="7"/>
        <v>92.95267621512208</v>
      </c>
      <c r="O19" s="631">
        <f t="shared" si="0"/>
        <v>2636</v>
      </c>
      <c r="P19" s="355">
        <f t="shared" si="1"/>
        <v>-6812</v>
      </c>
      <c r="Q19" s="355">
        <f t="shared" si="2"/>
        <v>1831</v>
      </c>
      <c r="R19" s="441">
        <f t="shared" si="3"/>
        <v>-26.87903699354081</v>
      </c>
      <c r="S19" s="439">
        <f>8234+131</f>
        <v>8365</v>
      </c>
      <c r="T19" s="552">
        <v>20729</v>
      </c>
      <c r="U19" s="554">
        <v>1886</v>
      </c>
      <c r="AV19" s="2">
        <v>59</v>
      </c>
      <c r="AW19" s="2">
        <v>-1</v>
      </c>
    </row>
    <row r="20" spans="1:48" ht="16.5" customHeight="1">
      <c r="A20" s="72" t="s">
        <v>13</v>
      </c>
      <c r="B20" s="491"/>
      <c r="C20" s="352">
        <f>SUM('Příjmy '!C20+'Příjmy '!I20+'Příjmy '!M20+'Příjmy '!Q20)</f>
        <v>121373</v>
      </c>
      <c r="D20" s="108">
        <f>SUM('Příjmy '!D20+'Příjmy '!J20+'Příjmy '!N20+'Příjmy '!R20)</f>
        <v>151101</v>
      </c>
      <c r="E20" s="75">
        <f>SUM('Příjmy '!E20+'Příjmy '!K20+'Příjmy '!O20+'Příjmy '!S20)</f>
        <v>151335</v>
      </c>
      <c r="F20" s="12">
        <v>151334524</v>
      </c>
      <c r="G20" s="628">
        <f t="shared" si="4"/>
        <v>-0.47599999999511056</v>
      </c>
      <c r="H20" s="629">
        <f t="shared" si="5"/>
        <v>100.1548633033534</v>
      </c>
      <c r="I20" s="74">
        <f>SUM('Výdaje '!C20+'Výdaje '!H20)</f>
        <v>128220</v>
      </c>
      <c r="J20" s="75">
        <f>SUM('Výdaje '!D20+'Výdaje '!I20)</f>
        <v>172564</v>
      </c>
      <c r="K20" s="352">
        <f>SUM('Výdaje '!E20+'Výdaje '!J20)</f>
        <v>143054</v>
      </c>
      <c r="L20" s="352">
        <v>143053898</v>
      </c>
      <c r="M20" s="628">
        <f t="shared" si="6"/>
        <v>-0.10200000001350418</v>
      </c>
      <c r="N20" s="630">
        <f t="shared" si="7"/>
        <v>82.8990983055562</v>
      </c>
      <c r="O20" s="631">
        <f t="shared" si="0"/>
        <v>-6847</v>
      </c>
      <c r="P20" s="355">
        <f t="shared" si="1"/>
        <v>-21463</v>
      </c>
      <c r="Q20" s="355">
        <f t="shared" si="2"/>
        <v>8281</v>
      </c>
      <c r="R20" s="441">
        <f t="shared" si="3"/>
        <v>-38.582677165354326</v>
      </c>
      <c r="S20" s="439">
        <f>17987+11908</f>
        <v>29895</v>
      </c>
      <c r="T20" s="552">
        <v>22521</v>
      </c>
      <c r="U20" s="554">
        <v>1967</v>
      </c>
      <c r="AU20" s="2">
        <v>54</v>
      </c>
      <c r="AV20" s="2">
        <v>61</v>
      </c>
    </row>
    <row r="21" spans="1:21" ht="16.5" customHeight="1">
      <c r="A21" s="72" t="s">
        <v>14</v>
      </c>
      <c r="B21" s="491"/>
      <c r="C21" s="352">
        <f>SUM('Příjmy '!C21+'Příjmy '!I21+'Příjmy '!M21+'Příjmy '!Q21)</f>
        <v>10542</v>
      </c>
      <c r="D21" s="108">
        <f>SUM('Příjmy '!D21+'Příjmy '!J21+'Příjmy '!N21+'Příjmy '!R21)</f>
        <v>11318</v>
      </c>
      <c r="E21" s="75">
        <f>SUM('Příjmy '!E21+'Příjmy '!K21+'Příjmy '!O21+'Příjmy '!S21)</f>
        <v>11296</v>
      </c>
      <c r="F21" s="12">
        <v>11294944</v>
      </c>
      <c r="G21" s="628">
        <f t="shared" si="4"/>
        <v>-1.0560000000004948</v>
      </c>
      <c r="H21" s="629">
        <f t="shared" si="5"/>
        <v>99.80561936737939</v>
      </c>
      <c r="I21" s="74">
        <f>SUM('Výdaje '!C21+'Výdaje '!H21)</f>
        <v>10542</v>
      </c>
      <c r="J21" s="75">
        <f>SUM('Výdaje '!D21+'Výdaje '!I21)</f>
        <v>11318</v>
      </c>
      <c r="K21" s="352">
        <f>SUM('Výdaje '!E21+'Výdaje '!J21)</f>
        <v>9051</v>
      </c>
      <c r="L21" s="352">
        <v>9051242</v>
      </c>
      <c r="M21" s="628">
        <f t="shared" si="6"/>
        <v>0.24200000000018917</v>
      </c>
      <c r="N21" s="630">
        <f t="shared" si="7"/>
        <v>79.96995935677683</v>
      </c>
      <c r="O21" s="631">
        <f t="shared" si="0"/>
        <v>0</v>
      </c>
      <c r="P21" s="355">
        <f t="shared" si="1"/>
        <v>0</v>
      </c>
      <c r="Q21" s="355">
        <f t="shared" si="2"/>
        <v>2245</v>
      </c>
      <c r="R21" s="441"/>
      <c r="S21" s="439">
        <f>4931+185</f>
        <v>5116</v>
      </c>
      <c r="T21" s="552">
        <v>822</v>
      </c>
      <c r="U21" s="554">
        <v>48</v>
      </c>
    </row>
    <row r="22" spans="1:21" ht="16.5" customHeight="1">
      <c r="A22" s="72" t="s">
        <v>15</v>
      </c>
      <c r="B22" s="491"/>
      <c r="C22" s="352">
        <f>SUM('Příjmy '!C22+'Příjmy '!I22+'Příjmy '!M22+'Příjmy '!Q22)</f>
        <v>24846</v>
      </c>
      <c r="D22" s="108">
        <f>SUM('Příjmy '!D22+'Příjmy '!J22+'Příjmy '!N22+'Příjmy '!R22)</f>
        <v>45303</v>
      </c>
      <c r="E22" s="75">
        <f>SUM('Příjmy '!E22+'Příjmy '!K22+'Příjmy '!O22+'Příjmy '!S22)</f>
        <v>45224</v>
      </c>
      <c r="F22" s="12">
        <v>45225031</v>
      </c>
      <c r="G22" s="628">
        <f t="shared" si="4"/>
        <v>1.0310000000026776</v>
      </c>
      <c r="H22" s="629">
        <f t="shared" si="5"/>
        <v>99.82561861245392</v>
      </c>
      <c r="I22" s="74">
        <f>SUM('Výdaje '!C22+'Výdaje '!H22)</f>
        <v>25146</v>
      </c>
      <c r="J22" s="75">
        <f>SUM('Výdaje '!D22+'Výdaje '!I22)</f>
        <v>44023</v>
      </c>
      <c r="K22" s="352">
        <f>SUM('Výdaje '!E22+'Výdaje '!J22)</f>
        <v>42971</v>
      </c>
      <c r="L22" s="352">
        <v>42970742</v>
      </c>
      <c r="M22" s="628">
        <f t="shared" si="6"/>
        <v>-0.2580000000016298</v>
      </c>
      <c r="N22" s="630">
        <f t="shared" si="7"/>
        <v>97.61034004951958</v>
      </c>
      <c r="O22" s="631">
        <f t="shared" si="0"/>
        <v>-300</v>
      </c>
      <c r="P22" s="355">
        <f t="shared" si="1"/>
        <v>1280</v>
      </c>
      <c r="Q22" s="355">
        <f t="shared" si="2"/>
        <v>2253</v>
      </c>
      <c r="R22" s="441">
        <f aca="true" t="shared" si="8" ref="R22:R30">SUM(Q22/P22*100)</f>
        <v>176.015625</v>
      </c>
      <c r="S22" s="439">
        <f>5929+1360</f>
        <v>7289</v>
      </c>
      <c r="T22" s="552">
        <v>6878</v>
      </c>
      <c r="U22" s="554">
        <v>573</v>
      </c>
    </row>
    <row r="23" spans="1:48" ht="16.5" customHeight="1">
      <c r="A23" s="72" t="s">
        <v>16</v>
      </c>
      <c r="B23" s="491"/>
      <c r="C23" s="352">
        <f>SUM('Příjmy '!C23+'Příjmy '!I23+'Příjmy '!M23+'Příjmy '!Q23)</f>
        <v>13842</v>
      </c>
      <c r="D23" s="108">
        <f>SUM('Příjmy '!D23+'Příjmy '!J23+'Příjmy '!N23+'Příjmy '!R23)</f>
        <v>51045</v>
      </c>
      <c r="E23" s="75">
        <f>SUM('Příjmy '!E23+'Příjmy '!K23+'Příjmy '!O23+'Příjmy '!S23)</f>
        <v>49949</v>
      </c>
      <c r="F23" s="12">
        <v>49948126</v>
      </c>
      <c r="G23" s="628">
        <f t="shared" si="4"/>
        <v>-0.8740000000034343</v>
      </c>
      <c r="H23" s="629">
        <f t="shared" si="5"/>
        <v>97.8528749142913</v>
      </c>
      <c r="I23" s="74">
        <f>SUM('Výdaje '!C23+'Výdaje '!H23)</f>
        <v>13792</v>
      </c>
      <c r="J23" s="75">
        <f>SUM('Výdaje '!D23+'Výdaje '!I23)</f>
        <v>53771</v>
      </c>
      <c r="K23" s="352">
        <f>SUM('Výdaje '!E23+'Výdaje '!J23)</f>
        <v>45387</v>
      </c>
      <c r="L23" s="352">
        <v>45386987</v>
      </c>
      <c r="M23" s="628">
        <f t="shared" si="6"/>
        <v>-0.01299999999901047</v>
      </c>
      <c r="N23" s="630">
        <f t="shared" si="7"/>
        <v>84.40795224191478</v>
      </c>
      <c r="O23" s="631">
        <f t="shared" si="0"/>
        <v>50</v>
      </c>
      <c r="P23" s="355">
        <f t="shared" si="1"/>
        <v>-2726</v>
      </c>
      <c r="Q23" s="355">
        <f t="shared" si="2"/>
        <v>4562</v>
      </c>
      <c r="R23" s="441">
        <f t="shared" si="8"/>
        <v>-167.3514306676449</v>
      </c>
      <c r="S23" s="439">
        <f>7694+437</f>
        <v>8131</v>
      </c>
      <c r="T23" s="552">
        <v>3740</v>
      </c>
      <c r="U23" s="554">
        <v>275</v>
      </c>
      <c r="AV23" s="2">
        <v>34</v>
      </c>
    </row>
    <row r="24" spans="1:49" ht="16.5" customHeight="1">
      <c r="A24" s="72" t="s">
        <v>244</v>
      </c>
      <c r="B24" s="491"/>
      <c r="C24" s="352">
        <f>SUM('Příjmy '!C24+'Příjmy '!I24+'Příjmy '!M24+'Příjmy '!Q24)</f>
        <v>12701</v>
      </c>
      <c r="D24" s="108">
        <f>SUM('Příjmy '!D24+'Příjmy '!J24+'Příjmy '!N24+'Příjmy '!R24)</f>
        <v>17246</v>
      </c>
      <c r="E24" s="75">
        <f>SUM('Příjmy '!E24+'Příjmy '!K24+'Příjmy '!O24+'Příjmy '!S24)</f>
        <v>17293</v>
      </c>
      <c r="F24" s="12">
        <v>17293312</v>
      </c>
      <c r="G24" s="628">
        <f t="shared" si="4"/>
        <v>0.3120000000017171</v>
      </c>
      <c r="H24" s="629">
        <f t="shared" si="5"/>
        <v>100.27252696277398</v>
      </c>
      <c r="I24" s="74">
        <f>SUM('Výdaje '!C24+'Výdaje '!H24)</f>
        <v>13401</v>
      </c>
      <c r="J24" s="75">
        <f>SUM('Výdaje '!D24+'Výdaje '!I24)</f>
        <v>19821</v>
      </c>
      <c r="K24" s="352">
        <f>SUM('Výdaje '!E24+'Výdaje '!J24)</f>
        <v>18922</v>
      </c>
      <c r="L24" s="352">
        <v>18922131</v>
      </c>
      <c r="M24" s="628">
        <f t="shared" si="6"/>
        <v>0.13100000000122236</v>
      </c>
      <c r="N24" s="630">
        <f t="shared" si="7"/>
        <v>95.46440643761667</v>
      </c>
      <c r="O24" s="631">
        <f t="shared" si="0"/>
        <v>-700</v>
      </c>
      <c r="P24" s="355">
        <f t="shared" si="1"/>
        <v>-2575</v>
      </c>
      <c r="Q24" s="355">
        <f t="shared" si="2"/>
        <v>-1629</v>
      </c>
      <c r="R24" s="441">
        <f t="shared" si="8"/>
        <v>63.262135922330096</v>
      </c>
      <c r="S24" s="439">
        <f>523+1483-1</f>
        <v>2005</v>
      </c>
      <c r="T24" s="552">
        <v>2923</v>
      </c>
      <c r="U24" s="554">
        <v>220</v>
      </c>
      <c r="AU24" s="2">
        <v>-1</v>
      </c>
      <c r="AV24" s="2">
        <v>-1</v>
      </c>
      <c r="AW24" s="2">
        <v>-1</v>
      </c>
    </row>
    <row r="25" spans="1:47" ht="16.5" customHeight="1">
      <c r="A25" s="72" t="s">
        <v>18</v>
      </c>
      <c r="B25" s="491"/>
      <c r="C25" s="352">
        <f>SUM('Příjmy '!C25+'Příjmy '!I25+'Příjmy '!M25+'Příjmy '!Q25)</f>
        <v>185428</v>
      </c>
      <c r="D25" s="108">
        <f>SUM('Příjmy '!D25+'Příjmy '!J25+'Příjmy '!N25+'Příjmy '!R25)</f>
        <v>300228</v>
      </c>
      <c r="E25" s="75">
        <f>SUM('Příjmy '!E25+'Příjmy '!K25+'Příjmy '!O25+'Příjmy '!S25)</f>
        <v>300751</v>
      </c>
      <c r="F25" s="12">
        <v>300750992</v>
      </c>
      <c r="G25" s="628">
        <f t="shared" si="4"/>
        <v>-0.007999999972525984</v>
      </c>
      <c r="H25" s="629">
        <f t="shared" si="5"/>
        <v>100.17420094061846</v>
      </c>
      <c r="I25" s="74">
        <f>SUM('Výdaje '!C25+'Výdaje '!H25)</f>
        <v>164801</v>
      </c>
      <c r="J25" s="75">
        <f>SUM('Výdaje '!D25+'Výdaje '!I25)</f>
        <v>291468</v>
      </c>
      <c r="K25" s="352">
        <f>SUM('Výdaje '!E25+'Výdaje '!J25)</f>
        <v>236920</v>
      </c>
      <c r="L25" s="352">
        <v>236919985</v>
      </c>
      <c r="M25" s="628">
        <f t="shared" si="6"/>
        <v>-0.015000000013969839</v>
      </c>
      <c r="N25" s="630">
        <f t="shared" si="7"/>
        <v>81.28508103805564</v>
      </c>
      <c r="O25" s="631">
        <f t="shared" si="0"/>
        <v>20627</v>
      </c>
      <c r="P25" s="355">
        <f t="shared" si="1"/>
        <v>8760</v>
      </c>
      <c r="Q25" s="355">
        <f t="shared" si="2"/>
        <v>63831</v>
      </c>
      <c r="R25" s="441">
        <f t="shared" si="8"/>
        <v>728.6643835616438</v>
      </c>
      <c r="S25" s="439">
        <f>55115+8466</f>
        <v>63581</v>
      </c>
      <c r="T25" s="552">
        <v>45458</v>
      </c>
      <c r="U25" s="554">
        <v>3788</v>
      </c>
      <c r="AU25" s="2">
        <v>47</v>
      </c>
    </row>
    <row r="26" spans="1:47" ht="16.5" customHeight="1">
      <c r="A26" s="72" t="s">
        <v>58</v>
      </c>
      <c r="B26" s="491"/>
      <c r="C26" s="352">
        <f>SUM('Příjmy '!C26+'Příjmy '!I26+'Příjmy '!M26+'Příjmy '!Q26)</f>
        <v>22569</v>
      </c>
      <c r="D26" s="108">
        <f>SUM('Příjmy '!D26+'Příjmy '!J26+'Příjmy '!N26+'Příjmy '!R26)</f>
        <v>26943</v>
      </c>
      <c r="E26" s="75">
        <f>SUM('Příjmy '!E26+'Příjmy '!K26+'Příjmy '!O26+'Příjmy '!S26)</f>
        <v>27828</v>
      </c>
      <c r="F26" s="12">
        <v>27828469</v>
      </c>
      <c r="G26" s="628">
        <f t="shared" si="4"/>
        <v>0.4690000000009604</v>
      </c>
      <c r="H26" s="629">
        <f t="shared" si="5"/>
        <v>103.28471217013696</v>
      </c>
      <c r="I26" s="74">
        <f>SUM('Výdaje '!C26+'Výdaje '!H26)</f>
        <v>24041</v>
      </c>
      <c r="J26" s="75">
        <f>SUM('Výdaje '!D26+'Výdaje '!I26)</f>
        <v>33936</v>
      </c>
      <c r="K26" s="352">
        <f>SUM('Výdaje '!E26+'Výdaje '!J26)</f>
        <v>28184</v>
      </c>
      <c r="L26" s="352">
        <v>28183842</v>
      </c>
      <c r="M26" s="628">
        <f t="shared" si="6"/>
        <v>-0.15799999999944703</v>
      </c>
      <c r="N26" s="630">
        <f t="shared" si="7"/>
        <v>83.05044790193305</v>
      </c>
      <c r="O26" s="631">
        <f t="shared" si="0"/>
        <v>-1472</v>
      </c>
      <c r="P26" s="355">
        <f t="shared" si="1"/>
        <v>-6993</v>
      </c>
      <c r="Q26" s="355">
        <f t="shared" si="2"/>
        <v>-356</v>
      </c>
      <c r="R26" s="441">
        <f t="shared" si="8"/>
        <v>5.090805090805091</v>
      </c>
      <c r="S26" s="439">
        <f>6402+8111</f>
        <v>14513</v>
      </c>
      <c r="T26" s="552">
        <v>5116</v>
      </c>
      <c r="U26" s="554">
        <v>384</v>
      </c>
      <c r="AU26" s="2">
        <v>-1</v>
      </c>
    </row>
    <row r="27" spans="1:49" ht="16.5" customHeight="1">
      <c r="A27" s="72" t="s">
        <v>19</v>
      </c>
      <c r="B27" s="491"/>
      <c r="C27" s="352">
        <f>SUM('Příjmy '!C27+'Příjmy '!I27+'Příjmy '!M27+'Příjmy '!Q27)</f>
        <v>111640</v>
      </c>
      <c r="D27" s="108">
        <f>SUM('Příjmy '!D27+'Příjmy '!J27+'Příjmy '!N27+'Příjmy '!R27)</f>
        <v>137808</v>
      </c>
      <c r="E27" s="75">
        <f>SUM('Příjmy '!E27+'Příjmy '!K27+'Příjmy '!O27+'Příjmy '!S27)</f>
        <v>138816</v>
      </c>
      <c r="F27" s="12">
        <v>138816679</v>
      </c>
      <c r="G27" s="628">
        <f t="shared" si="4"/>
        <v>0.6790000000037253</v>
      </c>
      <c r="H27" s="629">
        <f t="shared" si="5"/>
        <v>100.73145245559039</v>
      </c>
      <c r="I27" s="74">
        <f>SUM('Výdaje '!C27+'Výdaje '!H27)</f>
        <v>100148</v>
      </c>
      <c r="J27" s="75">
        <f>SUM('Výdaje '!D27+'Výdaje '!I27)</f>
        <v>141825</v>
      </c>
      <c r="K27" s="352">
        <f>SUM('Výdaje '!E27+'Výdaje '!J27)</f>
        <v>131497</v>
      </c>
      <c r="L27" s="352">
        <v>131496367</v>
      </c>
      <c r="M27" s="628">
        <f t="shared" si="6"/>
        <v>-0.6330000000016298</v>
      </c>
      <c r="N27" s="630">
        <f t="shared" si="7"/>
        <v>92.71778600387802</v>
      </c>
      <c r="O27" s="631">
        <f t="shared" si="0"/>
        <v>11492</v>
      </c>
      <c r="P27" s="355">
        <f t="shared" si="1"/>
        <v>-4017</v>
      </c>
      <c r="Q27" s="355">
        <f t="shared" si="2"/>
        <v>7319</v>
      </c>
      <c r="R27" s="441">
        <f t="shared" si="8"/>
        <v>-182.20064724919095</v>
      </c>
      <c r="S27" s="439">
        <f>11046+326</f>
        <v>11372</v>
      </c>
      <c r="T27" s="552">
        <v>20728</v>
      </c>
      <c r="U27" s="554">
        <v>2096</v>
      </c>
      <c r="AW27" s="2">
        <v>-1</v>
      </c>
    </row>
    <row r="28" spans="1:21" ht="16.5" customHeight="1">
      <c r="A28" s="72" t="s">
        <v>20</v>
      </c>
      <c r="B28" s="491"/>
      <c r="C28" s="352">
        <f>SUM('Příjmy '!C28+'Příjmy '!I28+'Příjmy '!M28+'Příjmy '!Q28)</f>
        <v>42423</v>
      </c>
      <c r="D28" s="108">
        <f>SUM('Příjmy '!D28+'Příjmy '!J28+'Příjmy '!N28+'Příjmy '!R28)</f>
        <v>55181</v>
      </c>
      <c r="E28" s="75">
        <f>SUM('Příjmy '!E28+'Příjmy '!K28+'Příjmy '!O28+'Příjmy '!S28)</f>
        <v>55625</v>
      </c>
      <c r="F28" s="12">
        <v>55624269</v>
      </c>
      <c r="G28" s="628">
        <f t="shared" si="4"/>
        <v>-0.7309999999997672</v>
      </c>
      <c r="H28" s="629">
        <f t="shared" si="5"/>
        <v>100.80462478026857</v>
      </c>
      <c r="I28" s="74">
        <f>SUM('Výdaje '!C28+'Výdaje '!H28)</f>
        <v>32897</v>
      </c>
      <c r="J28" s="75">
        <f>SUM('Výdaje '!D28+'Výdaje '!I28)</f>
        <v>48152</v>
      </c>
      <c r="K28" s="352">
        <f>SUM('Výdaje '!E28+'Výdaje '!J28)</f>
        <v>44168</v>
      </c>
      <c r="L28" s="352">
        <v>44168132</v>
      </c>
      <c r="M28" s="628">
        <f t="shared" si="6"/>
        <v>0.1319999999977881</v>
      </c>
      <c r="N28" s="630">
        <f t="shared" si="7"/>
        <v>91.72620036550923</v>
      </c>
      <c r="O28" s="631">
        <f t="shared" si="0"/>
        <v>9526</v>
      </c>
      <c r="P28" s="355">
        <f t="shared" si="1"/>
        <v>7029</v>
      </c>
      <c r="Q28" s="355">
        <f t="shared" si="2"/>
        <v>11457</v>
      </c>
      <c r="R28" s="441">
        <f t="shared" si="8"/>
        <v>162.99615877080666</v>
      </c>
      <c r="S28" s="439">
        <f>8177+3</f>
        <v>8180</v>
      </c>
      <c r="T28" s="552">
        <v>7398</v>
      </c>
      <c r="U28" s="554">
        <v>799</v>
      </c>
    </row>
    <row r="29" spans="1:21" ht="16.5" customHeight="1">
      <c r="A29" s="72" t="s">
        <v>21</v>
      </c>
      <c r="B29" s="491"/>
      <c r="C29" s="352">
        <f>SUM('Příjmy '!C29+'Příjmy '!I29+'Příjmy '!M29+'Příjmy '!Q29)</f>
        <v>53251</v>
      </c>
      <c r="D29" s="108">
        <f>SUM('Příjmy '!D29+'Příjmy '!J29+'Příjmy '!N29+'Příjmy '!R29)</f>
        <v>92239</v>
      </c>
      <c r="E29" s="75">
        <f>SUM('Příjmy '!E29+'Příjmy '!K29+'Příjmy '!O29+'Příjmy '!S29)</f>
        <v>93777</v>
      </c>
      <c r="F29" s="12">
        <v>93775792</v>
      </c>
      <c r="G29" s="628">
        <f t="shared" si="4"/>
        <v>-1.2079999999987194</v>
      </c>
      <c r="H29" s="629">
        <f t="shared" si="5"/>
        <v>101.66740749574474</v>
      </c>
      <c r="I29" s="74">
        <f>SUM('Výdaje '!C29+'Výdaje '!H29)</f>
        <v>51536</v>
      </c>
      <c r="J29" s="75">
        <f>SUM('Výdaje '!D29+'Výdaje '!I29)</f>
        <v>102056</v>
      </c>
      <c r="K29" s="352">
        <f>SUM('Výdaje '!E29+'Výdaje '!J29)</f>
        <v>87202</v>
      </c>
      <c r="L29" s="352">
        <v>87202201</v>
      </c>
      <c r="M29" s="628">
        <f t="shared" si="6"/>
        <v>0.20100000000093132</v>
      </c>
      <c r="N29" s="630">
        <f t="shared" si="7"/>
        <v>85.44524574743278</v>
      </c>
      <c r="O29" s="631">
        <f t="shared" si="0"/>
        <v>1715</v>
      </c>
      <c r="P29" s="355">
        <f t="shared" si="1"/>
        <v>-9817</v>
      </c>
      <c r="Q29" s="355">
        <f t="shared" si="2"/>
        <v>6575</v>
      </c>
      <c r="R29" s="441">
        <f t="shared" si="8"/>
        <v>-66.97565447692779</v>
      </c>
      <c r="S29" s="439">
        <f>41853+99</f>
        <v>41952</v>
      </c>
      <c r="T29" s="552">
        <v>8681</v>
      </c>
      <c r="U29" s="554">
        <v>806</v>
      </c>
    </row>
    <row r="30" spans="1:47" ht="16.5" customHeight="1">
      <c r="A30" s="72" t="s">
        <v>22</v>
      </c>
      <c r="B30" s="491"/>
      <c r="C30" s="352">
        <f>SUM('Příjmy '!C30+'Příjmy '!I30+'Příjmy '!M30+'Příjmy '!Q30)</f>
        <v>58875</v>
      </c>
      <c r="D30" s="108">
        <f>SUM('Příjmy '!D30+'Příjmy '!J30+'Příjmy '!N30+'Příjmy '!R30)</f>
        <v>101656</v>
      </c>
      <c r="E30" s="75">
        <f>SUM('Příjmy '!E30+'Příjmy '!K30+'Příjmy '!O30+'Příjmy '!S30)</f>
        <v>103121</v>
      </c>
      <c r="F30" s="12">
        <v>103121971</v>
      </c>
      <c r="G30" s="628">
        <f t="shared" si="4"/>
        <v>0.9710000000050059</v>
      </c>
      <c r="H30" s="629">
        <f t="shared" si="5"/>
        <v>101.44113480758637</v>
      </c>
      <c r="I30" s="74">
        <f>SUM('Výdaje '!C30+'Výdaje '!H30)</f>
        <v>103200</v>
      </c>
      <c r="J30" s="75">
        <f>SUM('Výdaje '!D30+'Výdaje '!I30)</f>
        <v>150425</v>
      </c>
      <c r="K30" s="352">
        <f>SUM('Výdaje '!E30+'Výdaje '!J30)</f>
        <v>142712</v>
      </c>
      <c r="L30" s="352">
        <v>142711668</v>
      </c>
      <c r="M30" s="628">
        <f t="shared" si="6"/>
        <v>-0.3319999999948777</v>
      </c>
      <c r="N30" s="630">
        <f t="shared" si="7"/>
        <v>94.87252783779292</v>
      </c>
      <c r="O30" s="631">
        <f t="shared" si="0"/>
        <v>-44325</v>
      </c>
      <c r="P30" s="355">
        <f t="shared" si="1"/>
        <v>-48769</v>
      </c>
      <c r="Q30" s="355">
        <f t="shared" si="2"/>
        <v>-39591</v>
      </c>
      <c r="R30" s="441">
        <f t="shared" si="8"/>
        <v>81.18066804732514</v>
      </c>
      <c r="S30" s="439">
        <f>12120+12239</f>
        <v>24359</v>
      </c>
      <c r="T30" s="552">
        <v>13680</v>
      </c>
      <c r="U30" s="554">
        <v>642</v>
      </c>
      <c r="AU30" s="2">
        <v>-1</v>
      </c>
    </row>
    <row r="31" spans="1:48" ht="16.5" customHeight="1">
      <c r="A31" s="72" t="s">
        <v>23</v>
      </c>
      <c r="B31" s="491"/>
      <c r="C31" s="352">
        <f>SUM('Příjmy '!C31+'Příjmy '!I31+'Příjmy '!M31+'Příjmy '!Q31)</f>
        <v>118791</v>
      </c>
      <c r="D31" s="108">
        <f>SUM('Příjmy '!D31+'Příjmy '!J31+'Příjmy '!N31+'Příjmy '!R31)</f>
        <v>141776</v>
      </c>
      <c r="E31" s="75">
        <f>SUM('Příjmy '!E31+'Příjmy '!K31+'Příjmy '!O31+'Příjmy '!S31)</f>
        <v>142460</v>
      </c>
      <c r="F31" s="12">
        <v>142460325</v>
      </c>
      <c r="G31" s="628">
        <f t="shared" si="4"/>
        <v>0.32500000001164153</v>
      </c>
      <c r="H31" s="629">
        <f t="shared" si="5"/>
        <v>100.48245119061055</v>
      </c>
      <c r="I31" s="74">
        <f>SUM('Výdaje '!C31+'Výdaje '!H31)</f>
        <v>111423</v>
      </c>
      <c r="J31" s="75">
        <f>SUM('Výdaje '!D31+'Výdaje '!I31)</f>
        <v>145833</v>
      </c>
      <c r="K31" s="352">
        <f>SUM('Výdaje '!E31+'Výdaje '!J31)</f>
        <v>131659</v>
      </c>
      <c r="L31" s="352">
        <v>131658877</v>
      </c>
      <c r="M31" s="628">
        <f t="shared" si="6"/>
        <v>-0.12299999999231659</v>
      </c>
      <c r="N31" s="630">
        <f t="shared" si="7"/>
        <v>90.28066349865944</v>
      </c>
      <c r="O31" s="631">
        <f t="shared" si="0"/>
        <v>7368</v>
      </c>
      <c r="P31" s="355">
        <f t="shared" si="1"/>
        <v>-4057</v>
      </c>
      <c r="Q31" s="355">
        <f t="shared" si="2"/>
        <v>10801</v>
      </c>
      <c r="R31" s="441">
        <f aca="true" t="shared" si="9" ref="R31:R41">SUM(Q31/P31*100)</f>
        <v>-266.2312053241311</v>
      </c>
      <c r="S31" s="439">
        <f>27613+160</f>
        <v>27773</v>
      </c>
      <c r="T31" s="552">
        <v>25268</v>
      </c>
      <c r="U31" s="554">
        <v>2724</v>
      </c>
      <c r="AV31" s="2">
        <v>-1</v>
      </c>
    </row>
    <row r="32" spans="1:49" ht="16.5" customHeight="1">
      <c r="A32" s="72" t="s">
        <v>24</v>
      </c>
      <c r="B32" s="491"/>
      <c r="C32" s="352">
        <f>SUM('Příjmy '!C32+'Příjmy '!I32+'Příjmy '!M32+'Příjmy '!Q32)</f>
        <v>39284</v>
      </c>
      <c r="D32" s="108">
        <f>SUM('Příjmy '!D32+'Příjmy '!J32+'Příjmy '!N32+'Příjmy '!R32)</f>
        <v>69449</v>
      </c>
      <c r="E32" s="75">
        <f>SUM('Příjmy '!E32+'Příjmy '!K32+'Příjmy '!O32+'Příjmy '!S32)</f>
        <v>69161</v>
      </c>
      <c r="F32" s="12">
        <v>69162421</v>
      </c>
      <c r="G32" s="628">
        <f t="shared" si="4"/>
        <v>1.4210000000020955</v>
      </c>
      <c r="H32" s="629">
        <f t="shared" si="5"/>
        <v>99.58530720384744</v>
      </c>
      <c r="I32" s="74">
        <f>SUM('Výdaje '!C32+'Výdaje '!H32)</f>
        <v>34148</v>
      </c>
      <c r="J32" s="75">
        <f>SUM('Výdaje '!D32+'Výdaje '!I32)</f>
        <v>105812</v>
      </c>
      <c r="K32" s="352">
        <f>SUM('Výdaje '!E32+'Výdaje '!J32)</f>
        <v>102252</v>
      </c>
      <c r="L32" s="352">
        <v>102251434</v>
      </c>
      <c r="M32" s="628">
        <f t="shared" si="6"/>
        <v>-0.56600000000617</v>
      </c>
      <c r="N32" s="630">
        <f t="shared" si="7"/>
        <v>96.63554228253885</v>
      </c>
      <c r="O32" s="631">
        <f t="shared" si="0"/>
        <v>5136</v>
      </c>
      <c r="P32" s="355">
        <f t="shared" si="1"/>
        <v>-36363</v>
      </c>
      <c r="Q32" s="355">
        <f t="shared" si="2"/>
        <v>-33091</v>
      </c>
      <c r="R32" s="441">
        <f t="shared" si="9"/>
        <v>91.00184253224431</v>
      </c>
      <c r="S32" s="439">
        <f>10397+1991</f>
        <v>12388</v>
      </c>
      <c r="T32" s="552">
        <v>8450</v>
      </c>
      <c r="U32" s="554">
        <v>867</v>
      </c>
      <c r="AV32" s="2">
        <v>-1</v>
      </c>
      <c r="AW32" s="2">
        <v>-1</v>
      </c>
    </row>
    <row r="33" spans="1:48" ht="16.5" customHeight="1">
      <c r="A33" s="72" t="s">
        <v>25</v>
      </c>
      <c r="B33" s="491"/>
      <c r="C33" s="352">
        <f>SUM('Příjmy '!C33+'Příjmy '!I33+'Příjmy '!M33+'Příjmy '!Q33)</f>
        <v>25500</v>
      </c>
      <c r="D33" s="108">
        <f>SUM('Příjmy '!D33+'Příjmy '!J33+'Příjmy '!N33+'Příjmy '!R33)</f>
        <v>30275</v>
      </c>
      <c r="E33" s="75">
        <f>SUM('Příjmy '!E33+'Příjmy '!K33+'Příjmy '!O33+'Příjmy '!S33)</f>
        <v>30352</v>
      </c>
      <c r="F33" s="12">
        <v>30351156</v>
      </c>
      <c r="G33" s="628">
        <f t="shared" si="4"/>
        <v>-0.8440000000009604</v>
      </c>
      <c r="H33" s="629">
        <f t="shared" si="5"/>
        <v>100.2543352601156</v>
      </c>
      <c r="I33" s="74">
        <f>SUM('Výdaje '!C33+'Výdaje '!H33)</f>
        <v>25500</v>
      </c>
      <c r="J33" s="75">
        <f>SUM('Výdaje '!D33+'Výdaje '!I33)</f>
        <v>37734</v>
      </c>
      <c r="K33" s="352">
        <f>SUM('Výdaje '!E33+'Výdaje '!J33)</f>
        <v>29707</v>
      </c>
      <c r="L33" s="352">
        <v>29707148</v>
      </c>
      <c r="M33" s="628">
        <f t="shared" si="6"/>
        <v>0.14800000000104774</v>
      </c>
      <c r="N33" s="630">
        <f t="shared" si="7"/>
        <v>78.7274076429745</v>
      </c>
      <c r="O33" s="631">
        <f t="shared" si="0"/>
        <v>0</v>
      </c>
      <c r="P33" s="355">
        <f t="shared" si="1"/>
        <v>-7459</v>
      </c>
      <c r="Q33" s="355">
        <f t="shared" si="2"/>
        <v>645</v>
      </c>
      <c r="R33" s="441">
        <f t="shared" si="9"/>
        <v>-8.64727175224561</v>
      </c>
      <c r="S33" s="439">
        <f>8186+1998</f>
        <v>10184</v>
      </c>
      <c r="T33" s="552">
        <v>4977</v>
      </c>
      <c r="U33" s="554">
        <v>606</v>
      </c>
      <c r="AU33" s="2">
        <v>-1</v>
      </c>
      <c r="AV33" s="2">
        <v>-1</v>
      </c>
    </row>
    <row r="34" spans="1:21" ht="16.5" customHeight="1">
      <c r="A34" s="72" t="s">
        <v>26</v>
      </c>
      <c r="B34" s="491"/>
      <c r="C34" s="352">
        <f>SUM('Příjmy '!C34+'Příjmy '!I34+'Příjmy '!M34+'Příjmy '!Q34)</f>
        <v>14615</v>
      </c>
      <c r="D34" s="108">
        <f>SUM('Příjmy '!D34+'Příjmy '!J34+'Příjmy '!N34+'Příjmy '!R34)</f>
        <v>27738</v>
      </c>
      <c r="E34" s="75">
        <f>SUM('Příjmy '!E34+'Příjmy '!K34+'Příjmy '!O34+'Příjmy '!S34)</f>
        <v>26089</v>
      </c>
      <c r="F34" s="12">
        <v>26088915</v>
      </c>
      <c r="G34" s="628">
        <f t="shared" si="4"/>
        <v>-0.08499999999912689</v>
      </c>
      <c r="H34" s="629">
        <f t="shared" si="5"/>
        <v>94.05508688441849</v>
      </c>
      <c r="I34" s="74">
        <f>SUM('Výdaje '!C34+'Výdaje '!H34)</f>
        <v>14230</v>
      </c>
      <c r="J34" s="75">
        <f>SUM('Výdaje '!D34+'Výdaje '!I34)</f>
        <v>30145</v>
      </c>
      <c r="K34" s="352">
        <f>SUM('Výdaje '!E34+'Výdaje '!J34)</f>
        <v>22223</v>
      </c>
      <c r="L34" s="352">
        <v>22223757</v>
      </c>
      <c r="M34" s="628">
        <f t="shared" si="6"/>
        <v>0.7570000000014261</v>
      </c>
      <c r="N34" s="630">
        <f t="shared" si="7"/>
        <v>73.72035163377011</v>
      </c>
      <c r="O34" s="631">
        <f t="shared" si="0"/>
        <v>385</v>
      </c>
      <c r="P34" s="355">
        <f t="shared" si="1"/>
        <v>-2407</v>
      </c>
      <c r="Q34" s="355">
        <f t="shared" si="2"/>
        <v>3866</v>
      </c>
      <c r="R34" s="441">
        <f t="shared" si="9"/>
        <v>-160.61487328624844</v>
      </c>
      <c r="S34" s="439">
        <f>6371+6280</f>
        <v>12651</v>
      </c>
      <c r="T34" s="552">
        <v>3128</v>
      </c>
      <c r="U34" s="554">
        <v>484</v>
      </c>
    </row>
    <row r="35" spans="1:48" ht="16.5" customHeight="1">
      <c r="A35" s="72" t="s">
        <v>27</v>
      </c>
      <c r="B35" s="491"/>
      <c r="C35" s="352">
        <f>SUM('Příjmy '!C35+'Příjmy '!I35+'Příjmy '!M35+'Příjmy '!Q35)</f>
        <v>157406</v>
      </c>
      <c r="D35" s="108">
        <f>SUM('Příjmy '!D35+'Příjmy '!J35+'Příjmy '!N35+'Příjmy '!R35)</f>
        <v>217897</v>
      </c>
      <c r="E35" s="75">
        <f>SUM('Příjmy '!E35+'Příjmy '!K35+'Příjmy '!O35+'Příjmy '!S35)</f>
        <v>218842</v>
      </c>
      <c r="F35" s="12">
        <v>218842117</v>
      </c>
      <c r="G35" s="628">
        <f t="shared" si="4"/>
        <v>0.11699999999837019</v>
      </c>
      <c r="H35" s="629">
        <f t="shared" si="5"/>
        <v>100.43369114765233</v>
      </c>
      <c r="I35" s="74">
        <f>SUM('Výdaje '!C35+'Výdaje '!H35)</f>
        <v>185902</v>
      </c>
      <c r="J35" s="75">
        <f>SUM('Výdaje '!D35+'Výdaje '!I35)</f>
        <v>260363</v>
      </c>
      <c r="K35" s="352">
        <f>SUM('Výdaje '!E35+'Výdaje '!J35)</f>
        <v>236398</v>
      </c>
      <c r="L35" s="352">
        <v>236397849</v>
      </c>
      <c r="M35" s="628">
        <f t="shared" si="6"/>
        <v>-0.15100000001257285</v>
      </c>
      <c r="N35" s="630">
        <f t="shared" si="7"/>
        <v>90.79554314553143</v>
      </c>
      <c r="O35" s="631">
        <f t="shared" si="0"/>
        <v>-28496</v>
      </c>
      <c r="P35" s="355">
        <f t="shared" si="1"/>
        <v>-42466</v>
      </c>
      <c r="Q35" s="355">
        <f t="shared" si="2"/>
        <v>-17556</v>
      </c>
      <c r="R35" s="441">
        <f t="shared" si="9"/>
        <v>41.34130834079028</v>
      </c>
      <c r="S35" s="439">
        <f>24793+318</f>
        <v>25111</v>
      </c>
      <c r="T35" s="552">
        <v>26723</v>
      </c>
      <c r="U35" s="554">
        <v>2502</v>
      </c>
      <c r="AU35" s="2">
        <v>72</v>
      </c>
      <c r="AV35" s="2">
        <v>40</v>
      </c>
    </row>
    <row r="36" spans="1:48" ht="16.5" customHeight="1">
      <c r="A36" s="72" t="s">
        <v>28</v>
      </c>
      <c r="B36" s="491"/>
      <c r="C36" s="352">
        <f>SUM('Příjmy '!C36+'Příjmy '!I36+'Příjmy '!M36+'Příjmy '!Q36)</f>
        <v>13261</v>
      </c>
      <c r="D36" s="108">
        <f>SUM('Příjmy '!D36+'Příjmy '!J36+'Příjmy '!N36+'Příjmy '!R36)</f>
        <v>32561</v>
      </c>
      <c r="E36" s="75">
        <f>SUM('Příjmy '!E36+'Příjmy '!K36+'Příjmy '!O36+'Příjmy '!S36)</f>
        <v>32929</v>
      </c>
      <c r="F36" s="12">
        <v>32928958</v>
      </c>
      <c r="G36" s="628">
        <f t="shared" si="4"/>
        <v>-0.04200000000128057</v>
      </c>
      <c r="H36" s="629">
        <f t="shared" si="5"/>
        <v>101.13018641933603</v>
      </c>
      <c r="I36" s="74">
        <f>SUM('Výdaje '!C36+'Výdaje '!H36)</f>
        <v>13261</v>
      </c>
      <c r="J36" s="75">
        <f>SUM('Výdaje '!D36+'Výdaje '!I36)</f>
        <v>35692</v>
      </c>
      <c r="K36" s="352">
        <f>SUM('Výdaje '!E36+'Výdaje '!J36)</f>
        <v>35817</v>
      </c>
      <c r="L36" s="352">
        <v>35817554</v>
      </c>
      <c r="M36" s="628">
        <f t="shared" si="6"/>
        <v>0.5539999999964493</v>
      </c>
      <c r="N36" s="630">
        <f t="shared" si="7"/>
        <v>100.3502185363667</v>
      </c>
      <c r="O36" s="631">
        <f t="shared" si="0"/>
        <v>0</v>
      </c>
      <c r="P36" s="355">
        <f t="shared" si="1"/>
        <v>-3131</v>
      </c>
      <c r="Q36" s="355">
        <f t="shared" si="2"/>
        <v>-2888</v>
      </c>
      <c r="R36" s="441">
        <f t="shared" si="9"/>
        <v>92.23890130948578</v>
      </c>
      <c r="S36" s="439">
        <f>251+2335</f>
        <v>2586</v>
      </c>
      <c r="T36" s="552">
        <v>3854</v>
      </c>
      <c r="U36" s="554">
        <v>519</v>
      </c>
      <c r="AV36" s="2">
        <v>35</v>
      </c>
    </row>
    <row r="37" spans="1:49" ht="16.5" customHeight="1">
      <c r="A37" s="72" t="s">
        <v>325</v>
      </c>
      <c r="B37" s="491"/>
      <c r="C37" s="352">
        <f>SUM('Příjmy '!C37+'Příjmy '!I37+'Příjmy '!M37+'Příjmy '!Q37)</f>
        <v>56546</v>
      </c>
      <c r="D37" s="108">
        <f>SUM('Příjmy '!D37+'Příjmy '!J37+'Příjmy '!N37+'Příjmy '!R37)</f>
        <v>85212</v>
      </c>
      <c r="E37" s="75">
        <f>SUM('Příjmy '!E37+'Příjmy '!K37+'Příjmy '!O37+'Příjmy '!S37)</f>
        <v>90913</v>
      </c>
      <c r="F37" s="12">
        <v>90912512</v>
      </c>
      <c r="G37" s="628">
        <f t="shared" si="4"/>
        <v>-0.4879999999975553</v>
      </c>
      <c r="H37" s="629">
        <f t="shared" si="5"/>
        <v>106.69037224804019</v>
      </c>
      <c r="I37" s="74">
        <f>SUM('Výdaje '!C37+'Výdaje '!H37)</f>
        <v>73696</v>
      </c>
      <c r="J37" s="75">
        <f>SUM('Výdaje '!D37+'Výdaje '!I37)</f>
        <v>103490</v>
      </c>
      <c r="K37" s="352">
        <f>SUM('Výdaje '!E37+'Výdaje '!J37)</f>
        <v>88122</v>
      </c>
      <c r="L37" s="352">
        <v>88121783</v>
      </c>
      <c r="M37" s="628">
        <f t="shared" si="6"/>
        <v>-0.21700000000419095</v>
      </c>
      <c r="N37" s="630">
        <f t="shared" si="7"/>
        <v>85.15025606338776</v>
      </c>
      <c r="O37" s="631">
        <f t="shared" si="0"/>
        <v>-17150</v>
      </c>
      <c r="P37" s="355">
        <f t="shared" si="1"/>
        <v>-18278</v>
      </c>
      <c r="Q37" s="355">
        <f t="shared" si="2"/>
        <v>2791</v>
      </c>
      <c r="R37" s="441">
        <f t="shared" si="9"/>
        <v>-15.269723164460006</v>
      </c>
      <c r="S37" s="439">
        <f>17460+9792</f>
        <v>27252</v>
      </c>
      <c r="T37" s="552">
        <v>14771</v>
      </c>
      <c r="U37" s="554">
        <v>1326</v>
      </c>
      <c r="AW37" s="2">
        <v>-1</v>
      </c>
    </row>
    <row r="38" spans="1:48" ht="16.5" customHeight="1">
      <c r="A38" s="72" t="s">
        <v>29</v>
      </c>
      <c r="B38" s="491"/>
      <c r="C38" s="352">
        <f>SUM('Příjmy '!C38+'Příjmy '!I38+'Příjmy '!M38+'Příjmy '!Q38)</f>
        <v>4200</v>
      </c>
      <c r="D38" s="108">
        <f>SUM('Příjmy '!D38+'Příjmy '!J38+'Příjmy '!N38+'Příjmy '!R38)</f>
        <v>5688</v>
      </c>
      <c r="E38" s="75">
        <f>SUM('Příjmy '!E38+'Příjmy '!K38+'Příjmy '!O38+'Příjmy '!S38)</f>
        <v>5520</v>
      </c>
      <c r="F38" s="12">
        <v>5520119</v>
      </c>
      <c r="G38" s="628">
        <f t="shared" si="4"/>
        <v>0.11899999999968713</v>
      </c>
      <c r="H38" s="629">
        <f t="shared" si="5"/>
        <v>97.0464135021097</v>
      </c>
      <c r="I38" s="74">
        <f>SUM('Výdaje '!C38+'Výdaje '!H38)</f>
        <v>4200</v>
      </c>
      <c r="J38" s="75">
        <f>SUM('Výdaje '!D38+'Výdaje '!I38)</f>
        <v>5925</v>
      </c>
      <c r="K38" s="352">
        <f>SUM('Výdaje '!E38+'Výdaje '!J38)</f>
        <v>5407</v>
      </c>
      <c r="L38" s="352">
        <v>5407182</v>
      </c>
      <c r="M38" s="628">
        <f t="shared" si="6"/>
        <v>0.181999999999789</v>
      </c>
      <c r="N38" s="630">
        <f t="shared" si="7"/>
        <v>91.25738396624472</v>
      </c>
      <c r="O38" s="631">
        <f t="shared" si="0"/>
        <v>0</v>
      </c>
      <c r="P38" s="355">
        <f t="shared" si="1"/>
        <v>-237</v>
      </c>
      <c r="Q38" s="355">
        <f t="shared" si="2"/>
        <v>113</v>
      </c>
      <c r="R38" s="441">
        <f t="shared" si="9"/>
        <v>-47.67932489451477</v>
      </c>
      <c r="S38" s="439">
        <f>311+230</f>
        <v>541</v>
      </c>
      <c r="T38" s="552">
        <v>1521</v>
      </c>
      <c r="U38" s="554">
        <v>27</v>
      </c>
      <c r="AU38" s="2">
        <v>38</v>
      </c>
      <c r="AV38" s="2">
        <v>64</v>
      </c>
    </row>
    <row r="39" spans="1:21" ht="16.5" customHeight="1">
      <c r="A39" s="72" t="s">
        <v>30</v>
      </c>
      <c r="B39" s="491"/>
      <c r="C39" s="352">
        <f>SUM('Příjmy '!C39+'Příjmy '!I39+'Příjmy '!M39+'Příjmy '!Q39)</f>
        <v>4972</v>
      </c>
      <c r="D39" s="108">
        <f>SUM('Příjmy '!D39+'Příjmy '!J39+'Příjmy '!N39+'Příjmy '!R39)</f>
        <v>7631</v>
      </c>
      <c r="E39" s="75">
        <f>SUM('Příjmy '!E39+'Příjmy '!K39+'Příjmy '!O39+'Příjmy '!S39)</f>
        <v>7609</v>
      </c>
      <c r="F39" s="12">
        <v>7609119</v>
      </c>
      <c r="G39" s="628">
        <f t="shared" si="4"/>
        <v>0.11899999999968713</v>
      </c>
      <c r="H39" s="629">
        <f t="shared" si="5"/>
        <v>99.71170226706853</v>
      </c>
      <c r="I39" s="74">
        <f>SUM('Výdaje '!C39+'Výdaje '!H39)</f>
        <v>4972</v>
      </c>
      <c r="J39" s="75">
        <f>SUM('Výdaje '!D39+'Výdaje '!I39)</f>
        <v>7818</v>
      </c>
      <c r="K39" s="352">
        <f>SUM('Výdaje '!E39+'Výdaje '!J39)</f>
        <v>5776</v>
      </c>
      <c r="L39" s="352">
        <v>5775621</v>
      </c>
      <c r="M39" s="628">
        <f t="shared" si="6"/>
        <v>-0.3789999999999054</v>
      </c>
      <c r="N39" s="630">
        <f t="shared" si="7"/>
        <v>73.88078792530058</v>
      </c>
      <c r="O39" s="631">
        <f t="shared" si="0"/>
        <v>0</v>
      </c>
      <c r="P39" s="355">
        <f t="shared" si="1"/>
        <v>-187</v>
      </c>
      <c r="Q39" s="355">
        <f t="shared" si="2"/>
        <v>1833</v>
      </c>
      <c r="R39" s="441">
        <f t="shared" si="9"/>
        <v>-980.2139037433155</v>
      </c>
      <c r="S39" s="439">
        <f>2011+12</f>
        <v>2023</v>
      </c>
      <c r="T39" s="552">
        <v>1009</v>
      </c>
      <c r="U39" s="554">
        <v>193</v>
      </c>
    </row>
    <row r="40" spans="1:49" ht="16.5" customHeight="1">
      <c r="A40" s="72" t="s">
        <v>31</v>
      </c>
      <c r="B40" s="491"/>
      <c r="C40" s="352">
        <f>SUM('Příjmy '!C40+'Příjmy '!I40+'Příjmy '!M40+'Příjmy '!Q40)</f>
        <v>2555</v>
      </c>
      <c r="D40" s="108">
        <f>SUM('Příjmy '!D40+'Příjmy '!J40+'Příjmy '!N40+'Příjmy '!R40)</f>
        <v>3578</v>
      </c>
      <c r="E40" s="75">
        <f>SUM('Příjmy '!E40+'Příjmy '!K40+'Příjmy '!O40+'Příjmy '!S40)</f>
        <v>3385</v>
      </c>
      <c r="F40" s="12">
        <v>3385759</v>
      </c>
      <c r="G40" s="628">
        <f t="shared" si="4"/>
        <v>0.7590000000000146</v>
      </c>
      <c r="H40" s="629">
        <f t="shared" si="5"/>
        <v>94.60592509782</v>
      </c>
      <c r="I40" s="74">
        <f>SUM('Výdaje '!C40+'Výdaje '!H40)</f>
        <v>2555</v>
      </c>
      <c r="J40" s="75">
        <f>SUM('Výdaje '!D40+'Výdaje '!I40)</f>
        <v>4237</v>
      </c>
      <c r="K40" s="352">
        <f>SUM('Výdaje '!E40+'Výdaje '!J40)</f>
        <v>3848</v>
      </c>
      <c r="L40" s="352">
        <v>3848411</v>
      </c>
      <c r="M40" s="628">
        <f t="shared" si="6"/>
        <v>0.4110000000000582</v>
      </c>
      <c r="N40" s="630">
        <f t="shared" si="7"/>
        <v>90.81897569034695</v>
      </c>
      <c r="O40" s="631">
        <f t="shared" si="0"/>
        <v>0</v>
      </c>
      <c r="P40" s="355">
        <f t="shared" si="1"/>
        <v>-659</v>
      </c>
      <c r="Q40" s="355">
        <f t="shared" si="2"/>
        <v>-463</v>
      </c>
      <c r="R40" s="441">
        <f t="shared" si="9"/>
        <v>70.25796661608497</v>
      </c>
      <c r="S40" s="439">
        <f>374+41</f>
        <v>415</v>
      </c>
      <c r="T40" s="553">
        <v>567</v>
      </c>
      <c r="U40" s="562"/>
      <c r="AV40" s="2">
        <v>57</v>
      </c>
      <c r="AW40" s="2">
        <v>56</v>
      </c>
    </row>
    <row r="41" spans="1:21" ht="16.5" customHeight="1">
      <c r="A41" s="72" t="s">
        <v>32</v>
      </c>
      <c r="B41" s="499"/>
      <c r="C41" s="352">
        <f>SUM('Příjmy '!C41+'Příjmy '!I41+'Příjmy '!M41+'Příjmy '!Q41)</f>
        <v>2329</v>
      </c>
      <c r="D41" s="108">
        <f>SUM('Příjmy '!D41+'Příjmy '!J41+'Příjmy '!N41+'Příjmy '!R41)</f>
        <v>3002</v>
      </c>
      <c r="E41" s="75">
        <f>SUM('Příjmy '!E41+'Příjmy '!K41+'Příjmy '!O41+'Příjmy '!S41)</f>
        <v>2998</v>
      </c>
      <c r="F41" s="12">
        <v>2996979</v>
      </c>
      <c r="G41" s="628">
        <f t="shared" si="4"/>
        <v>-1.0210000000001855</v>
      </c>
      <c r="H41" s="629">
        <f t="shared" si="5"/>
        <v>99.86675549633578</v>
      </c>
      <c r="I41" s="74">
        <f>SUM('Výdaje '!C41+'Výdaje '!H41)</f>
        <v>2329</v>
      </c>
      <c r="J41" s="75">
        <f>SUM('Výdaje '!D41+'Výdaje '!I41)</f>
        <v>3485</v>
      </c>
      <c r="K41" s="352">
        <f>SUM('Výdaje '!E41+'Výdaje '!J41)</f>
        <v>3198</v>
      </c>
      <c r="L41" s="352">
        <v>3197612</v>
      </c>
      <c r="M41" s="628">
        <f t="shared" si="6"/>
        <v>-0.38799999999991996</v>
      </c>
      <c r="N41" s="630">
        <f t="shared" si="7"/>
        <v>91.76470588235294</v>
      </c>
      <c r="O41" s="631">
        <f t="shared" si="0"/>
        <v>0</v>
      </c>
      <c r="P41" s="355">
        <f t="shared" si="1"/>
        <v>-483</v>
      </c>
      <c r="Q41" s="355">
        <f t="shared" si="2"/>
        <v>-200</v>
      </c>
      <c r="R41" s="441">
        <f t="shared" si="9"/>
        <v>41.40786749482402</v>
      </c>
      <c r="S41" s="439">
        <f>478</f>
        <v>478</v>
      </c>
      <c r="T41" s="553">
        <v>677</v>
      </c>
      <c r="U41" s="562"/>
    </row>
    <row r="42" spans="1:21" ht="15" customHeight="1" thickBot="1">
      <c r="A42" s="78"/>
      <c r="B42" s="632"/>
      <c r="C42" s="633"/>
      <c r="D42" s="109"/>
      <c r="E42" s="81"/>
      <c r="G42" s="352"/>
      <c r="H42" s="634"/>
      <c r="I42" s="612"/>
      <c r="J42" s="613"/>
      <c r="K42" s="79"/>
      <c r="L42" s="79"/>
      <c r="M42" s="635"/>
      <c r="N42" s="636"/>
      <c r="O42" s="637"/>
      <c r="P42" s="370"/>
      <c r="Q42" s="370"/>
      <c r="R42" s="83"/>
      <c r="S42" s="550"/>
      <c r="T42" s="563"/>
      <c r="U42" s="564"/>
    </row>
    <row r="43" spans="1:21" ht="15" customHeight="1">
      <c r="A43" s="4"/>
      <c r="B43" s="4"/>
      <c r="C43" s="84"/>
      <c r="D43" s="84"/>
      <c r="E43" s="84"/>
      <c r="F43" s="84"/>
      <c r="G43" s="84"/>
      <c r="H43" s="638"/>
      <c r="I43" s="614"/>
      <c r="J43" s="614"/>
      <c r="K43" s="84"/>
      <c r="L43" s="84"/>
      <c r="M43" s="639"/>
      <c r="N43" s="4"/>
      <c r="O43" s="640"/>
      <c r="P43" s="640"/>
      <c r="Q43" s="640"/>
      <c r="R43" s="4"/>
      <c r="S43" s="84"/>
      <c r="T43" s="4"/>
      <c r="U43" s="4"/>
    </row>
    <row r="44" spans="1:21" ht="15" customHeight="1" thickBot="1">
      <c r="A44" s="4"/>
      <c r="B44" s="4"/>
      <c r="C44" s="84"/>
      <c r="D44" s="84"/>
      <c r="E44" s="4"/>
      <c r="F44" s="4"/>
      <c r="G44" s="4"/>
      <c r="H44" s="641"/>
      <c r="I44" s="84"/>
      <c r="J44" s="84"/>
      <c r="K44" s="4"/>
      <c r="L44" s="4"/>
      <c r="M44" s="493"/>
      <c r="N44" s="4"/>
      <c r="O44" s="640"/>
      <c r="P44" s="640"/>
      <c r="Q44" s="640"/>
      <c r="R44" s="4"/>
      <c r="S44" s="84"/>
      <c r="T44" s="4"/>
      <c r="U44" s="4"/>
    </row>
    <row r="45" spans="1:21" ht="19.5" customHeight="1" thickBot="1">
      <c r="A45" s="49" t="s">
        <v>33</v>
      </c>
      <c r="B45" s="4"/>
      <c r="C45" s="87">
        <f>SUM(C12:C41)</f>
        <v>1763550</v>
      </c>
      <c r="D45" s="107">
        <f>SUM(D12:D41)</f>
        <v>2478291</v>
      </c>
      <c r="E45" s="88">
        <f>SUM(E13:E41)</f>
        <v>2468281</v>
      </c>
      <c r="F45" s="642">
        <f>SUM(F13:F41)</f>
        <v>2468281473</v>
      </c>
      <c r="G45" s="551"/>
      <c r="H45" s="643">
        <f>SUM(E45/D45*100)</f>
        <v>99.59609262996153</v>
      </c>
      <c r="I45" s="87">
        <f>SUM(I13:I41)</f>
        <v>1829749</v>
      </c>
      <c r="J45" s="107">
        <f>SUM(J13:J41)</f>
        <v>2742431</v>
      </c>
      <c r="K45" s="88">
        <f>SUM(K13:K41)</f>
        <v>2446085</v>
      </c>
      <c r="L45" s="644">
        <f>SUM(L13:L41)</f>
        <v>2446085414</v>
      </c>
      <c r="M45" s="645"/>
      <c r="N45" s="89">
        <f>SUM(K45/J45*100)</f>
        <v>89.19403988650944</v>
      </c>
      <c r="O45" s="646">
        <f>SUM(O13:O41)</f>
        <v>-66199</v>
      </c>
      <c r="P45" s="647">
        <f>SUM(P13:P41)</f>
        <v>-264140</v>
      </c>
      <c r="Q45" s="372">
        <f>SUM(Q13:Q41)</f>
        <v>22196</v>
      </c>
      <c r="R45" s="596"/>
      <c r="S45" s="551">
        <f>SUM(S13:S41)</f>
        <v>481989</v>
      </c>
      <c r="T45" s="87">
        <f>SUM(T13:T44)</f>
        <v>368533</v>
      </c>
      <c r="U45" s="565">
        <f>SUM(U13:U41)</f>
        <v>33677</v>
      </c>
    </row>
    <row r="46" spans="5:19" ht="15">
      <c r="E46" s="6"/>
      <c r="F46" s="6"/>
      <c r="G46" s="6"/>
      <c r="K46" s="6"/>
      <c r="L46" s="6"/>
      <c r="M46" s="6"/>
      <c r="Q46" s="6"/>
      <c r="R46" s="6"/>
      <c r="S46" s="6"/>
    </row>
    <row r="48" ht="15">
      <c r="S48" s="100"/>
    </row>
    <row r="49" spans="3:21" ht="15">
      <c r="C49" s="6">
        <v>1763550</v>
      </c>
      <c r="D49" s="6">
        <v>2478291</v>
      </c>
      <c r="E49" s="6">
        <v>2468281</v>
      </c>
      <c r="I49" s="6">
        <v>1829749</v>
      </c>
      <c r="J49" s="6">
        <v>2742431</v>
      </c>
      <c r="K49" s="6">
        <v>2446085</v>
      </c>
      <c r="L49" s="6"/>
      <c r="M49" s="6"/>
      <c r="N49" s="6"/>
      <c r="O49" s="2">
        <v>-66199</v>
      </c>
      <c r="P49" s="2">
        <v>-264140</v>
      </c>
      <c r="Q49" s="2">
        <v>-22196</v>
      </c>
      <c r="S49" s="648">
        <f>336082669.07+145906673.63</f>
        <v>481989342.7</v>
      </c>
      <c r="T49" s="2">
        <v>368533</v>
      </c>
      <c r="U49" s="2">
        <v>33677</v>
      </c>
    </row>
    <row r="50" spans="5:17" ht="15.75" customHeight="1">
      <c r="E50" s="2">
        <v>2468281480</v>
      </c>
      <c r="K50" s="2">
        <v>2446085425</v>
      </c>
      <c r="Q50" s="6">
        <f>E49-K49</f>
        <v>22196</v>
      </c>
    </row>
    <row r="51" spans="23:24" ht="15">
      <c r="W51" s="383"/>
      <c r="X51" s="383"/>
    </row>
    <row r="54" ht="15.75" customHeight="1"/>
    <row r="55" ht="15.75" customHeight="1"/>
    <row r="56" ht="15.75" customHeight="1"/>
    <row r="57" ht="15.75" customHeight="1"/>
    <row r="58" ht="15.75" customHeight="1"/>
    <row r="59" ht="18" customHeight="1"/>
    <row r="60" ht="18" customHeight="1"/>
    <row r="61" ht="13.5" customHeight="1"/>
    <row r="63" ht="18" customHeight="1"/>
    <row r="64" ht="13.5" customHeight="1"/>
    <row r="65" ht="15.75" customHeight="1"/>
    <row r="67" ht="13.5" customHeight="1"/>
    <row r="68" ht="12" customHeight="1"/>
    <row r="69" ht="15.75" customHeight="1">
      <c r="AF69" s="192"/>
    </row>
    <row r="70" spans="23:32" ht="15.75" customHeight="1">
      <c r="W70" s="195"/>
      <c r="AF70" s="19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spans="20:24" ht="15.75">
      <c r="T112" s="303"/>
      <c r="U112" s="383"/>
      <c r="V112" s="383"/>
      <c r="W112" s="383"/>
      <c r="X112" s="383"/>
    </row>
  </sheetData>
  <mergeCells count="2">
    <mergeCell ref="A2:V2"/>
    <mergeCell ref="S7:S9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600" verticalDpi="600" orientation="landscape" paperSize="9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AN97"/>
  <sheetViews>
    <sheetView workbookViewId="0" topLeftCell="A1">
      <pane xSplit="2" ySplit="13" topLeftCell="C26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E30" sqref="E30"/>
    </sheetView>
  </sheetViews>
  <sheetFormatPr defaultColWidth="9.796875" defaultRowHeight="15"/>
  <cols>
    <col min="1" max="1" width="7.796875" style="2" customWidth="1"/>
    <col min="2" max="2" width="11.796875" style="2" customWidth="1"/>
    <col min="3" max="4" width="7.796875" style="2" customWidth="1"/>
    <col min="5" max="5" width="7.19921875" style="2" customWidth="1"/>
    <col min="6" max="6" width="5.796875" style="2" customWidth="1"/>
    <col min="7" max="8" width="7.796875" style="2" customWidth="1"/>
    <col min="9" max="9" width="6.8984375" style="2" customWidth="1"/>
    <col min="10" max="10" width="5.796875" style="2" customWidth="1"/>
    <col min="11" max="11" width="7.69921875" style="2" customWidth="1"/>
    <col min="12" max="13" width="7.796875" style="2" customWidth="1"/>
    <col min="14" max="14" width="5.796875" style="2" customWidth="1"/>
    <col min="15" max="15" width="7.69921875" style="2" customWidth="1"/>
    <col min="16" max="17" width="7.796875" style="2" customWidth="1"/>
    <col min="18" max="18" width="5.796875" style="2" customWidth="1"/>
    <col min="19" max="21" width="7.796875" style="2" customWidth="1"/>
    <col min="22" max="22" width="5.796875" style="2" customWidth="1"/>
    <col min="23" max="25" width="7.796875" style="2" customWidth="1"/>
    <col min="26" max="26" width="5.796875" style="2" customWidth="1"/>
    <col min="27" max="29" width="7.796875" style="2" hidden="1" customWidth="1"/>
    <col min="30" max="30" width="6.19921875" style="2" hidden="1" customWidth="1"/>
    <col min="31" max="31" width="3.296875" style="2" customWidth="1"/>
    <col min="32" max="32" width="8.796875" style="2" customWidth="1"/>
    <col min="33" max="33" width="9" style="2" customWidth="1"/>
    <col min="34" max="34" width="8.3984375" style="2" customWidth="1"/>
    <col min="35" max="35" width="11.69921875" style="6" customWidth="1"/>
    <col min="36" max="36" width="10.59765625" style="2" customWidth="1"/>
    <col min="37" max="37" width="11.296875" style="2" customWidth="1"/>
    <col min="38" max="38" width="9.796875" style="2" customWidth="1"/>
    <col min="39" max="39" width="11" style="2" customWidth="1"/>
    <col min="40" max="16384" width="9.796875" style="2" customWidth="1"/>
  </cols>
  <sheetData>
    <row r="1" spans="1:30" ht="17.25" customHeight="1">
      <c r="A1" s="9"/>
      <c r="B1" s="8"/>
      <c r="C1" s="1"/>
      <c r="D1" s="1"/>
      <c r="E1" s="1"/>
      <c r="F1" s="1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4" customHeight="1">
      <c r="A2" s="824" t="s">
        <v>323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58"/>
      <c r="AB2" s="58"/>
      <c r="AC2" s="58"/>
      <c r="AD2" s="58"/>
    </row>
    <row r="3" spans="1:30" ht="15" customHeight="1">
      <c r="A3" s="4"/>
      <c r="B3" s="4"/>
      <c r="C3" s="4"/>
      <c r="D3" s="4"/>
      <c r="E3" s="4"/>
      <c r="F3" s="4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1" customHeight="1">
      <c r="A4" s="10" t="s">
        <v>295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40" ht="22.5" customHeight="1">
      <c r="A5" s="3"/>
      <c r="B5" s="3"/>
      <c r="C5" s="188"/>
      <c r="D5" s="18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X5" s="3"/>
      <c r="Z5" s="534" t="s">
        <v>221</v>
      </c>
      <c r="AA5" s="3"/>
      <c r="AE5" s="5"/>
      <c r="AF5" s="5"/>
      <c r="AG5" s="5"/>
      <c r="AH5" s="5"/>
      <c r="AI5" s="301"/>
      <c r="AJ5" s="5"/>
      <c r="AK5" s="5"/>
      <c r="AL5" s="5"/>
      <c r="AM5" s="5"/>
      <c r="AN5" s="5"/>
    </row>
    <row r="6" spans="1:40" ht="22.5" customHeight="1" thickBot="1">
      <c r="A6" s="3"/>
      <c r="B6" s="3"/>
      <c r="C6" s="188"/>
      <c r="D6" s="18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Z6" s="534" t="s">
        <v>178</v>
      </c>
      <c r="AA6" s="3"/>
      <c r="AB6" s="3"/>
      <c r="AC6" s="3"/>
      <c r="AD6" s="3"/>
      <c r="AE6" s="5"/>
      <c r="AF6" s="5"/>
      <c r="AG6" s="5"/>
      <c r="AH6" s="5"/>
      <c r="AI6" s="301"/>
      <c r="AJ6" s="5"/>
      <c r="AK6" s="5"/>
      <c r="AL6" s="5"/>
      <c r="AM6" s="5"/>
      <c r="AN6" s="5"/>
    </row>
    <row r="7" spans="1:40" ht="18" customHeight="1">
      <c r="A7" s="18"/>
      <c r="B7" s="19"/>
      <c r="C7" s="846" t="s">
        <v>180</v>
      </c>
      <c r="D7" s="847"/>
      <c r="E7" s="847"/>
      <c r="F7" s="848"/>
      <c r="G7" s="834" t="s">
        <v>253</v>
      </c>
      <c r="H7" s="834"/>
      <c r="I7" s="834"/>
      <c r="J7" s="834"/>
      <c r="K7" s="835" t="s">
        <v>265</v>
      </c>
      <c r="L7" s="834"/>
      <c r="M7" s="834"/>
      <c r="N7" s="834"/>
      <c r="O7" s="884" t="s">
        <v>226</v>
      </c>
      <c r="P7" s="885"/>
      <c r="Q7" s="885"/>
      <c r="R7" s="886"/>
      <c r="S7" s="834" t="s">
        <v>296</v>
      </c>
      <c r="T7" s="875"/>
      <c r="U7" s="875"/>
      <c r="V7" s="876"/>
      <c r="W7" s="834" t="s">
        <v>255</v>
      </c>
      <c r="X7" s="834"/>
      <c r="Y7" s="834"/>
      <c r="Z7" s="836"/>
      <c r="AA7" s="834" t="s">
        <v>265</v>
      </c>
      <c r="AB7" s="875"/>
      <c r="AC7" s="875"/>
      <c r="AD7" s="876"/>
      <c r="AE7" s="5"/>
      <c r="AF7" s="5"/>
      <c r="AG7" s="5"/>
      <c r="AH7" s="5"/>
      <c r="AI7" s="301"/>
      <c r="AJ7" s="5"/>
      <c r="AK7" s="5"/>
      <c r="AL7" s="5"/>
      <c r="AM7" s="5"/>
      <c r="AN7" s="5"/>
    </row>
    <row r="8" spans="1:40" ht="18" customHeight="1">
      <c r="A8" s="37"/>
      <c r="B8" s="14"/>
      <c r="C8" s="880" t="s">
        <v>182</v>
      </c>
      <c r="D8" s="881"/>
      <c r="E8" s="881"/>
      <c r="F8" s="882"/>
      <c r="G8" s="874" t="s">
        <v>183</v>
      </c>
      <c r="H8" s="874"/>
      <c r="I8" s="874"/>
      <c r="J8" s="874"/>
      <c r="K8" s="883" t="s">
        <v>170</v>
      </c>
      <c r="L8" s="874"/>
      <c r="M8" s="874"/>
      <c r="N8" s="874"/>
      <c r="O8" s="871" t="s">
        <v>254</v>
      </c>
      <c r="P8" s="872"/>
      <c r="Q8" s="872"/>
      <c r="R8" s="873"/>
      <c r="S8" s="296"/>
      <c r="T8" s="296"/>
      <c r="U8" s="296"/>
      <c r="V8" s="297"/>
      <c r="W8" s="278"/>
      <c r="X8" s="278"/>
      <c r="Y8" s="296"/>
      <c r="Z8" s="297"/>
      <c r="AA8" s="877" t="s">
        <v>312</v>
      </c>
      <c r="AB8" s="878"/>
      <c r="AC8" s="878"/>
      <c r="AD8" s="879"/>
      <c r="AE8" s="5"/>
      <c r="AF8" s="5"/>
      <c r="AG8" s="5"/>
      <c r="AH8" s="5"/>
      <c r="AI8" s="301"/>
      <c r="AJ8" s="5"/>
      <c r="AK8" s="5"/>
      <c r="AL8" s="5"/>
      <c r="AM8" s="5"/>
      <c r="AN8" s="5"/>
    </row>
    <row r="9" spans="1:34" ht="18" customHeight="1">
      <c r="A9" s="25" t="s">
        <v>45</v>
      </c>
      <c r="B9" s="14"/>
      <c r="C9" s="277" t="s">
        <v>71</v>
      </c>
      <c r="D9" s="237"/>
      <c r="E9" s="280"/>
      <c r="F9" s="281" t="s">
        <v>2</v>
      </c>
      <c r="G9" s="277" t="s">
        <v>71</v>
      </c>
      <c r="H9" s="237"/>
      <c r="I9" s="280" t="s">
        <v>72</v>
      </c>
      <c r="J9" s="281" t="s">
        <v>2</v>
      </c>
      <c r="K9" s="295" t="s">
        <v>71</v>
      </c>
      <c r="L9" s="279"/>
      <c r="M9" s="280" t="s">
        <v>72</v>
      </c>
      <c r="N9" s="281" t="s">
        <v>2</v>
      </c>
      <c r="O9" s="277" t="s">
        <v>71</v>
      </c>
      <c r="P9" s="237"/>
      <c r="Q9" s="280" t="s">
        <v>72</v>
      </c>
      <c r="R9" s="281" t="s">
        <v>2</v>
      </c>
      <c r="S9" s="277" t="s">
        <v>71</v>
      </c>
      <c r="T9" s="237"/>
      <c r="U9" s="220" t="s">
        <v>72</v>
      </c>
      <c r="V9" s="238" t="s">
        <v>2</v>
      </c>
      <c r="W9" s="277" t="s">
        <v>71</v>
      </c>
      <c r="X9" s="237"/>
      <c r="Y9" s="220" t="s">
        <v>72</v>
      </c>
      <c r="Z9" s="238" t="s">
        <v>2</v>
      </c>
      <c r="AA9" s="277" t="s">
        <v>71</v>
      </c>
      <c r="AB9" s="237"/>
      <c r="AC9" s="220" t="s">
        <v>72</v>
      </c>
      <c r="AD9" s="238" t="s">
        <v>2</v>
      </c>
      <c r="AE9" s="110"/>
      <c r="AF9" s="870" t="s">
        <v>266</v>
      </c>
      <c r="AG9" s="870"/>
      <c r="AH9" s="870"/>
    </row>
    <row r="10" spans="1:34" ht="18" customHeight="1" thickBot="1">
      <c r="A10" s="13"/>
      <c r="B10" s="42" t="s">
        <v>46</v>
      </c>
      <c r="C10" s="283" t="s">
        <v>74</v>
      </c>
      <c r="D10" s="284" t="s">
        <v>75</v>
      </c>
      <c r="E10" s="284" t="s">
        <v>319</v>
      </c>
      <c r="F10" s="285" t="s">
        <v>48</v>
      </c>
      <c r="G10" s="283" t="s">
        <v>74</v>
      </c>
      <c r="H10" s="284" t="s">
        <v>75</v>
      </c>
      <c r="I10" s="284" t="s">
        <v>319</v>
      </c>
      <c r="J10" s="285" t="s">
        <v>48</v>
      </c>
      <c r="K10" s="283" t="s">
        <v>74</v>
      </c>
      <c r="L10" s="284" t="s">
        <v>75</v>
      </c>
      <c r="M10" s="284" t="s">
        <v>307</v>
      </c>
      <c r="N10" s="285" t="s">
        <v>48</v>
      </c>
      <c r="O10" s="283" t="s">
        <v>74</v>
      </c>
      <c r="P10" s="284" t="s">
        <v>75</v>
      </c>
      <c r="Q10" s="284" t="s">
        <v>319</v>
      </c>
      <c r="R10" s="285" t="s">
        <v>48</v>
      </c>
      <c r="S10" s="43" t="s">
        <v>74</v>
      </c>
      <c r="T10" s="44" t="s">
        <v>75</v>
      </c>
      <c r="U10" s="284" t="s">
        <v>319</v>
      </c>
      <c r="V10" s="46" t="s">
        <v>48</v>
      </c>
      <c r="W10" s="43" t="s">
        <v>74</v>
      </c>
      <c r="X10" s="44" t="s">
        <v>75</v>
      </c>
      <c r="Y10" s="284" t="s">
        <v>319</v>
      </c>
      <c r="Z10" s="46" t="s">
        <v>48</v>
      </c>
      <c r="AA10" s="43" t="s">
        <v>74</v>
      </c>
      <c r="AB10" s="44" t="s">
        <v>75</v>
      </c>
      <c r="AC10" s="284" t="s">
        <v>319</v>
      </c>
      <c r="AD10" s="46" t="s">
        <v>48</v>
      </c>
      <c r="AE10" s="169"/>
      <c r="AF10" s="263"/>
      <c r="AG10" s="263"/>
      <c r="AH10" s="263"/>
    </row>
    <row r="11" spans="1:37" ht="16.5" customHeight="1">
      <c r="A11" s="14"/>
      <c r="B11" s="38"/>
      <c r="C11" s="832" t="s">
        <v>179</v>
      </c>
      <c r="D11" s="832"/>
      <c r="E11" s="832"/>
      <c r="F11" s="832"/>
      <c r="G11" s="832" t="s">
        <v>186</v>
      </c>
      <c r="H11" s="832"/>
      <c r="I11" s="832"/>
      <c r="J11" s="832"/>
      <c r="K11" s="832" t="s">
        <v>187</v>
      </c>
      <c r="L11" s="832"/>
      <c r="M11" s="832"/>
      <c r="N11" s="832"/>
      <c r="O11" s="832" t="s">
        <v>225</v>
      </c>
      <c r="P11" s="832"/>
      <c r="Q11" s="832"/>
      <c r="R11" s="832"/>
      <c r="S11" s="832" t="s">
        <v>188</v>
      </c>
      <c r="T11" s="832"/>
      <c r="U11" s="832"/>
      <c r="V11" s="832"/>
      <c r="W11" s="832" t="s">
        <v>222</v>
      </c>
      <c r="X11" s="832"/>
      <c r="Y11" s="832"/>
      <c r="Z11" s="832"/>
      <c r="AA11" s="832" t="s">
        <v>311</v>
      </c>
      <c r="AB11" s="832"/>
      <c r="AC11" s="832"/>
      <c r="AD11" s="832"/>
      <c r="AE11" s="282"/>
      <c r="AF11" s="258" t="s">
        <v>49</v>
      </c>
      <c r="AG11" s="258" t="s">
        <v>50</v>
      </c>
      <c r="AH11" s="258" t="s">
        <v>184</v>
      </c>
      <c r="AI11" s="255"/>
      <c r="AJ11" s="195"/>
      <c r="AK11" s="195"/>
    </row>
    <row r="12" spans="1:37" ht="13.5" customHeight="1" thickBot="1">
      <c r="A12" s="14"/>
      <c r="B12" s="38"/>
      <c r="M12" s="733"/>
      <c r="AE12" s="4"/>
      <c r="AF12" s="258"/>
      <c r="AG12" s="258"/>
      <c r="AH12" s="734" t="s">
        <v>267</v>
      </c>
      <c r="AI12" s="2"/>
      <c r="AJ12" s="195"/>
      <c r="AK12" s="195"/>
    </row>
    <row r="13" spans="1:35" ht="16.5" customHeight="1">
      <c r="A13" s="65"/>
      <c r="B13" s="604"/>
      <c r="C13" s="735"/>
      <c r="D13" s="736"/>
      <c r="E13" s="736"/>
      <c r="F13" s="720"/>
      <c r="G13" s="413"/>
      <c r="H13" s="375"/>
      <c r="I13" s="375"/>
      <c r="J13" s="70"/>
      <c r="K13" s="413"/>
      <c r="L13" s="375"/>
      <c r="M13" s="375"/>
      <c r="N13" s="70"/>
      <c r="O13" s="735"/>
      <c r="P13" s="736"/>
      <c r="Q13" s="736"/>
      <c r="R13" s="737"/>
      <c r="S13" s="738"/>
      <c r="T13" s="739"/>
      <c r="U13" s="739"/>
      <c r="V13" s="737"/>
      <c r="W13" s="735"/>
      <c r="X13" s="736"/>
      <c r="Y13" s="736"/>
      <c r="Z13" s="737"/>
      <c r="AA13" s="738"/>
      <c r="AB13" s="739"/>
      <c r="AC13" s="739"/>
      <c r="AD13" s="737"/>
      <c r="AE13" s="4"/>
      <c r="AF13" s="263"/>
      <c r="AG13" s="263"/>
      <c r="AH13" s="263"/>
      <c r="AI13" s="255" t="s">
        <v>283</v>
      </c>
    </row>
    <row r="14" spans="1:39" ht="16.5" customHeight="1">
      <c r="A14" s="72" t="s">
        <v>6</v>
      </c>
      <c r="B14" s="77"/>
      <c r="C14" s="74">
        <v>40000</v>
      </c>
      <c r="D14" s="75">
        <v>43000</v>
      </c>
      <c r="E14" s="75">
        <v>42998</v>
      </c>
      <c r="F14" s="482">
        <f>E14/D14*100</f>
        <v>99.99534883720929</v>
      </c>
      <c r="G14" s="74"/>
      <c r="H14" s="75"/>
      <c r="I14" s="75"/>
      <c r="J14" s="482"/>
      <c r="K14" s="74"/>
      <c r="L14" s="75"/>
      <c r="M14" s="75"/>
      <c r="N14" s="482"/>
      <c r="O14" s="74"/>
      <c r="P14" s="75"/>
      <c r="Q14" s="75"/>
      <c r="R14" s="482"/>
      <c r="S14" s="483"/>
      <c r="T14" s="75">
        <v>11800</v>
      </c>
      <c r="U14" s="75">
        <v>11800</v>
      </c>
      <c r="V14" s="482">
        <f aca="true" t="shared" si="0" ref="V14:V21">U14/T14*100</f>
        <v>100</v>
      </c>
      <c r="W14" s="436"/>
      <c r="X14" s="75"/>
      <c r="Y14" s="75"/>
      <c r="Z14" s="482"/>
      <c r="AA14" s="483"/>
      <c r="AB14" s="75"/>
      <c r="AC14" s="75"/>
      <c r="AD14" s="482"/>
      <c r="AE14" s="484"/>
      <c r="AF14" s="485">
        <f>'Transfery nein.2.6a'!AF15</f>
        <v>220998</v>
      </c>
      <c r="AG14" s="485">
        <f>'Transfery nein.2.6a'!AG15</f>
        <v>276412</v>
      </c>
      <c r="AH14" s="485">
        <f>'Transfery nein.2.6a'!AH15</f>
        <v>276177</v>
      </c>
      <c r="AI14" s="6">
        <f>'Transfery nein.2.6a'!AI15</f>
        <v>276177.052</v>
      </c>
      <c r="AJ14" s="486">
        <f>AI14-AH14</f>
        <v>0.05200000002514571</v>
      </c>
      <c r="AK14" s="486"/>
      <c r="AM14" s="486"/>
    </row>
    <row r="15" spans="1:39" ht="16.5" customHeight="1">
      <c r="A15" s="72" t="s">
        <v>7</v>
      </c>
      <c r="B15" s="77"/>
      <c r="C15" s="74"/>
      <c r="D15" s="75"/>
      <c r="E15" s="75"/>
      <c r="F15" s="482"/>
      <c r="G15" s="74"/>
      <c r="H15" s="75"/>
      <c r="I15" s="75"/>
      <c r="J15" s="482"/>
      <c r="K15" s="74"/>
      <c r="L15" s="75"/>
      <c r="M15" s="75"/>
      <c r="N15" s="482"/>
      <c r="O15" s="74"/>
      <c r="P15" s="75">
        <v>4035</v>
      </c>
      <c r="Q15" s="75">
        <v>4035</v>
      </c>
      <c r="R15" s="482">
        <f>Q15/P15*100</f>
        <v>100</v>
      </c>
      <c r="S15" s="483"/>
      <c r="T15" s="75">
        <v>3000</v>
      </c>
      <c r="U15" s="75">
        <v>3000</v>
      </c>
      <c r="V15" s="482">
        <f t="shared" si="0"/>
        <v>100</v>
      </c>
      <c r="W15" s="436"/>
      <c r="X15" s="75">
        <v>40</v>
      </c>
      <c r="Y15" s="75">
        <v>40</v>
      </c>
      <c r="Z15" s="482">
        <f>Y15/X15*100</f>
        <v>100</v>
      </c>
      <c r="AA15" s="483"/>
      <c r="AB15" s="75"/>
      <c r="AC15" s="75"/>
      <c r="AD15" s="482"/>
      <c r="AE15" s="492"/>
      <c r="AF15" s="485">
        <f>'Transfery nein.2.6a'!AF16</f>
        <v>33408</v>
      </c>
      <c r="AG15" s="485">
        <f>'Transfery nein.2.6a'!AG16</f>
        <v>47796</v>
      </c>
      <c r="AH15" s="485">
        <f>'Transfery nein.2.6a'!AH16</f>
        <v>47796</v>
      </c>
      <c r="AI15" s="6">
        <f>'Transfery nein.2.6a'!AI16</f>
        <v>47796.422000000006</v>
      </c>
      <c r="AJ15" s="486">
        <f aca="true" t="shared" si="1" ref="AJ15:AJ42">AI15-AH15</f>
        <v>0.4220000000059372</v>
      </c>
      <c r="AK15" s="486"/>
      <c r="AM15" s="486"/>
    </row>
    <row r="16" spans="1:39" ht="16.5" customHeight="1">
      <c r="A16" s="72" t="s">
        <v>8</v>
      </c>
      <c r="B16" s="77"/>
      <c r="C16" s="74">
        <v>22862</v>
      </c>
      <c r="D16" s="75">
        <v>24250</v>
      </c>
      <c r="E16" s="75">
        <v>9755</v>
      </c>
      <c r="F16" s="482">
        <f aca="true" t="shared" si="2" ref="F16:F21">E16/D16*100</f>
        <v>40.22680412371134</v>
      </c>
      <c r="G16" s="74"/>
      <c r="H16" s="75"/>
      <c r="I16" s="75"/>
      <c r="J16" s="482"/>
      <c r="K16" s="74"/>
      <c r="L16" s="75"/>
      <c r="M16" s="75"/>
      <c r="N16" s="482"/>
      <c r="O16" s="74"/>
      <c r="P16" s="75"/>
      <c r="Q16" s="75"/>
      <c r="R16" s="482"/>
      <c r="S16" s="483"/>
      <c r="T16" s="75">
        <v>8570</v>
      </c>
      <c r="U16" s="75">
        <v>8570</v>
      </c>
      <c r="V16" s="482">
        <f t="shared" si="0"/>
        <v>100</v>
      </c>
      <c r="W16" s="436"/>
      <c r="X16" s="75"/>
      <c r="Y16" s="75"/>
      <c r="Z16" s="482"/>
      <c r="AA16" s="483"/>
      <c r="AB16" s="75"/>
      <c r="AC16" s="75"/>
      <c r="AD16" s="482"/>
      <c r="AE16" s="493"/>
      <c r="AF16" s="485">
        <f>'Transfery nein.2.6a'!AF17</f>
        <v>55201</v>
      </c>
      <c r="AG16" s="485">
        <f>'Transfery nein.2.6a'!AG17</f>
        <v>77109</v>
      </c>
      <c r="AH16" s="485">
        <f>'Transfery nein.2.6a'!AH17</f>
        <v>62614</v>
      </c>
      <c r="AI16" s="6">
        <f>'Transfery nein.2.6a'!AI17</f>
        <v>62613.17700000001</v>
      </c>
      <c r="AJ16" s="486">
        <f t="shared" si="1"/>
        <v>-0.8229999999894062</v>
      </c>
      <c r="AK16" s="486"/>
      <c r="AM16" s="486"/>
    </row>
    <row r="17" spans="1:39" ht="16.5" customHeight="1">
      <c r="A17" s="72" t="s">
        <v>9</v>
      </c>
      <c r="B17" s="77"/>
      <c r="C17" s="74">
        <v>10711</v>
      </c>
      <c r="D17" s="75">
        <v>10711</v>
      </c>
      <c r="E17" s="75">
        <v>15232</v>
      </c>
      <c r="F17" s="482">
        <f t="shared" si="2"/>
        <v>142.20894407618337</v>
      </c>
      <c r="G17" s="74"/>
      <c r="H17" s="75"/>
      <c r="I17" s="75"/>
      <c r="J17" s="482"/>
      <c r="K17" s="74"/>
      <c r="L17" s="75">
        <v>80</v>
      </c>
      <c r="M17" s="75">
        <v>80</v>
      </c>
      <c r="N17" s="482">
        <f>M17/L17*100</f>
        <v>100</v>
      </c>
      <c r="O17" s="74"/>
      <c r="P17" s="75"/>
      <c r="Q17" s="75"/>
      <c r="R17" s="482"/>
      <c r="S17" s="483"/>
      <c r="T17" s="75">
        <v>775</v>
      </c>
      <c r="U17" s="75">
        <v>775</v>
      </c>
      <c r="V17" s="482">
        <f t="shared" si="0"/>
        <v>100</v>
      </c>
      <c r="W17" s="436"/>
      <c r="X17" s="75"/>
      <c r="Y17" s="75"/>
      <c r="Z17" s="482"/>
      <c r="AA17" s="483"/>
      <c r="AB17" s="75"/>
      <c r="AC17" s="75"/>
      <c r="AD17" s="482"/>
      <c r="AE17" s="493"/>
      <c r="AF17" s="485">
        <f>'Transfery nein.2.6a'!AF18</f>
        <v>36960</v>
      </c>
      <c r="AG17" s="485">
        <f>'Transfery nein.2.6a'!AG18</f>
        <v>46319</v>
      </c>
      <c r="AH17" s="485">
        <f>'Transfery nein.2.6a'!AH18</f>
        <v>50826</v>
      </c>
      <c r="AI17" s="6">
        <f>'Transfery nein.2.6a'!AI18</f>
        <v>50826.18400000001</v>
      </c>
      <c r="AJ17" s="486">
        <f t="shared" si="1"/>
        <v>0.1840000000083819</v>
      </c>
      <c r="AK17" s="486"/>
      <c r="AM17" s="486"/>
    </row>
    <row r="18" spans="1:39" ht="16.5" customHeight="1">
      <c r="A18" s="72" t="s">
        <v>10</v>
      </c>
      <c r="B18" s="77"/>
      <c r="C18" s="74">
        <v>18489</v>
      </c>
      <c r="D18" s="75">
        <v>19877</v>
      </c>
      <c r="E18" s="75">
        <v>19876</v>
      </c>
      <c r="F18" s="482">
        <f t="shared" si="2"/>
        <v>99.99496905971726</v>
      </c>
      <c r="G18" s="74"/>
      <c r="H18" s="75"/>
      <c r="I18" s="75"/>
      <c r="J18" s="482"/>
      <c r="K18" s="74"/>
      <c r="L18" s="75"/>
      <c r="M18" s="75"/>
      <c r="N18" s="482"/>
      <c r="O18" s="74"/>
      <c r="P18" s="75"/>
      <c r="Q18" s="75"/>
      <c r="R18" s="482"/>
      <c r="S18" s="483"/>
      <c r="T18" s="75">
        <v>1800</v>
      </c>
      <c r="U18" s="75">
        <v>1800</v>
      </c>
      <c r="V18" s="482">
        <f t="shared" si="0"/>
        <v>100</v>
      </c>
      <c r="W18" s="436"/>
      <c r="X18" s="75"/>
      <c r="Y18" s="75"/>
      <c r="Z18" s="482"/>
      <c r="AA18" s="483"/>
      <c r="AB18" s="75"/>
      <c r="AC18" s="75"/>
      <c r="AD18" s="482"/>
      <c r="AE18" s="493"/>
      <c r="AF18" s="485">
        <f>'Transfery nein.2.6a'!AF19</f>
        <v>48917</v>
      </c>
      <c r="AG18" s="485">
        <f>'Transfery nein.2.6a'!AG19</f>
        <v>58503</v>
      </c>
      <c r="AH18" s="485">
        <f>'Transfery nein.2.6a'!AH19</f>
        <v>58502</v>
      </c>
      <c r="AI18" s="6">
        <f>'Transfery nein.2.6a'!AI19</f>
        <v>58502.17899999999</v>
      </c>
      <c r="AJ18" s="486">
        <f t="shared" si="1"/>
        <v>0.17899999998917338</v>
      </c>
      <c r="AK18" s="486"/>
      <c r="AM18" s="486"/>
    </row>
    <row r="19" spans="1:39" ht="16.5" customHeight="1">
      <c r="A19" s="72" t="s">
        <v>11</v>
      </c>
      <c r="B19" s="77"/>
      <c r="C19" s="74"/>
      <c r="D19" s="75"/>
      <c r="E19" s="75"/>
      <c r="F19" s="482"/>
      <c r="G19" s="74"/>
      <c r="H19" s="75"/>
      <c r="I19" s="75"/>
      <c r="J19" s="482"/>
      <c r="K19" s="74"/>
      <c r="L19" s="75"/>
      <c r="M19" s="75"/>
      <c r="N19" s="482"/>
      <c r="O19" s="74"/>
      <c r="P19" s="75"/>
      <c r="Q19" s="75"/>
      <c r="R19" s="482"/>
      <c r="S19" s="483"/>
      <c r="T19" s="75">
        <v>800</v>
      </c>
      <c r="U19" s="75">
        <v>800</v>
      </c>
      <c r="V19" s="482">
        <f t="shared" si="0"/>
        <v>100</v>
      </c>
      <c r="W19" s="436"/>
      <c r="X19" s="75"/>
      <c r="Y19" s="75"/>
      <c r="Z19" s="482"/>
      <c r="AA19" s="483"/>
      <c r="AB19" s="75"/>
      <c r="AC19" s="75"/>
      <c r="AD19" s="482"/>
      <c r="AE19" s="493"/>
      <c r="AF19" s="485">
        <f>'Transfery nein.2.6a'!AF20</f>
        <v>8734</v>
      </c>
      <c r="AG19" s="485">
        <f>'Transfery nein.2.6a'!AG20</f>
        <v>10490</v>
      </c>
      <c r="AH19" s="485">
        <f>'Transfery nein.2.6a'!AH20</f>
        <v>10490</v>
      </c>
      <c r="AI19" s="6">
        <f>'Transfery nein.2.6a'!AI20</f>
        <v>10490</v>
      </c>
      <c r="AJ19" s="486">
        <f t="shared" si="1"/>
        <v>0</v>
      </c>
      <c r="AK19" s="486"/>
      <c r="AM19" s="486"/>
    </row>
    <row r="20" spans="1:39" ht="16.5" customHeight="1">
      <c r="A20" s="72" t="s">
        <v>242</v>
      </c>
      <c r="B20" s="77"/>
      <c r="C20" s="74">
        <v>20587</v>
      </c>
      <c r="D20" s="75">
        <v>38587</v>
      </c>
      <c r="E20" s="75">
        <f>37222-1</f>
        <v>37221</v>
      </c>
      <c r="F20" s="482">
        <f t="shared" si="2"/>
        <v>96.45994765076321</v>
      </c>
      <c r="G20" s="74"/>
      <c r="H20" s="75"/>
      <c r="I20" s="75"/>
      <c r="J20" s="482"/>
      <c r="K20" s="74"/>
      <c r="L20" s="75"/>
      <c r="M20" s="75"/>
      <c r="N20" s="482"/>
      <c r="O20" s="74"/>
      <c r="P20" s="75"/>
      <c r="Q20" s="75"/>
      <c r="R20" s="482"/>
      <c r="S20" s="483"/>
      <c r="T20" s="75">
        <v>7410</v>
      </c>
      <c r="U20" s="75">
        <v>7410</v>
      </c>
      <c r="V20" s="482">
        <f t="shared" si="0"/>
        <v>100</v>
      </c>
      <c r="W20" s="436"/>
      <c r="X20" s="75"/>
      <c r="Y20" s="75"/>
      <c r="Z20" s="482"/>
      <c r="AA20" s="483"/>
      <c r="AB20" s="75"/>
      <c r="AC20" s="75"/>
      <c r="AD20" s="482"/>
      <c r="AE20" s="493"/>
      <c r="AF20" s="485">
        <f>'Transfery nein.2.6a'!AF21</f>
        <v>79675</v>
      </c>
      <c r="AG20" s="485">
        <f>'Transfery nein.2.6a'!AG21</f>
        <v>121349</v>
      </c>
      <c r="AH20" s="485">
        <f>'Transfery nein.2.6a'!AH21</f>
        <v>119983</v>
      </c>
      <c r="AI20" s="6">
        <f>'Transfery nein.2.6a'!AI21</f>
        <v>119983.52699999997</v>
      </c>
      <c r="AJ20" s="486">
        <f t="shared" si="1"/>
        <v>0.5269999999727588</v>
      </c>
      <c r="AK20" s="486"/>
      <c r="AM20" s="486"/>
    </row>
    <row r="21" spans="1:39" ht="16.5" customHeight="1">
      <c r="A21" s="72" t="s">
        <v>13</v>
      </c>
      <c r="B21" s="77"/>
      <c r="C21" s="74">
        <v>33000</v>
      </c>
      <c r="D21" s="75">
        <v>30949</v>
      </c>
      <c r="E21" s="75">
        <v>30949</v>
      </c>
      <c r="F21" s="482">
        <f t="shared" si="2"/>
        <v>100</v>
      </c>
      <c r="G21" s="74"/>
      <c r="H21" s="75"/>
      <c r="I21" s="75"/>
      <c r="J21" s="482"/>
      <c r="K21" s="74"/>
      <c r="L21" s="75"/>
      <c r="M21" s="75"/>
      <c r="N21" s="482"/>
      <c r="O21" s="74"/>
      <c r="P21" s="75"/>
      <c r="Q21" s="75"/>
      <c r="R21" s="482"/>
      <c r="S21" s="483"/>
      <c r="T21" s="75">
        <v>14570</v>
      </c>
      <c r="U21" s="75">
        <v>14570</v>
      </c>
      <c r="V21" s="482">
        <f t="shared" si="0"/>
        <v>100</v>
      </c>
      <c r="W21" s="436"/>
      <c r="X21" s="75"/>
      <c r="Y21" s="75"/>
      <c r="Z21" s="482"/>
      <c r="AA21" s="483"/>
      <c r="AB21" s="75"/>
      <c r="AC21" s="75"/>
      <c r="AD21" s="482"/>
      <c r="AE21" s="493"/>
      <c r="AF21" s="485">
        <f>'Transfery nein.2.6a'!AF22</f>
        <v>102782</v>
      </c>
      <c r="AG21" s="485">
        <f>'Transfery nein.2.6a'!AG22</f>
        <v>126821</v>
      </c>
      <c r="AH21" s="485">
        <f>'Transfery nein.2.6a'!AH22</f>
        <v>126768</v>
      </c>
      <c r="AI21" s="6">
        <f>'Transfery nein.2.6a'!AI22</f>
        <v>126768.87999999998</v>
      </c>
      <c r="AJ21" s="486">
        <f t="shared" si="1"/>
        <v>0.8799999999755528</v>
      </c>
      <c r="AK21" s="486"/>
      <c r="AM21" s="486"/>
    </row>
    <row r="22" spans="1:39" ht="16.5" customHeight="1">
      <c r="A22" s="72" t="s">
        <v>14</v>
      </c>
      <c r="B22" s="77"/>
      <c r="C22" s="74"/>
      <c r="D22" s="75"/>
      <c r="E22" s="75"/>
      <c r="F22" s="482"/>
      <c r="G22" s="74"/>
      <c r="H22" s="75"/>
      <c r="I22" s="75"/>
      <c r="J22" s="482"/>
      <c r="K22" s="74"/>
      <c r="L22" s="75"/>
      <c r="M22" s="75"/>
      <c r="N22" s="482"/>
      <c r="O22" s="74"/>
      <c r="P22" s="75"/>
      <c r="Q22" s="75"/>
      <c r="R22" s="482"/>
      <c r="S22" s="483"/>
      <c r="T22" s="75"/>
      <c r="U22" s="75"/>
      <c r="V22" s="482"/>
      <c r="W22" s="436"/>
      <c r="X22" s="75"/>
      <c r="Y22" s="75"/>
      <c r="Z22" s="482"/>
      <c r="AA22" s="483"/>
      <c r="AB22" s="75"/>
      <c r="AC22" s="75"/>
      <c r="AD22" s="482"/>
      <c r="AE22" s="493"/>
      <c r="AF22" s="485">
        <f>'Transfery nein.2.6a'!AF23</f>
        <v>10233</v>
      </c>
      <c r="AG22" s="485">
        <f>'Transfery nein.2.6a'!AG23</f>
        <v>10278</v>
      </c>
      <c r="AH22" s="485">
        <f>'Transfery nein.2.6a'!AH23</f>
        <v>10278</v>
      </c>
      <c r="AI22" s="6">
        <f>'Transfery nein.2.6a'!AI23</f>
        <v>10278.000000000002</v>
      </c>
      <c r="AJ22" s="486">
        <f t="shared" si="1"/>
        <v>0</v>
      </c>
      <c r="AK22" s="486"/>
      <c r="AM22" s="486"/>
    </row>
    <row r="23" spans="1:39" ht="16.5" customHeight="1">
      <c r="A23" s="72" t="s">
        <v>15</v>
      </c>
      <c r="B23" s="77"/>
      <c r="C23" s="74">
        <v>1545</v>
      </c>
      <c r="D23" s="75">
        <v>1545</v>
      </c>
      <c r="E23" s="75">
        <v>1530</v>
      </c>
      <c r="F23" s="482">
        <f>E23/D23*100</f>
        <v>99.02912621359224</v>
      </c>
      <c r="G23" s="74"/>
      <c r="H23" s="75"/>
      <c r="I23" s="75"/>
      <c r="J23" s="482"/>
      <c r="K23" s="74"/>
      <c r="L23" s="75"/>
      <c r="M23" s="75"/>
      <c r="N23" s="482"/>
      <c r="O23" s="74"/>
      <c r="P23" s="75">
        <v>5863</v>
      </c>
      <c r="Q23" s="75">
        <v>5863</v>
      </c>
      <c r="R23" s="482">
        <f>Q23/P23*100</f>
        <v>100</v>
      </c>
      <c r="S23" s="483"/>
      <c r="T23" s="75">
        <v>10237</v>
      </c>
      <c r="U23" s="75">
        <v>10237</v>
      </c>
      <c r="V23" s="482">
        <f aca="true" t="shared" si="3" ref="V23:V31">U23/T23*100</f>
        <v>100</v>
      </c>
      <c r="W23" s="436"/>
      <c r="X23" s="75"/>
      <c r="Y23" s="75"/>
      <c r="Z23" s="482"/>
      <c r="AA23" s="483"/>
      <c r="AB23" s="75"/>
      <c r="AC23" s="75"/>
      <c r="AD23" s="482"/>
      <c r="AE23" s="493"/>
      <c r="AF23" s="485">
        <f>'Transfery nein.2.6a'!AF24</f>
        <v>21164</v>
      </c>
      <c r="AG23" s="485">
        <f>'Transfery nein.2.6a'!AG24</f>
        <v>39685</v>
      </c>
      <c r="AH23" s="485">
        <f>'Transfery nein.2.6a'!AH24</f>
        <v>39630</v>
      </c>
      <c r="AI23" s="6">
        <f>'Transfery nein.2.6a'!AI24</f>
        <v>39629.651000000005</v>
      </c>
      <c r="AJ23" s="486">
        <f t="shared" si="1"/>
        <v>-0.3489999999947031</v>
      </c>
      <c r="AK23" s="486"/>
      <c r="AM23" s="486"/>
    </row>
    <row r="24" spans="1:39" ht="16.5" customHeight="1">
      <c r="A24" s="72" t="s">
        <v>16</v>
      </c>
      <c r="B24" s="77"/>
      <c r="C24" s="74">
        <v>942</v>
      </c>
      <c r="D24" s="75">
        <v>6418</v>
      </c>
      <c r="E24" s="75">
        <v>5356</v>
      </c>
      <c r="F24" s="482">
        <f>E24/D24*100</f>
        <v>83.45278903085072</v>
      </c>
      <c r="G24" s="74"/>
      <c r="H24" s="75">
        <v>14969</v>
      </c>
      <c r="I24" s="75">
        <v>14969</v>
      </c>
      <c r="J24" s="482">
        <f>I24/H24*100</f>
        <v>100</v>
      </c>
      <c r="K24" s="74"/>
      <c r="L24" s="75"/>
      <c r="M24" s="75"/>
      <c r="N24" s="482"/>
      <c r="O24" s="74"/>
      <c r="P24" s="75"/>
      <c r="Q24" s="75"/>
      <c r="R24" s="482"/>
      <c r="S24" s="483"/>
      <c r="T24" s="75">
        <v>8400</v>
      </c>
      <c r="U24" s="75">
        <v>8400</v>
      </c>
      <c r="V24" s="482">
        <f t="shared" si="3"/>
        <v>100</v>
      </c>
      <c r="W24" s="436"/>
      <c r="X24" s="75"/>
      <c r="Y24" s="75"/>
      <c r="Z24" s="482"/>
      <c r="AA24" s="483"/>
      <c r="AB24" s="75"/>
      <c r="AC24" s="75"/>
      <c r="AD24" s="482"/>
      <c r="AE24" s="493"/>
      <c r="AF24" s="485">
        <f>'Transfery nein.2.6a'!AF25</f>
        <v>10437</v>
      </c>
      <c r="AG24" s="485">
        <f>'Transfery nein.2.6a'!AG25</f>
        <v>46611</v>
      </c>
      <c r="AH24" s="485">
        <f>'Transfery nein.2.6a'!AH25</f>
        <v>45549</v>
      </c>
      <c r="AI24" s="6">
        <f>'Transfery nein.2.6a'!AI25</f>
        <v>45548.657999999996</v>
      </c>
      <c r="AJ24" s="486">
        <f t="shared" si="1"/>
        <v>-0.34200000000419095</v>
      </c>
      <c r="AK24" s="486"/>
      <c r="AM24" s="486"/>
    </row>
    <row r="25" spans="1:39" ht="16.5" customHeight="1">
      <c r="A25" s="72" t="s">
        <v>244</v>
      </c>
      <c r="B25" s="77"/>
      <c r="C25" s="74"/>
      <c r="D25" s="75"/>
      <c r="E25" s="75"/>
      <c r="F25" s="482"/>
      <c r="G25" s="74"/>
      <c r="H25" s="75"/>
      <c r="I25" s="75"/>
      <c r="J25" s="482"/>
      <c r="K25" s="74"/>
      <c r="L25" s="75"/>
      <c r="M25" s="75"/>
      <c r="N25" s="482"/>
      <c r="O25" s="74"/>
      <c r="P25" s="75"/>
      <c r="Q25" s="75"/>
      <c r="R25" s="482"/>
      <c r="S25" s="483"/>
      <c r="T25" s="75">
        <v>700</v>
      </c>
      <c r="U25" s="75">
        <v>700</v>
      </c>
      <c r="V25" s="482">
        <f t="shared" si="3"/>
        <v>100</v>
      </c>
      <c r="W25" s="436"/>
      <c r="X25" s="75">
        <v>700</v>
      </c>
      <c r="Y25" s="75">
        <v>700</v>
      </c>
      <c r="Z25" s="482">
        <f>Y25/X25*100</f>
        <v>100</v>
      </c>
      <c r="AA25" s="483"/>
      <c r="AB25" s="75"/>
      <c r="AC25" s="75"/>
      <c r="AD25" s="482"/>
      <c r="AE25" s="493"/>
      <c r="AF25" s="485">
        <f>'Transfery nein.2.6a'!AF26</f>
        <v>11504</v>
      </c>
      <c r="AG25" s="485">
        <f>'Transfery nein.2.6a'!AG26</f>
        <v>14502</v>
      </c>
      <c r="AH25" s="485">
        <f>'Transfery nein.2.6a'!AH26</f>
        <v>14502</v>
      </c>
      <c r="AI25" s="6">
        <f>'Transfery nein.2.6a'!AI26</f>
        <v>14501.525999999998</v>
      </c>
      <c r="AJ25" s="486">
        <f t="shared" si="1"/>
        <v>-0.47400000000197906</v>
      </c>
      <c r="AK25" s="486"/>
      <c r="AM25" s="486"/>
    </row>
    <row r="26" spans="1:39" ht="16.5" customHeight="1">
      <c r="A26" s="72" t="s">
        <v>189</v>
      </c>
      <c r="B26" s="77"/>
      <c r="C26" s="74">
        <v>44000</v>
      </c>
      <c r="D26" s="75">
        <v>76784</v>
      </c>
      <c r="E26" s="75">
        <v>76785</v>
      </c>
      <c r="F26" s="482">
        <f aca="true" t="shared" si="4" ref="F26:F33">E26/D26*100</f>
        <v>100.00130235465723</v>
      </c>
      <c r="G26" s="74"/>
      <c r="H26" s="75"/>
      <c r="I26" s="75"/>
      <c r="J26" s="482"/>
      <c r="K26" s="74"/>
      <c r="L26" s="75"/>
      <c r="M26" s="75"/>
      <c r="N26" s="482"/>
      <c r="O26" s="74"/>
      <c r="P26" s="75">
        <v>150</v>
      </c>
      <c r="Q26" s="75">
        <v>150</v>
      </c>
      <c r="R26" s="482">
        <f>Q26/P26*100</f>
        <v>100</v>
      </c>
      <c r="S26" s="483"/>
      <c r="T26" s="75">
        <v>25318</v>
      </c>
      <c r="U26" s="75">
        <v>25318</v>
      </c>
      <c r="V26" s="482">
        <f t="shared" si="3"/>
        <v>100</v>
      </c>
      <c r="W26" s="436"/>
      <c r="X26" s="75"/>
      <c r="Y26" s="75"/>
      <c r="Z26" s="482"/>
      <c r="AA26" s="483"/>
      <c r="AB26" s="75"/>
      <c r="AC26" s="75"/>
      <c r="AD26" s="482"/>
      <c r="AE26" s="493"/>
      <c r="AF26" s="485">
        <f>'Transfery nein.2.6a'!AF27</f>
        <v>161291</v>
      </c>
      <c r="AG26" s="485">
        <f>'Transfery nein.2.6a'!AG27</f>
        <v>257106</v>
      </c>
      <c r="AH26" s="485">
        <f>'Transfery nein.2.6a'!AH27</f>
        <v>256365</v>
      </c>
      <c r="AI26" s="6">
        <f>'Transfery nein.2.6a'!AI27</f>
        <v>256365.664</v>
      </c>
      <c r="AJ26" s="486">
        <f t="shared" si="1"/>
        <v>0.6639999999897555</v>
      </c>
      <c r="AK26" s="486"/>
      <c r="AM26" s="486"/>
    </row>
    <row r="27" spans="1:39" ht="16.5" customHeight="1">
      <c r="A27" s="72" t="s">
        <v>58</v>
      </c>
      <c r="B27" s="77"/>
      <c r="C27" s="74">
        <v>1900</v>
      </c>
      <c r="D27" s="75">
        <v>1900</v>
      </c>
      <c r="E27" s="75">
        <v>2285</v>
      </c>
      <c r="F27" s="482">
        <f t="shared" si="4"/>
        <v>120.26315789473685</v>
      </c>
      <c r="G27" s="74"/>
      <c r="H27" s="75"/>
      <c r="I27" s="75"/>
      <c r="J27" s="482"/>
      <c r="K27" s="74"/>
      <c r="L27" s="75"/>
      <c r="M27" s="75"/>
      <c r="N27" s="482"/>
      <c r="O27" s="74"/>
      <c r="P27" s="75">
        <v>539</v>
      </c>
      <c r="Q27" s="75">
        <v>539</v>
      </c>
      <c r="R27" s="482">
        <f>Q27/P27*100</f>
        <v>100</v>
      </c>
      <c r="S27" s="483"/>
      <c r="T27" s="75"/>
      <c r="U27" s="75"/>
      <c r="V27" s="482"/>
      <c r="W27" s="436"/>
      <c r="X27" s="75">
        <v>100</v>
      </c>
      <c r="Y27" s="75">
        <v>100</v>
      </c>
      <c r="Z27" s="482">
        <f>Y27/X27*100</f>
        <v>100</v>
      </c>
      <c r="AA27" s="483"/>
      <c r="AB27" s="75"/>
      <c r="AC27" s="75"/>
      <c r="AD27" s="482"/>
      <c r="AE27" s="493"/>
      <c r="AF27" s="485">
        <f>'Transfery nein.2.6a'!AF28</f>
        <v>21038</v>
      </c>
      <c r="AG27" s="485">
        <f>'Transfery nein.2.6a'!AG28</f>
        <v>24061</v>
      </c>
      <c r="AH27" s="485">
        <f>'Transfery nein.2.6a'!AH28</f>
        <v>24426</v>
      </c>
      <c r="AI27" s="6">
        <f>'Transfery nein.2.6a'!AI28</f>
        <v>24426.149999999994</v>
      </c>
      <c r="AJ27" s="486">
        <f t="shared" si="1"/>
        <v>0.14999999999417923</v>
      </c>
      <c r="AK27" s="486"/>
      <c r="AM27" s="486"/>
    </row>
    <row r="28" spans="1:39" ht="16.5" customHeight="1">
      <c r="A28" s="72" t="s">
        <v>19</v>
      </c>
      <c r="B28" s="77"/>
      <c r="C28" s="74">
        <v>24253</v>
      </c>
      <c r="D28" s="75">
        <v>31549</v>
      </c>
      <c r="E28" s="75">
        <v>31550</v>
      </c>
      <c r="F28" s="482">
        <f t="shared" si="4"/>
        <v>100.00316967257284</v>
      </c>
      <c r="G28" s="74"/>
      <c r="H28" s="75"/>
      <c r="I28" s="75"/>
      <c r="J28" s="482"/>
      <c r="K28" s="74"/>
      <c r="L28" s="75"/>
      <c r="M28" s="75"/>
      <c r="N28" s="482"/>
      <c r="O28" s="74"/>
      <c r="P28" s="75">
        <v>161</v>
      </c>
      <c r="Q28" s="75">
        <v>161</v>
      </c>
      <c r="R28" s="482">
        <f>Q28/P28*100</f>
        <v>100</v>
      </c>
      <c r="S28" s="483"/>
      <c r="T28" s="75">
        <v>1000</v>
      </c>
      <c r="U28" s="75">
        <v>1000</v>
      </c>
      <c r="V28" s="482">
        <f t="shared" si="3"/>
        <v>100</v>
      </c>
      <c r="W28" s="436"/>
      <c r="X28" s="75"/>
      <c r="Y28" s="75"/>
      <c r="Z28" s="482" t="s">
        <v>35</v>
      </c>
      <c r="AA28" s="483"/>
      <c r="AB28" s="75"/>
      <c r="AC28" s="75"/>
      <c r="AD28" s="482"/>
      <c r="AE28" s="493"/>
      <c r="AF28" s="485">
        <f>'Transfery nein.2.6a'!AF29</f>
        <v>87526</v>
      </c>
      <c r="AG28" s="485">
        <f>'Transfery nein.2.6a'!AG29</f>
        <v>110384</v>
      </c>
      <c r="AH28" s="485">
        <f>'Transfery nein.2.6a'!AH29</f>
        <v>110385</v>
      </c>
      <c r="AI28" s="6">
        <f>'Transfery nein.2.6a'!AI29</f>
        <v>110384.747</v>
      </c>
      <c r="AJ28" s="486">
        <f t="shared" si="1"/>
        <v>-0.2529999999969732</v>
      </c>
      <c r="AK28" s="486"/>
      <c r="AM28" s="486"/>
    </row>
    <row r="29" spans="1:39" ht="16.5" customHeight="1">
      <c r="A29" s="72" t="s">
        <v>20</v>
      </c>
      <c r="B29" s="77"/>
      <c r="C29" s="74">
        <v>14686</v>
      </c>
      <c r="D29" s="75">
        <v>14686</v>
      </c>
      <c r="E29" s="75">
        <f>14634</f>
        <v>14634</v>
      </c>
      <c r="F29" s="482">
        <f t="shared" si="4"/>
        <v>99.6459212855781</v>
      </c>
      <c r="G29" s="74"/>
      <c r="H29" s="75"/>
      <c r="I29" s="75"/>
      <c r="J29" s="482"/>
      <c r="K29" s="74"/>
      <c r="L29" s="75"/>
      <c r="M29" s="75"/>
      <c r="N29" s="482"/>
      <c r="O29" s="74"/>
      <c r="P29" s="75"/>
      <c r="Q29" s="75"/>
      <c r="R29" s="482"/>
      <c r="S29" s="483"/>
      <c r="T29" s="75">
        <v>400</v>
      </c>
      <c r="U29" s="75">
        <v>400</v>
      </c>
      <c r="V29" s="482">
        <f t="shared" si="3"/>
        <v>100</v>
      </c>
      <c r="W29" s="436"/>
      <c r="X29" s="75"/>
      <c r="Y29" s="75"/>
      <c r="Z29" s="482"/>
      <c r="AA29" s="483"/>
      <c r="AB29" s="75"/>
      <c r="AC29" s="75"/>
      <c r="AD29" s="482"/>
      <c r="AE29" s="493"/>
      <c r="AF29" s="485">
        <f>'Transfery nein.2.6a'!AF30</f>
        <v>35654</v>
      </c>
      <c r="AG29" s="485">
        <f>'Transfery nein.2.6a'!AG30</f>
        <v>42047</v>
      </c>
      <c r="AH29" s="485">
        <f>'Transfery nein.2.6a'!AH30</f>
        <v>41995</v>
      </c>
      <c r="AI29" s="6">
        <f>'Transfery nein.2.6a'!AI30</f>
        <v>41994.918000000005</v>
      </c>
      <c r="AJ29" s="486">
        <f t="shared" si="1"/>
        <v>-0.08199999999487773</v>
      </c>
      <c r="AK29" s="486"/>
      <c r="AM29" s="486"/>
    </row>
    <row r="30" spans="1:39" ht="16.5" customHeight="1">
      <c r="A30" s="72" t="s">
        <v>21</v>
      </c>
      <c r="B30" s="77"/>
      <c r="C30" s="74">
        <v>12000</v>
      </c>
      <c r="D30" s="75">
        <v>12000</v>
      </c>
      <c r="E30" s="75">
        <v>12396</v>
      </c>
      <c r="F30" s="482">
        <f t="shared" si="4"/>
        <v>103.3</v>
      </c>
      <c r="G30" s="74"/>
      <c r="H30" s="75"/>
      <c r="I30" s="75"/>
      <c r="J30" s="482"/>
      <c r="K30" s="74"/>
      <c r="L30" s="75"/>
      <c r="M30" s="75"/>
      <c r="N30" s="482"/>
      <c r="O30" s="74"/>
      <c r="P30" s="75"/>
      <c r="Q30" s="75"/>
      <c r="R30" s="482"/>
      <c r="S30" s="483"/>
      <c r="T30" s="75">
        <v>26246</v>
      </c>
      <c r="U30" s="75">
        <v>26246</v>
      </c>
      <c r="V30" s="482">
        <f t="shared" si="3"/>
        <v>100</v>
      </c>
      <c r="W30" s="436"/>
      <c r="X30" s="75"/>
      <c r="Y30" s="75"/>
      <c r="Z30" s="482"/>
      <c r="AA30" s="483"/>
      <c r="AB30" s="75"/>
      <c r="AC30" s="75"/>
      <c r="AD30" s="482"/>
      <c r="AE30" s="493"/>
      <c r="AF30" s="485">
        <f>'Transfery nein.2.6a'!AF31</f>
        <v>41124</v>
      </c>
      <c r="AG30" s="485">
        <f>'Transfery nein.2.6a'!AG31</f>
        <v>72195</v>
      </c>
      <c r="AH30" s="485">
        <f>'Transfery nein.2.6a'!AH31</f>
        <v>72591</v>
      </c>
      <c r="AI30" s="6">
        <f>'Transfery nein.2.6a'!AI31</f>
        <v>72590.62399999998</v>
      </c>
      <c r="AJ30" s="486">
        <f t="shared" si="1"/>
        <v>-0.3760000000183936</v>
      </c>
      <c r="AK30" s="486"/>
      <c r="AM30" s="486"/>
    </row>
    <row r="31" spans="1:39" ht="15" customHeight="1">
      <c r="A31" s="72" t="s">
        <v>22</v>
      </c>
      <c r="B31" s="77"/>
      <c r="C31" s="74">
        <v>19500</v>
      </c>
      <c r="D31" s="75">
        <v>25240</v>
      </c>
      <c r="E31" s="75">
        <v>26440</v>
      </c>
      <c r="F31" s="482">
        <f t="shared" si="4"/>
        <v>104.75435816164817</v>
      </c>
      <c r="G31" s="74"/>
      <c r="H31" s="75">
        <v>5000</v>
      </c>
      <c r="I31" s="75">
        <v>5000</v>
      </c>
      <c r="J31" s="482">
        <f>I31/H31*100</f>
        <v>100</v>
      </c>
      <c r="K31" s="74"/>
      <c r="L31" s="75"/>
      <c r="M31" s="75"/>
      <c r="N31" s="482"/>
      <c r="O31" s="74"/>
      <c r="P31" s="75"/>
      <c r="Q31" s="75"/>
      <c r="R31" s="482"/>
      <c r="S31" s="483"/>
      <c r="T31" s="75">
        <v>20500</v>
      </c>
      <c r="U31" s="75">
        <v>20500</v>
      </c>
      <c r="V31" s="482">
        <f t="shared" si="3"/>
        <v>100</v>
      </c>
      <c r="W31" s="436"/>
      <c r="X31" s="75">
        <v>815</v>
      </c>
      <c r="Y31" s="75">
        <v>815</v>
      </c>
      <c r="Z31" s="482">
        <f>Y31/X31*100</f>
        <v>100</v>
      </c>
      <c r="AA31" s="483"/>
      <c r="AB31" s="75"/>
      <c r="AC31" s="75"/>
      <c r="AD31" s="482"/>
      <c r="AE31" s="493"/>
      <c r="AF31" s="485">
        <f>'Transfery nein.2.6a'!AF32</f>
        <v>46015</v>
      </c>
      <c r="AG31" s="485">
        <f>'Transfery nein.2.6a'!AG32</f>
        <v>83773</v>
      </c>
      <c r="AH31" s="485">
        <f>'Transfery nein.2.6a'!AH32</f>
        <v>84973</v>
      </c>
      <c r="AI31" s="6">
        <f>'Transfery nein.2.6a'!AI32</f>
        <v>84972.546</v>
      </c>
      <c r="AJ31" s="486">
        <f t="shared" si="1"/>
        <v>-0.4539999999979045</v>
      </c>
      <c r="AK31" s="486"/>
      <c r="AM31" s="486"/>
    </row>
    <row r="32" spans="1:39" ht="16.5" customHeight="1">
      <c r="A32" s="72" t="s">
        <v>23</v>
      </c>
      <c r="B32" s="77"/>
      <c r="C32" s="74">
        <v>33904</v>
      </c>
      <c r="D32" s="75">
        <v>35957</v>
      </c>
      <c r="E32" s="75">
        <v>35957</v>
      </c>
      <c r="F32" s="482">
        <f t="shared" si="4"/>
        <v>100</v>
      </c>
      <c r="G32" s="74"/>
      <c r="H32" s="75"/>
      <c r="I32" s="75"/>
      <c r="J32" s="482"/>
      <c r="K32" s="74"/>
      <c r="L32" s="75"/>
      <c r="M32" s="75"/>
      <c r="N32" s="482"/>
      <c r="O32" s="74"/>
      <c r="P32" s="75"/>
      <c r="Q32" s="75"/>
      <c r="R32" s="482"/>
      <c r="S32" s="483"/>
      <c r="T32" s="75">
        <v>3300</v>
      </c>
      <c r="U32" s="75">
        <v>3300</v>
      </c>
      <c r="V32" s="482">
        <f aca="true" t="shared" si="5" ref="V32:V40">U32/T32*100</f>
        <v>100</v>
      </c>
      <c r="W32" s="436"/>
      <c r="X32" s="75"/>
      <c r="Y32" s="75"/>
      <c r="Z32" s="482"/>
      <c r="AA32" s="483"/>
      <c r="AB32" s="75"/>
      <c r="AC32" s="75"/>
      <c r="AD32" s="482"/>
      <c r="AE32" s="493"/>
      <c r="AF32" s="485">
        <f>'Transfery nein.2.6a'!AF33</f>
        <v>101648</v>
      </c>
      <c r="AG32" s="485">
        <f>'Transfery nein.2.6a'!AG33</f>
        <v>119149</v>
      </c>
      <c r="AH32" s="485">
        <f>'Transfery nein.2.6a'!AH33</f>
        <v>119141</v>
      </c>
      <c r="AI32" s="6">
        <f>'Transfery nein.2.6a'!AI33</f>
        <v>119140.63600000003</v>
      </c>
      <c r="AJ32" s="486">
        <f t="shared" si="1"/>
        <v>-0.36399999997229315</v>
      </c>
      <c r="AK32" s="486"/>
      <c r="AM32" s="486"/>
    </row>
    <row r="33" spans="1:39" ht="16.5" customHeight="1">
      <c r="A33" s="72" t="s">
        <v>24</v>
      </c>
      <c r="B33" s="77"/>
      <c r="C33" s="74">
        <v>9638</v>
      </c>
      <c r="D33" s="75">
        <v>12673</v>
      </c>
      <c r="E33" s="75">
        <v>12325</v>
      </c>
      <c r="F33" s="482">
        <f t="shared" si="4"/>
        <v>97.25400457665904</v>
      </c>
      <c r="G33" s="74"/>
      <c r="H33" s="75"/>
      <c r="I33" s="75"/>
      <c r="J33" s="482"/>
      <c r="K33" s="74"/>
      <c r="L33" s="75"/>
      <c r="M33" s="75"/>
      <c r="N33" s="482"/>
      <c r="O33" s="74"/>
      <c r="P33" s="75"/>
      <c r="Q33" s="75"/>
      <c r="R33" s="482"/>
      <c r="S33" s="483"/>
      <c r="T33" s="75">
        <v>16650</v>
      </c>
      <c r="U33" s="75">
        <v>16650</v>
      </c>
      <c r="V33" s="482">
        <f t="shared" si="5"/>
        <v>100</v>
      </c>
      <c r="W33" s="436"/>
      <c r="X33" s="75"/>
      <c r="Y33" s="75"/>
      <c r="Z33" s="482"/>
      <c r="AA33" s="483"/>
      <c r="AB33" s="75"/>
      <c r="AC33" s="75"/>
      <c r="AD33" s="482"/>
      <c r="AE33" s="493"/>
      <c r="AF33" s="485">
        <f>'Transfery nein.2.6a'!AF34</f>
        <v>32808</v>
      </c>
      <c r="AG33" s="485">
        <f>'Transfery nein.2.6a'!AG34</f>
        <v>57564</v>
      </c>
      <c r="AH33" s="485">
        <f>'Transfery nein.2.6a'!AH34</f>
        <v>56772</v>
      </c>
      <c r="AI33" s="6">
        <f>'Transfery nein.2.6a'!AI34</f>
        <v>56772.633</v>
      </c>
      <c r="AJ33" s="486">
        <f t="shared" si="1"/>
        <v>0.6330000000016298</v>
      </c>
      <c r="AK33" s="486"/>
      <c r="AM33" s="486"/>
    </row>
    <row r="34" spans="1:39" ht="16.5" customHeight="1">
      <c r="A34" s="72" t="s">
        <v>25</v>
      </c>
      <c r="B34" s="77"/>
      <c r="C34" s="74"/>
      <c r="D34" s="75"/>
      <c r="E34" s="75"/>
      <c r="F34" s="482"/>
      <c r="G34" s="74"/>
      <c r="H34" s="75"/>
      <c r="I34" s="75"/>
      <c r="J34" s="482"/>
      <c r="K34" s="74"/>
      <c r="L34" s="75"/>
      <c r="M34" s="75"/>
      <c r="N34" s="482"/>
      <c r="O34" s="74"/>
      <c r="P34" s="75"/>
      <c r="Q34" s="75"/>
      <c r="R34" s="482"/>
      <c r="S34" s="483"/>
      <c r="T34" s="75"/>
      <c r="U34" s="75"/>
      <c r="V34" s="482"/>
      <c r="W34" s="436"/>
      <c r="X34" s="75"/>
      <c r="Y34" s="75"/>
      <c r="Z34" s="482"/>
      <c r="AA34" s="483"/>
      <c r="AB34" s="75"/>
      <c r="AC34" s="75"/>
      <c r="AD34" s="482"/>
      <c r="AE34" s="493"/>
      <c r="AF34" s="485">
        <f>'Transfery nein.2.6a'!AF35</f>
        <v>22042</v>
      </c>
      <c r="AG34" s="485">
        <f>'Transfery nein.2.6a'!AG35</f>
        <v>24381</v>
      </c>
      <c r="AH34" s="485">
        <f>'Transfery nein.2.6a'!AH35</f>
        <v>24290</v>
      </c>
      <c r="AI34" s="6">
        <f>'Transfery nein.2.6a'!AI35</f>
        <v>24289.121000000006</v>
      </c>
      <c r="AJ34" s="486">
        <f t="shared" si="1"/>
        <v>-0.878999999993539</v>
      </c>
      <c r="AK34" s="486"/>
      <c r="AM34" s="486"/>
    </row>
    <row r="35" spans="1:39" ht="16.5" customHeight="1">
      <c r="A35" s="72" t="s">
        <v>26</v>
      </c>
      <c r="B35" s="77"/>
      <c r="C35" s="74"/>
      <c r="D35" s="75">
        <v>768</v>
      </c>
      <c r="E35" s="75">
        <v>768</v>
      </c>
      <c r="F35" s="482">
        <f>E35/D35*100</f>
        <v>100</v>
      </c>
      <c r="G35" s="74"/>
      <c r="H35" s="75"/>
      <c r="I35" s="75"/>
      <c r="J35" s="482"/>
      <c r="K35" s="74"/>
      <c r="L35" s="75"/>
      <c r="M35" s="75"/>
      <c r="N35" s="482"/>
      <c r="O35" s="74"/>
      <c r="P35" s="75">
        <v>2000</v>
      </c>
      <c r="Q35" s="75"/>
      <c r="R35" s="482"/>
      <c r="S35" s="483"/>
      <c r="T35" s="75">
        <v>5800</v>
      </c>
      <c r="U35" s="75">
        <v>5800</v>
      </c>
      <c r="V35" s="482">
        <f t="shared" si="5"/>
        <v>100</v>
      </c>
      <c r="W35" s="436"/>
      <c r="X35" s="75">
        <v>50</v>
      </c>
      <c r="Y35" s="75">
        <v>50</v>
      </c>
      <c r="Z35" s="482">
        <f>Y35/X35*100</f>
        <v>100</v>
      </c>
      <c r="AA35" s="483"/>
      <c r="AB35" s="75"/>
      <c r="AC35" s="75"/>
      <c r="AD35" s="482"/>
      <c r="AE35" s="493"/>
      <c r="AF35" s="485">
        <f>'Transfery nein.2.6a'!AF36</f>
        <v>12945</v>
      </c>
      <c r="AG35" s="485">
        <f>'Transfery nein.2.6a'!AG36</f>
        <v>24436</v>
      </c>
      <c r="AH35" s="485">
        <f>'Transfery nein.2.6a'!AH36</f>
        <v>22435</v>
      </c>
      <c r="AI35" s="6">
        <f>'Transfery nein.2.6a'!AI36</f>
        <v>22434.792999999998</v>
      </c>
      <c r="AJ35" s="486">
        <f t="shared" si="1"/>
        <v>-0.20700000000215368</v>
      </c>
      <c r="AK35" s="486"/>
      <c r="AM35" s="486"/>
    </row>
    <row r="36" spans="1:39" ht="16.5" customHeight="1">
      <c r="A36" s="72" t="s">
        <v>27</v>
      </c>
      <c r="B36" s="77"/>
      <c r="C36" s="74">
        <v>44276</v>
      </c>
      <c r="D36" s="75">
        <v>44629</v>
      </c>
      <c r="E36" s="75">
        <v>44629</v>
      </c>
      <c r="F36" s="482">
        <f>E36/D36*100</f>
        <v>100</v>
      </c>
      <c r="G36" s="74"/>
      <c r="H36" s="75"/>
      <c r="I36" s="75"/>
      <c r="J36" s="482"/>
      <c r="K36" s="74"/>
      <c r="L36" s="75"/>
      <c r="M36" s="75"/>
      <c r="N36" s="482"/>
      <c r="O36" s="444"/>
      <c r="P36" s="445"/>
      <c r="Q36" s="445"/>
      <c r="R36" s="482"/>
      <c r="S36" s="483"/>
      <c r="T36" s="75">
        <v>18415</v>
      </c>
      <c r="U36" s="75">
        <v>18415</v>
      </c>
      <c r="V36" s="482">
        <f t="shared" si="5"/>
        <v>100</v>
      </c>
      <c r="W36" s="436"/>
      <c r="X36" s="75"/>
      <c r="Y36" s="75"/>
      <c r="Z36" s="482"/>
      <c r="AA36" s="483"/>
      <c r="AB36" s="75"/>
      <c r="AC36" s="75"/>
      <c r="AD36" s="482"/>
      <c r="AE36" s="493"/>
      <c r="AF36" s="485">
        <f>'Transfery nein.2.6a'!AF37</f>
        <v>121493</v>
      </c>
      <c r="AG36" s="485">
        <f>'Transfery nein.2.6a'!AG37</f>
        <v>167585</v>
      </c>
      <c r="AH36" s="485">
        <f>'Transfery nein.2.6a'!AH37</f>
        <v>167489</v>
      </c>
      <c r="AI36" s="6">
        <f>'Transfery nein.2.6a'!AI37</f>
        <v>167489.85500000004</v>
      </c>
      <c r="AJ36" s="486">
        <f t="shared" si="1"/>
        <v>0.8550000000395812</v>
      </c>
      <c r="AK36" s="486"/>
      <c r="AM36" s="486"/>
    </row>
    <row r="37" spans="1:39" ht="16.5" customHeight="1">
      <c r="A37" s="72" t="s">
        <v>28</v>
      </c>
      <c r="B37" s="77"/>
      <c r="C37" s="74"/>
      <c r="D37" s="75"/>
      <c r="E37" s="75"/>
      <c r="F37" s="482"/>
      <c r="G37" s="74"/>
      <c r="H37" s="75"/>
      <c r="I37" s="75"/>
      <c r="J37" s="482"/>
      <c r="K37" s="74"/>
      <c r="L37" s="75"/>
      <c r="M37" s="75"/>
      <c r="N37" s="482"/>
      <c r="O37" s="74"/>
      <c r="P37" s="75"/>
      <c r="Q37" s="75"/>
      <c r="R37" s="482"/>
      <c r="S37" s="483"/>
      <c r="T37" s="75">
        <v>17380</v>
      </c>
      <c r="U37" s="75">
        <v>17380</v>
      </c>
      <c r="V37" s="482">
        <f t="shared" si="5"/>
        <v>100</v>
      </c>
      <c r="W37" s="436"/>
      <c r="X37" s="75"/>
      <c r="Y37" s="75"/>
      <c r="Z37" s="482"/>
      <c r="AA37" s="483"/>
      <c r="AB37" s="75"/>
      <c r="AC37" s="75"/>
      <c r="AD37" s="482"/>
      <c r="AE37" s="493"/>
      <c r="AF37" s="485">
        <f>'Transfery nein.2.6a'!AF38</f>
        <v>11451</v>
      </c>
      <c r="AG37" s="485">
        <f>'Transfery nein.2.6a'!AG38</f>
        <v>30020</v>
      </c>
      <c r="AH37" s="485">
        <f>'Transfery nein.2.6a'!AH38</f>
        <v>30020</v>
      </c>
      <c r="AI37" s="6">
        <f>'Transfery nein.2.6a'!AI38</f>
        <v>30020</v>
      </c>
      <c r="AJ37" s="486">
        <f t="shared" si="1"/>
        <v>0</v>
      </c>
      <c r="AK37" s="486"/>
      <c r="AM37" s="486"/>
    </row>
    <row r="38" spans="1:39" ht="16.5" customHeight="1">
      <c r="A38" s="72" t="s">
        <v>325</v>
      </c>
      <c r="B38" s="77"/>
      <c r="C38" s="74">
        <v>9000</v>
      </c>
      <c r="D38" s="75">
        <v>9000</v>
      </c>
      <c r="E38" s="75">
        <v>12851</v>
      </c>
      <c r="F38" s="482">
        <f>E38/D38*100</f>
        <v>142.7888888888889</v>
      </c>
      <c r="G38" s="74"/>
      <c r="H38" s="75"/>
      <c r="I38" s="75"/>
      <c r="J38" s="482"/>
      <c r="K38" s="74"/>
      <c r="L38" s="75"/>
      <c r="M38" s="75"/>
      <c r="N38" s="482"/>
      <c r="O38" s="74"/>
      <c r="P38" s="75"/>
      <c r="Q38" s="75"/>
      <c r="R38" s="482"/>
      <c r="S38" s="483"/>
      <c r="T38" s="75">
        <v>8650</v>
      </c>
      <c r="U38" s="75">
        <v>8650</v>
      </c>
      <c r="V38" s="482">
        <f t="shared" si="5"/>
        <v>100</v>
      </c>
      <c r="W38" s="436"/>
      <c r="X38" s="75"/>
      <c r="Y38" s="75"/>
      <c r="Z38" s="482"/>
      <c r="AA38" s="483"/>
      <c r="AB38" s="75"/>
      <c r="AC38" s="75"/>
      <c r="AD38" s="482"/>
      <c r="AE38" s="493"/>
      <c r="AF38" s="485">
        <f>'Transfery nein.2.6a'!AF39</f>
        <v>46331</v>
      </c>
      <c r="AG38" s="485">
        <f>'Transfery nein.2.6a'!AG39</f>
        <v>63659</v>
      </c>
      <c r="AH38" s="485">
        <f>'Transfery nein.2.6a'!AH39</f>
        <v>75510</v>
      </c>
      <c r="AI38" s="6">
        <f>'Transfery nein.2.6a'!AI39</f>
        <v>75509.553</v>
      </c>
      <c r="AJ38" s="486">
        <f t="shared" si="1"/>
        <v>-0.4470000000001164</v>
      </c>
      <c r="AK38" s="486"/>
      <c r="AM38" s="486"/>
    </row>
    <row r="39" spans="1:39" ht="16.5" customHeight="1">
      <c r="A39" s="72" t="s">
        <v>29</v>
      </c>
      <c r="B39" s="77"/>
      <c r="C39" s="74"/>
      <c r="D39" s="75"/>
      <c r="E39" s="75"/>
      <c r="F39" s="482"/>
      <c r="G39" s="74"/>
      <c r="H39" s="75"/>
      <c r="I39" s="75"/>
      <c r="J39" s="482"/>
      <c r="K39" s="74"/>
      <c r="L39" s="75"/>
      <c r="M39" s="75"/>
      <c r="N39" s="482"/>
      <c r="O39" s="74"/>
      <c r="P39" s="75"/>
      <c r="Q39" s="75"/>
      <c r="R39" s="482"/>
      <c r="S39" s="483"/>
      <c r="T39" s="75">
        <v>500</v>
      </c>
      <c r="U39" s="75">
        <v>500</v>
      </c>
      <c r="V39" s="482">
        <f t="shared" si="5"/>
        <v>100</v>
      </c>
      <c r="W39" s="436"/>
      <c r="X39" s="75"/>
      <c r="Y39" s="75"/>
      <c r="Z39" s="482"/>
      <c r="AA39" s="483"/>
      <c r="AB39" s="75"/>
      <c r="AC39" s="75"/>
      <c r="AD39" s="482"/>
      <c r="AE39" s="493"/>
      <c r="AF39" s="485">
        <f>'Transfery nein.2.6a'!AF40</f>
        <v>3372</v>
      </c>
      <c r="AG39" s="485">
        <f>'Transfery nein.2.6a'!AG40</f>
        <v>4359</v>
      </c>
      <c r="AH39" s="485">
        <f>'Transfery nein.2.6a'!AH40</f>
        <v>4359</v>
      </c>
      <c r="AI39" s="6">
        <f>'Transfery nein.2.6a'!AI40</f>
        <v>4359.067000000001</v>
      </c>
      <c r="AJ39" s="486">
        <f t="shared" si="1"/>
        <v>0.06700000000091677</v>
      </c>
      <c r="AK39" s="486"/>
      <c r="AM39" s="486"/>
    </row>
    <row r="40" spans="1:39" ht="16.5" customHeight="1">
      <c r="A40" s="72" t="s">
        <v>30</v>
      </c>
      <c r="B40" s="73"/>
      <c r="C40" s="74"/>
      <c r="D40" s="75"/>
      <c r="E40" s="75"/>
      <c r="F40" s="482"/>
      <c r="G40" s="74"/>
      <c r="H40" s="75"/>
      <c r="I40" s="75"/>
      <c r="J40" s="482"/>
      <c r="K40" s="74"/>
      <c r="L40" s="75"/>
      <c r="M40" s="75"/>
      <c r="N40" s="482"/>
      <c r="O40" s="74"/>
      <c r="P40" s="75"/>
      <c r="Q40" s="75"/>
      <c r="R40" s="482"/>
      <c r="S40" s="483"/>
      <c r="T40" s="75">
        <v>2000</v>
      </c>
      <c r="U40" s="75">
        <v>2000</v>
      </c>
      <c r="V40" s="482">
        <f t="shared" si="5"/>
        <v>100</v>
      </c>
      <c r="W40" s="436"/>
      <c r="X40" s="75"/>
      <c r="Y40" s="75"/>
      <c r="Z40" s="482"/>
      <c r="AA40" s="483"/>
      <c r="AB40" s="75"/>
      <c r="AC40" s="75"/>
      <c r="AD40" s="482"/>
      <c r="AE40" s="493"/>
      <c r="AF40" s="485">
        <f>'Transfery nein.2.6a'!AF41</f>
        <v>4637</v>
      </c>
      <c r="AG40" s="485">
        <f>'Transfery nein.2.6a'!AG41</f>
        <v>6743</v>
      </c>
      <c r="AH40" s="485">
        <f>'Transfery nein.2.6a'!AH41</f>
        <v>6743</v>
      </c>
      <c r="AI40" s="6">
        <f>'Transfery nein.2.6a'!AI41</f>
        <v>6742.999999999999</v>
      </c>
      <c r="AJ40" s="486">
        <f t="shared" si="1"/>
        <v>0</v>
      </c>
      <c r="AK40" s="486"/>
      <c r="AM40" s="486"/>
    </row>
    <row r="41" spans="1:39" ht="16.5" customHeight="1">
      <c r="A41" s="72" t="s">
        <v>31</v>
      </c>
      <c r="B41" s="73"/>
      <c r="C41" s="501"/>
      <c r="D41" s="75"/>
      <c r="E41" s="502"/>
      <c r="F41" s="482"/>
      <c r="G41" s="501"/>
      <c r="H41" s="75"/>
      <c r="I41" s="502"/>
      <c r="J41" s="482"/>
      <c r="K41" s="74"/>
      <c r="L41" s="75"/>
      <c r="M41" s="502"/>
      <c r="N41" s="482"/>
      <c r="O41" s="501"/>
      <c r="P41" s="75"/>
      <c r="Q41" s="502"/>
      <c r="R41" s="482"/>
      <c r="S41" s="483"/>
      <c r="T41" s="502">
        <v>250</v>
      </c>
      <c r="U41" s="502">
        <v>250</v>
      </c>
      <c r="V41" s="482">
        <f>U41/T41*100</f>
        <v>100</v>
      </c>
      <c r="W41" s="436"/>
      <c r="X41" s="502"/>
      <c r="Y41" s="502"/>
      <c r="Z41" s="482"/>
      <c r="AA41" s="483"/>
      <c r="AB41" s="502"/>
      <c r="AC41" s="502"/>
      <c r="AD41" s="482"/>
      <c r="AE41" s="493"/>
      <c r="AF41" s="485">
        <f>'Transfery nein.2.6a'!AF42</f>
        <v>2471</v>
      </c>
      <c r="AG41" s="485">
        <f>'Transfery nein.2.6a'!AG42</f>
        <v>2769</v>
      </c>
      <c r="AH41" s="485">
        <f>'Transfery nein.2.6a'!AH42</f>
        <v>2769</v>
      </c>
      <c r="AI41" s="6">
        <f>'Transfery nein.2.6a'!AI42</f>
        <v>2769.420000000001</v>
      </c>
      <c r="AJ41" s="486">
        <f t="shared" si="1"/>
        <v>0.42000000000098225</v>
      </c>
      <c r="AK41" s="486"/>
      <c r="AM41" s="486"/>
    </row>
    <row r="42" spans="1:39" ht="15" customHeight="1">
      <c r="A42" s="448" t="s">
        <v>32</v>
      </c>
      <c r="B42" s="449"/>
      <c r="C42" s="74"/>
      <c r="D42" s="75"/>
      <c r="E42" s="75"/>
      <c r="F42" s="482"/>
      <c r="G42" s="444"/>
      <c r="H42" s="75"/>
      <c r="I42" s="445"/>
      <c r="J42" s="482"/>
      <c r="K42" s="444"/>
      <c r="L42" s="75"/>
      <c r="M42" s="445"/>
      <c r="N42" s="482"/>
      <c r="O42" s="506"/>
      <c r="P42" s="75"/>
      <c r="Q42" s="445"/>
      <c r="R42" s="482"/>
      <c r="S42" s="483"/>
      <c r="T42" s="75">
        <v>300</v>
      </c>
      <c r="U42" s="75">
        <v>300</v>
      </c>
      <c r="V42" s="482">
        <f>U42/T42*100</f>
        <v>100</v>
      </c>
      <c r="W42" s="436"/>
      <c r="X42" s="75"/>
      <c r="Y42" s="75"/>
      <c r="Z42" s="482"/>
      <c r="AA42" s="483"/>
      <c r="AB42" s="75"/>
      <c r="AC42" s="75"/>
      <c r="AD42" s="482"/>
      <c r="AE42" s="493"/>
      <c r="AF42" s="485">
        <f>'Transfery nein.2.6a'!AF43</f>
        <v>2096</v>
      </c>
      <c r="AG42" s="485">
        <f>'Transfery nein.2.6a'!AG43</f>
        <v>2552</v>
      </c>
      <c r="AH42" s="485">
        <f>'Transfery nein.2.6a'!AH43</f>
        <v>2552</v>
      </c>
      <c r="AI42" s="6">
        <f>'Transfery nein.2.6a'!AI43</f>
        <v>2552.37</v>
      </c>
      <c r="AJ42" s="486">
        <f t="shared" si="1"/>
        <v>0.36999999999989086</v>
      </c>
      <c r="AK42" s="486"/>
      <c r="AM42" s="486"/>
    </row>
    <row r="43" spans="1:34" ht="15" customHeight="1" thickBot="1">
      <c r="A43" s="13"/>
      <c r="B43" s="223"/>
      <c r="C43" s="740"/>
      <c r="D43" s="741"/>
      <c r="E43" s="741"/>
      <c r="F43" s="742"/>
      <c r="G43" s="743"/>
      <c r="H43" s="82"/>
      <c r="I43" s="744"/>
      <c r="J43" s="513"/>
      <c r="K43" s="743"/>
      <c r="L43" s="82"/>
      <c r="M43" s="744"/>
      <c r="N43" s="513"/>
      <c r="O43" s="743"/>
      <c r="P43" s="744"/>
      <c r="Q43" s="744"/>
      <c r="R43" s="745"/>
      <c r="S43" s="746"/>
      <c r="T43" s="741"/>
      <c r="U43" s="741"/>
      <c r="V43" s="742"/>
      <c r="W43" s="530"/>
      <c r="X43" s="741"/>
      <c r="Y43" s="741"/>
      <c r="Z43" s="742"/>
      <c r="AA43" s="746"/>
      <c r="AB43" s="741"/>
      <c r="AC43" s="741"/>
      <c r="AD43" s="742"/>
      <c r="AE43" s="493"/>
      <c r="AF43" s="485">
        <f>'Transfery nein.2.6a'!AF44</f>
        <v>0</v>
      </c>
      <c r="AG43" s="485">
        <f>'Transfery nein.2.6a'!AG44</f>
        <v>0</v>
      </c>
      <c r="AH43" s="485">
        <f>'Transfery nein.2.6a'!AH44</f>
        <v>0</v>
      </c>
    </row>
    <row r="44" spans="1:34" ht="15" customHeight="1">
      <c r="A44" s="4"/>
      <c r="B44" s="4"/>
      <c r="C44" s="71"/>
      <c r="D44" s="71"/>
      <c r="E44" s="71"/>
      <c r="F44" s="747"/>
      <c r="G44" s="71"/>
      <c r="H44" s="71"/>
      <c r="I44" s="71"/>
      <c r="J44" s="748"/>
      <c r="K44" s="71"/>
      <c r="L44" s="71"/>
      <c r="M44" s="71"/>
      <c r="N44" s="748"/>
      <c r="O44" s="71"/>
      <c r="P44" s="71"/>
      <c r="Q44" s="71"/>
      <c r="R44" s="748"/>
      <c r="S44" s="748"/>
      <c r="T44" s="748"/>
      <c r="U44" s="748"/>
      <c r="V44" s="748"/>
      <c r="W44" s="71"/>
      <c r="X44" s="71"/>
      <c r="Y44" s="71"/>
      <c r="Z44" s="747"/>
      <c r="AA44" s="748"/>
      <c r="AB44" s="748"/>
      <c r="AC44" s="748"/>
      <c r="AD44" s="748"/>
      <c r="AE44" s="4"/>
      <c r="AF44" s="485"/>
      <c r="AG44" s="485"/>
      <c r="AH44" s="485">
        <f>'Transfery neinvestiční 2.6'!E44+'Transfery neinvestiční 2.6'!I44+'Transfery neinvestiční 2.6'!M44+'Transfery neinvestiční 2.6'!Q44+'Transfery neinvestiční 2.6'!U44+'Transfery nein.2.6a'!E45+'Transfery nein.2.6a'!Q45+'Transfery nein.2.6a'!Y45+'Transfery nein.2.6a'!U45+E44+I44+M44+Q44+U44+Y44+AC44</f>
        <v>0</v>
      </c>
    </row>
    <row r="45" spans="1:34" ht="19.5" customHeight="1" thickBot="1">
      <c r="A45" s="4"/>
      <c r="B45" s="4"/>
      <c r="C45" s="71"/>
      <c r="D45" s="71"/>
      <c r="E45" s="71"/>
      <c r="F45" s="747"/>
      <c r="G45" s="71"/>
      <c r="H45" s="71"/>
      <c r="I45" s="71"/>
      <c r="J45" s="748"/>
      <c r="K45" s="71"/>
      <c r="L45" s="71"/>
      <c r="M45" s="71"/>
      <c r="N45" s="748"/>
      <c r="O45" s="71"/>
      <c r="P45" s="71"/>
      <c r="Q45" s="71"/>
      <c r="R45" s="748"/>
      <c r="S45" s="748"/>
      <c r="T45" s="748"/>
      <c r="U45" s="748"/>
      <c r="V45" s="748"/>
      <c r="W45" s="71"/>
      <c r="X45" s="71"/>
      <c r="Y45" s="71"/>
      <c r="Z45" s="747"/>
      <c r="AA45" s="748"/>
      <c r="AB45" s="748"/>
      <c r="AC45" s="748"/>
      <c r="AD45" s="748"/>
      <c r="AE45" s="4"/>
      <c r="AF45" s="485"/>
      <c r="AG45" s="485"/>
      <c r="AH45" s="485"/>
    </row>
    <row r="46" spans="1:39" ht="18" customHeight="1" thickBot="1" thickTop="1">
      <c r="A46" s="49" t="s">
        <v>33</v>
      </c>
      <c r="B46" s="4"/>
      <c r="C46" s="87">
        <f>SUM(C14:C42)</f>
        <v>361293</v>
      </c>
      <c r="D46" s="88">
        <f>SUM(D14:D42)</f>
        <v>440523</v>
      </c>
      <c r="E46" s="88">
        <f>SUM(E14:E42)</f>
        <v>433537</v>
      </c>
      <c r="F46" s="519">
        <f>E46/D46*100</f>
        <v>98.4141577170772</v>
      </c>
      <c r="G46" s="520"/>
      <c r="H46" s="521">
        <f>SUM(H13:H43)</f>
        <v>19969</v>
      </c>
      <c r="I46" s="521">
        <f>SUM(I13:I43)</f>
        <v>19969</v>
      </c>
      <c r="J46" s="373">
        <f>I46/H46*100</f>
        <v>100</v>
      </c>
      <c r="K46" s="462"/>
      <c r="L46" s="88">
        <f>SUM(L13:L43)</f>
        <v>80</v>
      </c>
      <c r="M46" s="88">
        <f>SUM(M13:M43)</f>
        <v>80</v>
      </c>
      <c r="N46" s="373">
        <f>M46/L46*100</f>
        <v>100</v>
      </c>
      <c r="O46" s="87"/>
      <c r="P46" s="88">
        <f>SUM(P14:P42)</f>
        <v>12748</v>
      </c>
      <c r="Q46" s="88">
        <f>SUM(Q14:Q42)</f>
        <v>10748</v>
      </c>
      <c r="R46" s="373">
        <f>Q46/P46*100</f>
        <v>84.31126451208033</v>
      </c>
      <c r="S46" s="517"/>
      <c r="T46" s="88">
        <f>SUM(T13:T43)</f>
        <v>214771</v>
      </c>
      <c r="U46" s="88">
        <f>SUM(U13:U43)</f>
        <v>214771</v>
      </c>
      <c r="V46" s="373">
        <f>U46/T46*100</f>
        <v>100</v>
      </c>
      <c r="W46" s="87"/>
      <c r="X46" s="88">
        <f>SUM(X14:X42)</f>
        <v>1705</v>
      </c>
      <c r="Y46" s="88">
        <f>SUM(Y14:Y42)</f>
        <v>1705</v>
      </c>
      <c r="Z46" s="373">
        <f>Y46/X46*100</f>
        <v>100</v>
      </c>
      <c r="AA46" s="517"/>
      <c r="AB46" s="88">
        <f>SUM(AB13:AB43)</f>
        <v>0</v>
      </c>
      <c r="AC46" s="88">
        <f>SUM(AC13:AC43)</f>
        <v>0</v>
      </c>
      <c r="AD46" s="373"/>
      <c r="AE46" s="12"/>
      <c r="AF46" s="749">
        <f>SUM(AF14:AF45)</f>
        <v>1393955</v>
      </c>
      <c r="AG46" s="749">
        <f>SUM(AG14:AG45)</f>
        <v>1968658</v>
      </c>
      <c r="AH46" s="749">
        <f>SUM(AH14:AH45)</f>
        <v>1965930</v>
      </c>
      <c r="AI46" s="749">
        <f>SUM(AI14:AI45)</f>
        <v>1965930.3530000001</v>
      </c>
      <c r="AJ46" s="750"/>
      <c r="AK46" s="751"/>
      <c r="AL46" s="751"/>
      <c r="AM46" s="751"/>
    </row>
    <row r="47" spans="32:34" ht="15">
      <c r="AF47" s="6"/>
      <c r="AG47" s="6"/>
      <c r="AH47" s="6"/>
    </row>
    <row r="48" s="105" customFormat="1" ht="15" customHeight="1"/>
    <row r="50" spans="2:34" ht="15">
      <c r="B50" s="2" t="s">
        <v>281</v>
      </c>
      <c r="C50" s="6">
        <v>361293</v>
      </c>
      <c r="D50" s="6">
        <v>440523</v>
      </c>
      <c r="E50" s="6">
        <v>433537</v>
      </c>
      <c r="F50" s="6"/>
      <c r="G50" s="6"/>
      <c r="H50" s="6">
        <v>19969</v>
      </c>
      <c r="I50" s="6">
        <v>19969</v>
      </c>
      <c r="J50" s="6"/>
      <c r="K50" s="6"/>
      <c r="L50" s="6">
        <v>80</v>
      </c>
      <c r="M50" s="6">
        <v>80</v>
      </c>
      <c r="N50" s="6"/>
      <c r="O50" s="6"/>
      <c r="P50" s="6">
        <v>12748</v>
      </c>
      <c r="Q50" s="6">
        <v>10748</v>
      </c>
      <c r="R50" s="6"/>
      <c r="S50" s="6"/>
      <c r="T50" s="6">
        <v>214771</v>
      </c>
      <c r="U50" s="6">
        <v>214771</v>
      </c>
      <c r="V50" s="6"/>
      <c r="W50" s="6"/>
      <c r="X50" s="6">
        <v>1705</v>
      </c>
      <c r="Y50" s="6">
        <v>1705</v>
      </c>
      <c r="Z50" s="6"/>
      <c r="AA50" s="6"/>
      <c r="AB50" s="6"/>
      <c r="AC50" s="6">
        <v>6930</v>
      </c>
      <c r="AD50" s="6"/>
      <c r="AF50" s="2">
        <v>1393955</v>
      </c>
      <c r="AG50" s="2">
        <v>1976658</v>
      </c>
      <c r="AH50" s="2">
        <v>1965930</v>
      </c>
    </row>
    <row r="60" spans="1:2" ht="15">
      <c r="A60" s="195"/>
      <c r="B60" s="195"/>
    </row>
    <row r="61" spans="1:2" ht="15.75">
      <c r="A61" s="752"/>
      <c r="B61" s="752"/>
    </row>
    <row r="96" ht="15.75" thickBot="1"/>
    <row r="97" spans="1:2" ht="15.75" thickBot="1">
      <c r="A97" s="753"/>
      <c r="B97" s="753"/>
    </row>
  </sheetData>
  <mergeCells count="21">
    <mergeCell ref="AA7:AD7"/>
    <mergeCell ref="AA11:AD11"/>
    <mergeCell ref="AA8:AD8"/>
    <mergeCell ref="A2:Z2"/>
    <mergeCell ref="C7:F7"/>
    <mergeCell ref="G7:J7"/>
    <mergeCell ref="C8:F8"/>
    <mergeCell ref="W7:Z7"/>
    <mergeCell ref="K8:N8"/>
    <mergeCell ref="O7:R7"/>
    <mergeCell ref="K7:N7"/>
    <mergeCell ref="O8:R8"/>
    <mergeCell ref="G8:J8"/>
    <mergeCell ref="S7:V7"/>
    <mergeCell ref="C11:F11"/>
    <mergeCell ref="G11:J11"/>
    <mergeCell ref="K11:N11"/>
    <mergeCell ref="AF9:AH9"/>
    <mergeCell ref="O11:R11"/>
    <mergeCell ref="S11:V11"/>
    <mergeCell ref="W11:Z11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600" verticalDpi="600" orientation="landscape" paperSize="9" scale="6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N113"/>
  <sheetViews>
    <sheetView showZeros="0" zoomScale="85" zoomScaleNormal="85" workbookViewId="0" topLeftCell="A1">
      <pane xSplit="2" ySplit="10" topLeftCell="C11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A2" sqref="A2:K2"/>
    </sheetView>
  </sheetViews>
  <sheetFormatPr defaultColWidth="9.796875" defaultRowHeight="15"/>
  <cols>
    <col min="1" max="1" width="9.796875" style="2" customWidth="1"/>
    <col min="2" max="2" width="13.796875" style="2" customWidth="1"/>
    <col min="3" max="4" width="18.796875" style="2" customWidth="1"/>
    <col min="5" max="5" width="17.69921875" style="2" customWidth="1"/>
    <col min="6" max="6" width="16.09765625" style="6" hidden="1" customWidth="1"/>
    <col min="7" max="7" width="16.09765625" style="2" customWidth="1"/>
    <col min="8" max="9" width="18.796875" style="2" customWidth="1"/>
    <col min="10" max="10" width="17.296875" style="2" customWidth="1"/>
    <col min="11" max="11" width="18.796875" style="2" customWidth="1"/>
    <col min="12" max="12" width="5.69921875" style="2" customWidth="1"/>
    <col min="13" max="13" width="21.59765625" style="2" customWidth="1"/>
    <col min="14" max="16384" width="9.796875" style="2" customWidth="1"/>
  </cols>
  <sheetData>
    <row r="1" ht="17.25" customHeight="1">
      <c r="A1" s="142"/>
    </row>
    <row r="2" spans="1:12" ht="24" customHeight="1">
      <c r="A2" s="824" t="s">
        <v>318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143"/>
    </row>
    <row r="3" spans="1:12" ht="15" customHeight="1">
      <c r="A3" s="3"/>
      <c r="B3" s="3"/>
      <c r="C3" s="3"/>
      <c r="D3" s="3"/>
      <c r="E3" s="3"/>
      <c r="G3" s="11"/>
      <c r="H3" s="3"/>
      <c r="I3" s="3"/>
      <c r="J3" s="3"/>
      <c r="K3" s="3"/>
      <c r="L3" s="5"/>
    </row>
    <row r="4" spans="1:12" ht="21" customHeight="1">
      <c r="A4" s="10" t="s">
        <v>56</v>
      </c>
      <c r="B4" s="144"/>
      <c r="C4" s="144"/>
      <c r="D4" s="1"/>
      <c r="E4" s="8"/>
      <c r="G4" s="1"/>
      <c r="H4" s="1"/>
      <c r="I4" s="144"/>
      <c r="J4" s="144"/>
      <c r="K4" s="141"/>
      <c r="L4" s="145"/>
    </row>
    <row r="5" spans="1:12" ht="22.5" customHeight="1">
      <c r="A5" s="3"/>
      <c r="B5" s="3"/>
      <c r="C5" s="3"/>
      <c r="D5" s="4"/>
      <c r="E5" s="4"/>
      <c r="G5" s="3"/>
      <c r="H5" s="3"/>
      <c r="I5" s="16"/>
      <c r="J5" s="15"/>
      <c r="K5" s="775" t="s">
        <v>332</v>
      </c>
      <c r="L5" s="147"/>
    </row>
    <row r="6" spans="1:12" ht="22.5" customHeight="1" thickBot="1">
      <c r="A6" s="3"/>
      <c r="B6" s="3"/>
      <c r="C6" s="148"/>
      <c r="D6" s="149"/>
      <c r="E6" s="149"/>
      <c r="F6" s="150"/>
      <c r="G6" s="149"/>
      <c r="H6" s="3"/>
      <c r="I6" s="3"/>
      <c r="J6" s="3"/>
      <c r="K6" s="775" t="s">
        <v>47</v>
      </c>
      <c r="L6" s="145"/>
    </row>
    <row r="7" spans="1:12" ht="23.25" customHeight="1">
      <c r="A7" s="18"/>
      <c r="B7" s="19"/>
      <c r="C7" s="151" t="s">
        <v>292</v>
      </c>
      <c r="D7" s="48"/>
      <c r="E7" s="152"/>
      <c r="G7" s="153"/>
      <c r="H7" s="122" t="s">
        <v>293</v>
      </c>
      <c r="I7" s="21"/>
      <c r="J7" s="22"/>
      <c r="K7" s="50"/>
      <c r="L7" s="154"/>
    </row>
    <row r="8" spans="1:12" ht="18" customHeight="1">
      <c r="A8" s="155" t="s">
        <v>258</v>
      </c>
      <c r="B8" s="156"/>
      <c r="C8" s="135" t="s">
        <v>0</v>
      </c>
      <c r="D8" s="136" t="s">
        <v>4</v>
      </c>
      <c r="E8" s="136" t="s">
        <v>5</v>
      </c>
      <c r="F8" s="157"/>
      <c r="G8" s="138" t="s">
        <v>2</v>
      </c>
      <c r="H8" s="135" t="s">
        <v>0</v>
      </c>
      <c r="I8" s="136" t="s">
        <v>4</v>
      </c>
      <c r="J8" s="136" t="s">
        <v>5</v>
      </c>
      <c r="K8" s="138" t="s">
        <v>2</v>
      </c>
      <c r="L8" s="158"/>
    </row>
    <row r="9" spans="1:12" ht="18" customHeight="1" thickBot="1">
      <c r="A9" s="159" t="s">
        <v>73</v>
      </c>
      <c r="B9" s="160"/>
      <c r="C9" s="161" t="s">
        <v>1</v>
      </c>
      <c r="D9" s="162" t="s">
        <v>1</v>
      </c>
      <c r="E9" s="45" t="s">
        <v>316</v>
      </c>
      <c r="F9" s="536"/>
      <c r="G9" s="163" t="s">
        <v>48</v>
      </c>
      <c r="H9" s="43" t="s">
        <v>1</v>
      </c>
      <c r="I9" s="44" t="s">
        <v>1</v>
      </c>
      <c r="J9" s="45" t="s">
        <v>316</v>
      </c>
      <c r="K9" s="46" t="s">
        <v>48</v>
      </c>
      <c r="L9" s="164"/>
    </row>
    <row r="10" spans="1:12" ht="18" customHeight="1">
      <c r="A10" s="14"/>
      <c r="B10" s="38"/>
      <c r="C10" s="110"/>
      <c r="D10" s="110"/>
      <c r="E10" s="110"/>
      <c r="G10" s="110"/>
      <c r="H10" s="110"/>
      <c r="I10" s="110"/>
      <c r="J10" s="110"/>
      <c r="K10" s="110"/>
      <c r="L10" s="164"/>
    </row>
    <row r="11" spans="1:12" ht="15.75" customHeight="1" thickBot="1">
      <c r="A11" s="4"/>
      <c r="B11" s="4"/>
      <c r="C11" s="4" t="s">
        <v>35</v>
      </c>
      <c r="D11" s="4"/>
      <c r="E11" s="4"/>
      <c r="F11" s="656" t="s">
        <v>274</v>
      </c>
      <c r="G11" s="4"/>
      <c r="H11" s="4"/>
      <c r="I11" s="4"/>
      <c r="J11" s="4"/>
      <c r="K11" s="4"/>
      <c r="L11" s="5"/>
    </row>
    <row r="12" spans="1:12" ht="15.75" customHeight="1">
      <c r="A12" s="65"/>
      <c r="B12" s="66"/>
      <c r="C12" s="67"/>
      <c r="D12" s="375"/>
      <c r="E12" s="68"/>
      <c r="F12" s="656" t="s">
        <v>259</v>
      </c>
      <c r="G12" s="467"/>
      <c r="H12" s="67"/>
      <c r="I12" s="68"/>
      <c r="J12" s="68"/>
      <c r="K12" s="69"/>
      <c r="L12" s="537"/>
    </row>
    <row r="13" spans="1:14" ht="15.75" customHeight="1">
      <c r="A13" s="72" t="s">
        <v>6</v>
      </c>
      <c r="B13" s="73"/>
      <c r="C13" s="74">
        <v>296761</v>
      </c>
      <c r="D13" s="75">
        <v>356179</v>
      </c>
      <c r="E13" s="75">
        <f>ROUND(F13/1000,0)</f>
        <v>333667</v>
      </c>
      <c r="F13" s="6">
        <f>939995889-606328431</f>
        <v>333667458</v>
      </c>
      <c r="G13" s="76">
        <f>SUM(E13/D13*100)</f>
        <v>93.67958245713531</v>
      </c>
      <c r="H13" s="74">
        <v>84613</v>
      </c>
      <c r="I13" s="75">
        <v>112487</v>
      </c>
      <c r="J13" s="75">
        <v>110275</v>
      </c>
      <c r="K13" s="76">
        <f>SUM(J13/I13*100)</f>
        <v>98.03355054361838</v>
      </c>
      <c r="L13" s="535"/>
      <c r="N13" s="6"/>
    </row>
    <row r="14" spans="1:14" ht="15.75" customHeight="1">
      <c r="A14" s="72" t="s">
        <v>7</v>
      </c>
      <c r="B14" s="77"/>
      <c r="C14" s="74">
        <v>43775</v>
      </c>
      <c r="D14" s="75">
        <v>52779</v>
      </c>
      <c r="E14" s="75">
        <f aca="true" t="shared" si="0" ref="E14:E41">ROUND(F14/1000,0)</f>
        <v>50189</v>
      </c>
      <c r="F14" s="6">
        <f>134950328-84761298</f>
        <v>50189030</v>
      </c>
      <c r="G14" s="76">
        <f aca="true" t="shared" si="1" ref="G14:G41">SUM(E14/D14*100)</f>
        <v>95.092745220637</v>
      </c>
      <c r="H14" s="74">
        <v>4358</v>
      </c>
      <c r="I14" s="75">
        <v>14759</v>
      </c>
      <c r="J14" s="75">
        <v>13589</v>
      </c>
      <c r="K14" s="76">
        <f aca="true" t="shared" si="2" ref="K14:K41">SUM(J14/I14*100)</f>
        <v>92.07263364726607</v>
      </c>
      <c r="L14" s="535"/>
      <c r="N14" s="6"/>
    </row>
    <row r="15" spans="1:14" ht="15.75" customHeight="1">
      <c r="A15" s="72" t="s">
        <v>8</v>
      </c>
      <c r="B15" s="77"/>
      <c r="C15" s="74">
        <v>37496</v>
      </c>
      <c r="D15" s="75">
        <v>60993</v>
      </c>
      <c r="E15" s="75">
        <f t="shared" si="0"/>
        <v>46663</v>
      </c>
      <c r="F15" s="6">
        <f>115923157-69260385</f>
        <v>46662772</v>
      </c>
      <c r="G15" s="76">
        <f t="shared" si="1"/>
        <v>76.50550063121997</v>
      </c>
      <c r="H15" s="74">
        <v>24023</v>
      </c>
      <c r="I15" s="75">
        <v>39782</v>
      </c>
      <c r="J15" s="75">
        <v>21687</v>
      </c>
      <c r="K15" s="76">
        <f t="shared" si="2"/>
        <v>54.51460459504298</v>
      </c>
      <c r="L15" s="535"/>
      <c r="N15" s="6"/>
    </row>
    <row r="16" spans="1:14" ht="15.75" customHeight="1">
      <c r="A16" s="72" t="s">
        <v>9</v>
      </c>
      <c r="B16" s="77"/>
      <c r="C16" s="74">
        <v>33413</v>
      </c>
      <c r="D16" s="75">
        <v>49495</v>
      </c>
      <c r="E16" s="75">
        <f t="shared" si="0"/>
        <v>45711</v>
      </c>
      <c r="F16" s="6">
        <f>130440768-84729660</f>
        <v>45711108</v>
      </c>
      <c r="G16" s="76">
        <f t="shared" si="1"/>
        <v>92.3547833114456</v>
      </c>
      <c r="H16" s="74">
        <v>1877</v>
      </c>
      <c r="I16" s="75">
        <v>8557</v>
      </c>
      <c r="J16" s="75">
        <f>6966+1</f>
        <v>6967</v>
      </c>
      <c r="K16" s="76">
        <f t="shared" si="2"/>
        <v>81.4187215145495</v>
      </c>
      <c r="L16" s="535"/>
      <c r="N16" s="6"/>
    </row>
    <row r="17" spans="1:14" ht="15.75" customHeight="1">
      <c r="A17" s="72" t="s">
        <v>10</v>
      </c>
      <c r="B17" s="77"/>
      <c r="C17" s="74">
        <v>42845</v>
      </c>
      <c r="D17" s="75">
        <v>56755</v>
      </c>
      <c r="E17" s="75">
        <f>ROUND(F17/1000,0)+1</f>
        <v>55783</v>
      </c>
      <c r="F17" s="6">
        <f>127541135-71758657</f>
        <v>55782478</v>
      </c>
      <c r="G17" s="76">
        <f t="shared" si="1"/>
        <v>98.28737556162453</v>
      </c>
      <c r="H17" s="74">
        <v>2071</v>
      </c>
      <c r="I17" s="75">
        <v>9540</v>
      </c>
      <c r="J17" s="75">
        <v>8514</v>
      </c>
      <c r="K17" s="76">
        <f t="shared" si="2"/>
        <v>89.24528301886792</v>
      </c>
      <c r="L17" s="535"/>
      <c r="N17" s="6"/>
    </row>
    <row r="18" spans="1:14" ht="15.75" customHeight="1">
      <c r="A18" s="72" t="s">
        <v>11</v>
      </c>
      <c r="B18" s="77"/>
      <c r="C18" s="74">
        <v>11409</v>
      </c>
      <c r="D18" s="75">
        <v>12615</v>
      </c>
      <c r="E18" s="75">
        <f t="shared" si="0"/>
        <v>11418</v>
      </c>
      <c r="F18" s="6">
        <f>29426002-18007606</f>
        <v>11418396</v>
      </c>
      <c r="G18" s="76">
        <f t="shared" si="1"/>
        <v>90.51129607609988</v>
      </c>
      <c r="H18" s="74">
        <v>811</v>
      </c>
      <c r="I18" s="75">
        <v>2481</v>
      </c>
      <c r="J18" s="75">
        <v>2033</v>
      </c>
      <c r="K18" s="76">
        <f t="shared" si="2"/>
        <v>81.94276501410721</v>
      </c>
      <c r="L18" s="535"/>
      <c r="N18" s="6"/>
    </row>
    <row r="19" spans="1:14" ht="15.75" customHeight="1">
      <c r="A19" s="72" t="s">
        <v>242</v>
      </c>
      <c r="B19" s="77"/>
      <c r="C19" s="74">
        <v>81862</v>
      </c>
      <c r="D19" s="75">
        <v>107950</v>
      </c>
      <c r="E19" s="75">
        <f t="shared" si="0"/>
        <v>105774</v>
      </c>
      <c r="F19" s="6">
        <f>260088967-154314605</f>
        <v>105774362</v>
      </c>
      <c r="G19" s="76">
        <f t="shared" si="1"/>
        <v>97.98425196850393</v>
      </c>
      <c r="H19" s="74">
        <v>24495</v>
      </c>
      <c r="I19" s="75">
        <v>48166</v>
      </c>
      <c r="J19" s="75">
        <v>39340</v>
      </c>
      <c r="K19" s="76">
        <f t="shared" si="2"/>
        <v>81.67587094631068</v>
      </c>
      <c r="L19" s="535"/>
      <c r="N19" s="6"/>
    </row>
    <row r="20" spans="1:14" ht="15.75" customHeight="1">
      <c r="A20" s="72" t="s">
        <v>13</v>
      </c>
      <c r="B20" s="77"/>
      <c r="C20" s="74">
        <v>95093</v>
      </c>
      <c r="D20" s="75">
        <v>118045</v>
      </c>
      <c r="E20" s="75">
        <f t="shared" si="0"/>
        <v>103430</v>
      </c>
      <c r="F20" s="6">
        <f>331403412-227973122</f>
        <v>103430290</v>
      </c>
      <c r="G20" s="76">
        <f t="shared" si="1"/>
        <v>87.61912829853023</v>
      </c>
      <c r="H20" s="74">
        <v>33127</v>
      </c>
      <c r="I20" s="75">
        <v>54519</v>
      </c>
      <c r="J20" s="75">
        <v>39624</v>
      </c>
      <c r="K20" s="76">
        <f t="shared" si="2"/>
        <v>72.67924943597644</v>
      </c>
      <c r="L20" s="535"/>
      <c r="N20" s="6"/>
    </row>
    <row r="21" spans="1:14" ht="15.75" customHeight="1">
      <c r="A21" s="72" t="s">
        <v>14</v>
      </c>
      <c r="B21" s="77"/>
      <c r="C21" s="74">
        <v>7342</v>
      </c>
      <c r="D21" s="75">
        <v>8118</v>
      </c>
      <c r="E21" s="75">
        <f t="shared" si="0"/>
        <v>6656</v>
      </c>
      <c r="F21" s="6">
        <f>22071446-15415327</f>
        <v>6656119</v>
      </c>
      <c r="G21" s="76">
        <f t="shared" si="1"/>
        <v>81.99063808819906</v>
      </c>
      <c r="H21" s="74">
        <v>3200</v>
      </c>
      <c r="I21" s="75">
        <v>3200</v>
      </c>
      <c r="J21" s="75">
        <v>2395</v>
      </c>
      <c r="K21" s="76">
        <f t="shared" si="2"/>
        <v>74.84375</v>
      </c>
      <c r="L21" s="535"/>
      <c r="N21" s="6"/>
    </row>
    <row r="22" spans="1:14" ht="15.75" customHeight="1">
      <c r="A22" s="72" t="s">
        <v>15</v>
      </c>
      <c r="B22" s="77"/>
      <c r="C22" s="74">
        <v>23561</v>
      </c>
      <c r="D22" s="75">
        <v>27572</v>
      </c>
      <c r="E22" s="75">
        <f t="shared" si="0"/>
        <v>26732</v>
      </c>
      <c r="F22" s="6">
        <f>70394310-43662744</f>
        <v>26731566</v>
      </c>
      <c r="G22" s="76">
        <f t="shared" si="1"/>
        <v>96.95343101697375</v>
      </c>
      <c r="H22" s="74">
        <v>1585</v>
      </c>
      <c r="I22" s="75">
        <v>16451</v>
      </c>
      <c r="J22" s="75">
        <v>16239</v>
      </c>
      <c r="K22" s="76">
        <f t="shared" si="2"/>
        <v>98.71132453954166</v>
      </c>
      <c r="L22" s="535"/>
      <c r="N22" s="6"/>
    </row>
    <row r="23" spans="1:14" ht="15.75" customHeight="1">
      <c r="A23" s="72" t="s">
        <v>16</v>
      </c>
      <c r="B23" s="77"/>
      <c r="C23" s="74">
        <v>12800</v>
      </c>
      <c r="D23" s="75">
        <v>28813</v>
      </c>
      <c r="E23" s="75">
        <f t="shared" si="0"/>
        <v>25961</v>
      </c>
      <c r="F23" s="6">
        <f>55175567-29214757</f>
        <v>25960810</v>
      </c>
      <c r="G23" s="76">
        <f t="shared" si="1"/>
        <v>90.10169020928053</v>
      </c>
      <c r="H23" s="74">
        <v>992</v>
      </c>
      <c r="I23" s="75">
        <v>24958</v>
      </c>
      <c r="J23" s="75">
        <v>19426</v>
      </c>
      <c r="K23" s="76">
        <f t="shared" si="2"/>
        <v>77.8347624008334</v>
      </c>
      <c r="L23" s="535"/>
      <c r="N23" s="6"/>
    </row>
    <row r="24" spans="1:14" ht="15.75" customHeight="1">
      <c r="A24" s="72" t="s">
        <v>244</v>
      </c>
      <c r="B24" s="77"/>
      <c r="C24" s="74">
        <v>12687</v>
      </c>
      <c r="D24" s="75">
        <v>16033</v>
      </c>
      <c r="E24" s="75">
        <f t="shared" si="0"/>
        <v>15392</v>
      </c>
      <c r="F24" s="6">
        <f>39387433-23995447</f>
        <v>15391986</v>
      </c>
      <c r="G24" s="76">
        <f t="shared" si="1"/>
        <v>96.0019958834903</v>
      </c>
      <c r="H24" s="74">
        <v>714</v>
      </c>
      <c r="I24" s="75">
        <v>3788</v>
      </c>
      <c r="J24" s="75">
        <v>3530</v>
      </c>
      <c r="K24" s="76">
        <f t="shared" si="2"/>
        <v>93.18901795142555</v>
      </c>
      <c r="L24" s="535"/>
      <c r="N24" s="6"/>
    </row>
    <row r="25" spans="1:14" ht="15.75" customHeight="1">
      <c r="A25" s="72" t="s">
        <v>18</v>
      </c>
      <c r="B25" s="77"/>
      <c r="C25" s="74">
        <v>151960</v>
      </c>
      <c r="D25" s="75">
        <v>200389</v>
      </c>
      <c r="E25" s="75">
        <f t="shared" si="0"/>
        <v>186873</v>
      </c>
      <c r="F25" s="6">
        <f>425362751-238489435</f>
        <v>186873316</v>
      </c>
      <c r="G25" s="76">
        <f t="shared" si="1"/>
        <v>93.25511879394578</v>
      </c>
      <c r="H25" s="74">
        <v>12841</v>
      </c>
      <c r="I25" s="75">
        <v>91079</v>
      </c>
      <c r="J25" s="75">
        <v>50047</v>
      </c>
      <c r="K25" s="76">
        <f t="shared" si="2"/>
        <v>54.949000318404906</v>
      </c>
      <c r="L25" s="535"/>
      <c r="N25" s="6"/>
    </row>
    <row r="26" spans="1:14" ht="15.75" customHeight="1">
      <c r="A26" s="72" t="s">
        <v>58</v>
      </c>
      <c r="B26" s="77"/>
      <c r="C26" s="74">
        <v>21741</v>
      </c>
      <c r="D26" s="75">
        <v>25137</v>
      </c>
      <c r="E26" s="75">
        <f>ROUND(F26/1000,0)+1</f>
        <v>21875</v>
      </c>
      <c r="F26" s="6">
        <f>65140197-43265728</f>
        <v>21874469</v>
      </c>
      <c r="G26" s="76">
        <f t="shared" si="1"/>
        <v>87.02311333890282</v>
      </c>
      <c r="H26" s="74">
        <v>2300</v>
      </c>
      <c r="I26" s="75">
        <v>8799</v>
      </c>
      <c r="J26" s="75">
        <v>6309</v>
      </c>
      <c r="K26" s="76">
        <f t="shared" si="2"/>
        <v>71.70132969655643</v>
      </c>
      <c r="L26" s="535"/>
      <c r="N26" s="6"/>
    </row>
    <row r="27" spans="1:14" ht="15.75" customHeight="1">
      <c r="A27" s="72" t="s">
        <v>19</v>
      </c>
      <c r="B27" s="77"/>
      <c r="C27" s="74">
        <v>87032</v>
      </c>
      <c r="D27" s="75">
        <v>107234</v>
      </c>
      <c r="E27" s="75">
        <f t="shared" si="0"/>
        <v>98177</v>
      </c>
      <c r="F27" s="6">
        <f>244982154-146805421</f>
        <v>98176733</v>
      </c>
      <c r="G27" s="76">
        <f t="shared" si="1"/>
        <v>91.55398474364473</v>
      </c>
      <c r="H27" s="74">
        <v>13116</v>
      </c>
      <c r="I27" s="75">
        <v>34591</v>
      </c>
      <c r="J27" s="75">
        <v>33320</v>
      </c>
      <c r="K27" s="76">
        <f t="shared" si="2"/>
        <v>96.32563383539072</v>
      </c>
      <c r="L27" s="535"/>
      <c r="N27" s="6"/>
    </row>
    <row r="28" spans="1:14" ht="15.75" customHeight="1">
      <c r="A28" s="72" t="s">
        <v>20</v>
      </c>
      <c r="B28" s="77"/>
      <c r="C28" s="74">
        <v>29297</v>
      </c>
      <c r="D28" s="75">
        <v>41078</v>
      </c>
      <c r="E28" s="75">
        <f t="shared" si="0"/>
        <v>38209</v>
      </c>
      <c r="F28" s="6">
        <f>94353342-56144079</f>
        <v>38209263</v>
      </c>
      <c r="G28" s="76">
        <f t="shared" si="1"/>
        <v>93.01572617946347</v>
      </c>
      <c r="H28" s="74">
        <v>3600</v>
      </c>
      <c r="I28" s="75">
        <v>7074</v>
      </c>
      <c r="J28" s="75">
        <v>5959</v>
      </c>
      <c r="K28" s="76">
        <f t="shared" si="2"/>
        <v>84.23805484874187</v>
      </c>
      <c r="L28" s="535"/>
      <c r="N28" s="6"/>
    </row>
    <row r="29" spans="1:14" ht="15.75" customHeight="1">
      <c r="A29" s="72" t="s">
        <v>21</v>
      </c>
      <c r="B29" s="77"/>
      <c r="C29" s="74">
        <v>43406</v>
      </c>
      <c r="D29" s="75">
        <v>60124</v>
      </c>
      <c r="E29" s="75">
        <f t="shared" si="0"/>
        <v>49898</v>
      </c>
      <c r="F29" s="6">
        <f>158939181-109040850</f>
        <v>49898331</v>
      </c>
      <c r="G29" s="76">
        <f t="shared" si="1"/>
        <v>82.99181691171579</v>
      </c>
      <c r="H29" s="74">
        <v>8130</v>
      </c>
      <c r="I29" s="75">
        <v>41932</v>
      </c>
      <c r="J29" s="75">
        <v>37304</v>
      </c>
      <c r="K29" s="76">
        <f t="shared" si="2"/>
        <v>88.9630830869026</v>
      </c>
      <c r="L29" s="535"/>
      <c r="N29" s="6"/>
    </row>
    <row r="30" spans="1:14" ht="15.75" customHeight="1">
      <c r="A30" s="72" t="s">
        <v>22</v>
      </c>
      <c r="B30" s="77"/>
      <c r="C30" s="74">
        <v>38250</v>
      </c>
      <c r="D30" s="75">
        <v>49646</v>
      </c>
      <c r="E30" s="75">
        <f t="shared" si="0"/>
        <v>45548</v>
      </c>
      <c r="F30" s="6">
        <f>175454636-129906940</f>
        <v>45547696</v>
      </c>
      <c r="G30" s="76">
        <f t="shared" si="1"/>
        <v>91.74555855456633</v>
      </c>
      <c r="H30" s="74">
        <v>64950</v>
      </c>
      <c r="I30" s="75">
        <v>100779</v>
      </c>
      <c r="J30" s="75">
        <v>97164</v>
      </c>
      <c r="K30" s="76">
        <f t="shared" si="2"/>
        <v>96.41294317268478</v>
      </c>
      <c r="L30" s="535"/>
      <c r="N30" s="6"/>
    </row>
    <row r="31" spans="1:14" ht="15.75" customHeight="1">
      <c r="A31" s="72" t="s">
        <v>23</v>
      </c>
      <c r="B31" s="77"/>
      <c r="C31" s="74">
        <v>93657</v>
      </c>
      <c r="D31" s="75">
        <v>111945</v>
      </c>
      <c r="E31" s="75">
        <f t="shared" si="0"/>
        <v>104336</v>
      </c>
      <c r="F31" s="6">
        <f>254745235-150409204</f>
        <v>104336031</v>
      </c>
      <c r="G31" s="76">
        <f t="shared" si="1"/>
        <v>93.2029121443566</v>
      </c>
      <c r="H31" s="74">
        <v>17766</v>
      </c>
      <c r="I31" s="75">
        <v>33888</v>
      </c>
      <c r="J31" s="75">
        <v>27323</v>
      </c>
      <c r="K31" s="76">
        <f t="shared" si="2"/>
        <v>80.62736071765816</v>
      </c>
      <c r="L31" s="535"/>
      <c r="N31" s="6"/>
    </row>
    <row r="32" spans="1:14" ht="15.75" customHeight="1">
      <c r="A32" s="72" t="s">
        <v>24</v>
      </c>
      <c r="B32" s="77"/>
      <c r="C32" s="74">
        <v>32744</v>
      </c>
      <c r="D32" s="75">
        <v>40958</v>
      </c>
      <c r="E32" s="75">
        <f t="shared" si="0"/>
        <v>37647</v>
      </c>
      <c r="F32" s="6">
        <f>107214472-69567686</f>
        <v>37646786</v>
      </c>
      <c r="G32" s="76">
        <f t="shared" si="1"/>
        <v>91.9161091850188</v>
      </c>
      <c r="H32" s="74">
        <v>1404</v>
      </c>
      <c r="I32" s="75">
        <v>64854</v>
      </c>
      <c r="J32" s="75">
        <v>64605</v>
      </c>
      <c r="K32" s="76">
        <f t="shared" si="2"/>
        <v>99.6160606901656</v>
      </c>
      <c r="L32" s="535"/>
      <c r="N32" s="6"/>
    </row>
    <row r="33" spans="1:14" ht="15.75" customHeight="1">
      <c r="A33" s="72" t="s">
        <v>25</v>
      </c>
      <c r="B33" s="77"/>
      <c r="C33" s="74">
        <v>23629</v>
      </c>
      <c r="D33" s="75">
        <v>29746</v>
      </c>
      <c r="E33" s="75">
        <f t="shared" si="0"/>
        <v>24649</v>
      </c>
      <c r="F33" s="6">
        <f>74499069-49849922</f>
        <v>24649147</v>
      </c>
      <c r="G33" s="76">
        <f t="shared" si="1"/>
        <v>82.86492301485914</v>
      </c>
      <c r="H33" s="74">
        <v>1871</v>
      </c>
      <c r="I33" s="75">
        <v>7988</v>
      </c>
      <c r="J33" s="75">
        <v>5058</v>
      </c>
      <c r="K33" s="76">
        <f t="shared" si="2"/>
        <v>63.31997996995493</v>
      </c>
      <c r="L33" s="535"/>
      <c r="N33" s="6"/>
    </row>
    <row r="34" spans="1:14" ht="15.75" customHeight="1">
      <c r="A34" s="72" t="s">
        <v>26</v>
      </c>
      <c r="B34" s="77"/>
      <c r="C34" s="74">
        <v>13940</v>
      </c>
      <c r="D34" s="75">
        <v>17443</v>
      </c>
      <c r="E34" s="75">
        <f t="shared" si="0"/>
        <v>15866</v>
      </c>
      <c r="F34" s="6">
        <f>48353571-32487146</f>
        <v>15866425</v>
      </c>
      <c r="G34" s="76">
        <f t="shared" si="1"/>
        <v>90.95912400389842</v>
      </c>
      <c r="H34" s="74">
        <v>290</v>
      </c>
      <c r="I34" s="75">
        <v>12702</v>
      </c>
      <c r="J34" s="75">
        <v>6357</v>
      </c>
      <c r="K34" s="76">
        <f t="shared" si="2"/>
        <v>50.04723665564478</v>
      </c>
      <c r="L34" s="535"/>
      <c r="N34" s="6"/>
    </row>
    <row r="35" spans="1:14" ht="15.75" customHeight="1">
      <c r="A35" s="72" t="s">
        <v>27</v>
      </c>
      <c r="B35" s="77"/>
      <c r="C35" s="74">
        <v>114954</v>
      </c>
      <c r="D35" s="75">
        <v>161357</v>
      </c>
      <c r="E35" s="75">
        <f t="shared" si="0"/>
        <v>140115</v>
      </c>
      <c r="F35" s="6">
        <f>417367923-277253084</f>
        <v>140114839</v>
      </c>
      <c r="G35" s="76">
        <f t="shared" si="1"/>
        <v>86.83540224471203</v>
      </c>
      <c r="H35" s="74">
        <v>70948</v>
      </c>
      <c r="I35" s="75">
        <v>99006</v>
      </c>
      <c r="J35" s="75">
        <v>96283</v>
      </c>
      <c r="K35" s="76">
        <f t="shared" si="2"/>
        <v>97.24966163666848</v>
      </c>
      <c r="L35" s="535"/>
      <c r="N35" s="6"/>
    </row>
    <row r="36" spans="1:14" ht="15.75" customHeight="1">
      <c r="A36" s="72" t="s">
        <v>28</v>
      </c>
      <c r="B36" s="77"/>
      <c r="C36" s="74">
        <v>13261</v>
      </c>
      <c r="D36" s="75">
        <v>15923</v>
      </c>
      <c r="E36" s="75">
        <f t="shared" si="0"/>
        <v>16080</v>
      </c>
      <c r="F36" s="6">
        <f>60537306-44457053</f>
        <v>16080253</v>
      </c>
      <c r="G36" s="76">
        <f t="shared" si="1"/>
        <v>100.9859951014256</v>
      </c>
      <c r="H36" s="74"/>
      <c r="I36" s="75">
        <v>19769</v>
      </c>
      <c r="J36" s="75">
        <v>19737</v>
      </c>
      <c r="K36" s="76">
        <f t="shared" si="2"/>
        <v>99.83813040619151</v>
      </c>
      <c r="L36" s="535"/>
      <c r="N36" s="6"/>
    </row>
    <row r="37" spans="1:14" ht="15.75" customHeight="1">
      <c r="A37" s="72" t="s">
        <v>325</v>
      </c>
      <c r="B37" s="77"/>
      <c r="C37" s="74">
        <v>49786</v>
      </c>
      <c r="D37" s="75">
        <v>71838</v>
      </c>
      <c r="E37" s="75">
        <f t="shared" si="0"/>
        <v>66714</v>
      </c>
      <c r="F37" s="6">
        <f>169681872-102968165</f>
        <v>66713707</v>
      </c>
      <c r="G37" s="76">
        <f t="shared" si="1"/>
        <v>92.86728472396226</v>
      </c>
      <c r="H37" s="74">
        <v>23910</v>
      </c>
      <c r="I37" s="75">
        <v>31652</v>
      </c>
      <c r="J37" s="75">
        <v>21408</v>
      </c>
      <c r="K37" s="76">
        <f t="shared" si="2"/>
        <v>67.63553645899152</v>
      </c>
      <c r="L37" s="535"/>
      <c r="N37" s="6"/>
    </row>
    <row r="38" spans="1:14" ht="15.75" customHeight="1">
      <c r="A38" s="72" t="s">
        <v>29</v>
      </c>
      <c r="B38" s="77"/>
      <c r="C38" s="74">
        <v>4200</v>
      </c>
      <c r="D38" s="75">
        <v>5325</v>
      </c>
      <c r="E38" s="75">
        <f t="shared" si="0"/>
        <v>4907</v>
      </c>
      <c r="F38" s="6">
        <f>11738829-6831659</f>
        <v>4907170</v>
      </c>
      <c r="G38" s="76">
        <f t="shared" si="1"/>
        <v>92.15023474178405</v>
      </c>
      <c r="H38" s="74"/>
      <c r="I38" s="75">
        <v>600</v>
      </c>
      <c r="J38" s="75">
        <v>500</v>
      </c>
      <c r="K38" s="76">
        <f t="shared" si="2"/>
        <v>83.33333333333334</v>
      </c>
      <c r="L38" s="535"/>
      <c r="N38" s="6"/>
    </row>
    <row r="39" spans="1:14" ht="15.75" customHeight="1">
      <c r="A39" s="72" t="s">
        <v>30</v>
      </c>
      <c r="B39" s="77"/>
      <c r="C39" s="74">
        <v>4872</v>
      </c>
      <c r="D39" s="75">
        <v>5325</v>
      </c>
      <c r="E39" s="75">
        <f>ROUND(F39/1000,0)</f>
        <v>5095</v>
      </c>
      <c r="F39" s="6">
        <f>12083071-6988496</f>
        <v>5094575</v>
      </c>
      <c r="G39" s="76">
        <f t="shared" si="1"/>
        <v>95.68075117370893</v>
      </c>
      <c r="H39" s="74">
        <v>100</v>
      </c>
      <c r="I39" s="75">
        <v>2493</v>
      </c>
      <c r="J39" s="75">
        <v>681</v>
      </c>
      <c r="K39" s="76">
        <f t="shared" si="2"/>
        <v>27.3164861612515</v>
      </c>
      <c r="L39" s="535"/>
      <c r="N39" s="6"/>
    </row>
    <row r="40" spans="1:14" ht="15.75" customHeight="1">
      <c r="A40" s="72" t="s">
        <v>31</v>
      </c>
      <c r="B40" s="77"/>
      <c r="C40" s="74">
        <v>2355</v>
      </c>
      <c r="D40" s="75">
        <v>2881</v>
      </c>
      <c r="E40" s="75">
        <f t="shared" si="0"/>
        <v>2558</v>
      </c>
      <c r="F40" s="6">
        <f>8670599-6112646</f>
        <v>2557953</v>
      </c>
      <c r="G40" s="76">
        <f t="shared" si="1"/>
        <v>88.78861506421381</v>
      </c>
      <c r="H40" s="74">
        <v>200</v>
      </c>
      <c r="I40" s="75">
        <v>1356</v>
      </c>
      <c r="J40" s="75">
        <v>1290</v>
      </c>
      <c r="K40" s="76">
        <f t="shared" si="2"/>
        <v>95.13274336283186</v>
      </c>
      <c r="L40" s="535"/>
      <c r="N40" s="6"/>
    </row>
    <row r="41" spans="1:14" ht="15.75" customHeight="1">
      <c r="A41" s="72" t="s">
        <v>32</v>
      </c>
      <c r="B41" s="73"/>
      <c r="C41" s="74">
        <v>2329</v>
      </c>
      <c r="D41" s="75">
        <v>2833</v>
      </c>
      <c r="E41" s="75">
        <f t="shared" si="0"/>
        <v>2547</v>
      </c>
      <c r="F41" s="6">
        <f>6660966-4113996</f>
        <v>2546970</v>
      </c>
      <c r="G41" s="76">
        <f t="shared" si="1"/>
        <v>89.90469466996117</v>
      </c>
      <c r="H41" s="74"/>
      <c r="I41" s="75">
        <v>652</v>
      </c>
      <c r="J41" s="75">
        <v>651</v>
      </c>
      <c r="K41" s="76">
        <f t="shared" si="2"/>
        <v>99.84662576687117</v>
      </c>
      <c r="L41" s="535"/>
      <c r="N41" s="6"/>
    </row>
    <row r="42" spans="1:12" ht="15" customHeight="1" thickBot="1">
      <c r="A42" s="78"/>
      <c r="B42" s="79"/>
      <c r="C42" s="80"/>
      <c r="D42" s="509"/>
      <c r="E42" s="81"/>
      <c r="G42" s="470"/>
      <c r="H42" s="80"/>
      <c r="I42" s="82"/>
      <c r="J42" s="81"/>
      <c r="K42" s="470"/>
      <c r="L42" s="537"/>
    </row>
    <row r="43" spans="1:12" ht="15" customHeight="1">
      <c r="A43" s="4"/>
      <c r="B43" s="4"/>
      <c r="C43" s="84"/>
      <c r="D43" s="84"/>
      <c r="E43" s="84"/>
      <c r="F43" s="490"/>
      <c r="G43" s="7"/>
      <c r="H43" s="84"/>
      <c r="I43" s="4"/>
      <c r="J43" s="84"/>
      <c r="K43" s="7"/>
      <c r="L43" s="145"/>
    </row>
    <row r="44" spans="1:12" ht="15" customHeight="1" thickBot="1">
      <c r="A44" s="4"/>
      <c r="B44" s="4"/>
      <c r="C44" s="4"/>
      <c r="D44" s="4"/>
      <c r="E44" s="4"/>
      <c r="F44" s="490"/>
      <c r="G44" s="7"/>
      <c r="H44" s="4"/>
      <c r="I44" s="4"/>
      <c r="J44" s="4"/>
      <c r="K44" s="7"/>
      <c r="L44" s="145"/>
    </row>
    <row r="45" spans="1:12" ht="18" customHeight="1" thickBot="1">
      <c r="A45" s="11" t="s">
        <v>36</v>
      </c>
      <c r="B45" s="3"/>
      <c r="C45" s="87">
        <f>SUM(C13:C41)</f>
        <v>1426457</v>
      </c>
      <c r="D45" s="88">
        <f>SUM(D13:D41)</f>
        <v>1844529</v>
      </c>
      <c r="E45" s="88">
        <f>SUM(E13:E42)</f>
        <v>1688470</v>
      </c>
      <c r="F45" s="538">
        <f>SUM(F13:F44)</f>
        <v>1688470039</v>
      </c>
      <c r="G45" s="89">
        <f>SUM(E45/D45*100)</f>
        <v>91.53935774390102</v>
      </c>
      <c r="H45" s="87">
        <f>SUM(H13:H41)</f>
        <v>403292</v>
      </c>
      <c r="I45" s="88">
        <f>SUM(I13:I41)</f>
        <v>897902</v>
      </c>
      <c r="J45" s="88">
        <f>SUM(J13:J41)</f>
        <v>757615</v>
      </c>
      <c r="K45" s="89">
        <f>SUM(J45/I45*100)</f>
        <v>84.37613458929818</v>
      </c>
      <c r="L45" s="535"/>
    </row>
    <row r="46" spans="6:12" ht="15.75">
      <c r="F46" s="490"/>
      <c r="G46" s="303"/>
      <c r="K46" s="303"/>
      <c r="L46" s="303"/>
    </row>
    <row r="47" spans="3:12" s="105" customFormat="1" ht="15">
      <c r="C47" s="105">
        <v>1426457</v>
      </c>
      <c r="D47" s="105">
        <v>1844529</v>
      </c>
      <c r="E47" s="105">
        <f>4592583603-2904113563</f>
        <v>1688470040</v>
      </c>
      <c r="H47" s="105">
        <v>403292</v>
      </c>
      <c r="I47" s="105">
        <v>897902</v>
      </c>
      <c r="J47" s="105">
        <v>757615</v>
      </c>
      <c r="K47" s="363"/>
      <c r="L47" s="363"/>
    </row>
    <row r="48" s="6" customFormat="1" ht="15"/>
    <row r="51" ht="15.75" customHeight="1"/>
    <row r="52" ht="15">
      <c r="E52" s="6">
        <f>E48-E45</f>
        <v>-1688470</v>
      </c>
    </row>
    <row r="55" ht="15.75" customHeight="1"/>
    <row r="56" ht="15.75" customHeight="1"/>
    <row r="57" ht="15.75" customHeight="1"/>
    <row r="58" ht="15.75" customHeight="1"/>
    <row r="59" ht="15.75" customHeight="1"/>
    <row r="60" ht="18" customHeight="1"/>
    <row r="61" ht="18" customHeight="1"/>
    <row r="62" ht="13.5" customHeight="1"/>
    <row r="64" ht="18" customHeight="1"/>
    <row r="65" ht="13.5" customHeight="1"/>
    <row r="66" ht="15.75" customHeight="1"/>
    <row r="68" ht="13.5" customHeight="1"/>
    <row r="69" ht="12" customHeight="1"/>
    <row r="70" ht="15.75" customHeight="1"/>
    <row r="71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">
      <c r="F113" s="657"/>
    </row>
  </sheetData>
  <mergeCells count="1">
    <mergeCell ref="A2:K2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600" verticalDpi="600" orientation="landscape" paperSize="9" scale="6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BI55"/>
  <sheetViews>
    <sheetView showZeros="0" workbookViewId="0" topLeftCell="A1">
      <pane xSplit="2" ySplit="14" topLeftCell="P15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AE10" sqref="AE10"/>
    </sheetView>
  </sheetViews>
  <sheetFormatPr defaultColWidth="9.796875" defaultRowHeight="15"/>
  <cols>
    <col min="1" max="1" width="9.796875" style="2" customWidth="1"/>
    <col min="2" max="2" width="9.69921875" style="2" customWidth="1"/>
    <col min="3" max="4" width="8.796875" style="2" customWidth="1"/>
    <col min="5" max="5" width="10" style="2" customWidth="1"/>
    <col min="6" max="6" width="5.796875" style="2" customWidth="1"/>
    <col min="7" max="8" width="6.796875" style="2" customWidth="1"/>
    <col min="9" max="9" width="9.796875" style="2" customWidth="1"/>
    <col min="10" max="10" width="5.796875" style="2" customWidth="1"/>
    <col min="11" max="11" width="7.3984375" style="2" customWidth="1"/>
    <col min="12" max="12" width="6.59765625" style="2" customWidth="1"/>
    <col min="13" max="13" width="10.69921875" style="2" customWidth="1"/>
    <col min="14" max="14" width="5.3984375" style="2" customWidth="1"/>
    <col min="15" max="15" width="7.796875" style="2" customWidth="1"/>
    <col min="16" max="16" width="7.19921875" style="2" customWidth="1"/>
    <col min="17" max="17" width="10.796875" style="2" customWidth="1"/>
    <col min="18" max="18" width="5.796875" style="2" customWidth="1"/>
    <col min="19" max="20" width="6.796875" style="2" hidden="1" customWidth="1"/>
    <col min="21" max="21" width="10.69921875" style="2" hidden="1" customWidth="1"/>
    <col min="22" max="22" width="5.796875" style="2" hidden="1" customWidth="1"/>
    <col min="23" max="23" width="6.3984375" style="2" customWidth="1"/>
    <col min="24" max="24" width="7" style="2" customWidth="1"/>
    <col min="25" max="25" width="9.796875" style="2" customWidth="1"/>
    <col min="26" max="26" width="5.796875" style="2" customWidth="1"/>
    <col min="27" max="27" width="8" style="2" customWidth="1"/>
    <col min="28" max="28" width="8.69921875" style="2" customWidth="1"/>
    <col min="29" max="29" width="9.8984375" style="2" customWidth="1"/>
    <col min="30" max="30" width="5.796875" style="2" customWidth="1"/>
    <col min="31" max="34" width="9.19921875" style="2" customWidth="1"/>
    <col min="35" max="36" width="9.796875" style="2" customWidth="1"/>
    <col min="37" max="40" width="10.796875" style="2" customWidth="1"/>
    <col min="41" max="41" width="7.796875" style="2" customWidth="1"/>
    <col min="42" max="45" width="6.796875" style="2" customWidth="1"/>
    <col min="46" max="48" width="7.796875" style="2" customWidth="1"/>
    <col min="49" max="49" width="5.796875" style="2" customWidth="1"/>
    <col min="50" max="50" width="7.796875" style="2" customWidth="1"/>
    <col min="51" max="51" width="6.796875" style="2" customWidth="1"/>
    <col min="52" max="52" width="7.796875" style="2" customWidth="1"/>
    <col min="53" max="53" width="5.796875" style="2" customWidth="1"/>
    <col min="54" max="56" width="7.796875" style="2" customWidth="1"/>
    <col min="57" max="57" width="8.296875" style="2" customWidth="1"/>
    <col min="58" max="60" width="9.796875" style="2" customWidth="1"/>
    <col min="61" max="61" width="8.09765625" style="2" customWidth="1"/>
    <col min="62" max="16384" width="9.796875" style="2" customWidth="1"/>
  </cols>
  <sheetData>
    <row r="1" spans="1:30" ht="17.25" customHeight="1">
      <c r="A1" s="16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4" customHeight="1">
      <c r="A2" s="824" t="s">
        <v>324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24"/>
    </row>
    <row r="3" spans="1:30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50" ht="21" customHeight="1">
      <c r="A4" s="10" t="s">
        <v>291</v>
      </c>
      <c r="B4" s="1"/>
      <c r="C4" s="1"/>
      <c r="D4" s="1"/>
      <c r="E4" s="1"/>
      <c r="F4" s="141"/>
      <c r="G4" s="1"/>
      <c r="H4" s="1"/>
      <c r="I4" s="1"/>
      <c r="J4" s="1"/>
      <c r="K4" s="8"/>
      <c r="L4" s="1"/>
      <c r="M4" s="140"/>
      <c r="N4" s="140"/>
      <c r="O4" s="8"/>
      <c r="P4" s="1"/>
      <c r="Q4" s="140"/>
      <c r="R4" s="140"/>
      <c r="S4" s="14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O4" s="192"/>
      <c r="AT4" s="193" t="s">
        <v>190</v>
      </c>
      <c r="AV4" s="303"/>
      <c r="AW4" s="303"/>
      <c r="AX4" s="303"/>
    </row>
    <row r="5" spans="1:61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16"/>
      <c r="O5" s="4"/>
      <c r="P5" s="4"/>
      <c r="Q5" s="7"/>
      <c r="R5" s="16"/>
      <c r="S5" s="4"/>
      <c r="T5" s="4"/>
      <c r="U5" s="4"/>
      <c r="V5" s="4"/>
      <c r="W5" s="4"/>
      <c r="X5" s="4"/>
      <c r="Y5" s="4"/>
      <c r="Z5" s="11"/>
      <c r="AA5" s="4"/>
      <c r="AD5" s="775" t="s">
        <v>191</v>
      </c>
      <c r="AE5" s="145"/>
      <c r="AF5" s="145"/>
      <c r="AG5" s="145"/>
      <c r="AH5" s="145"/>
      <c r="AV5" s="303"/>
      <c r="AW5" s="304"/>
      <c r="BE5" s="192"/>
      <c r="BH5" s="145" t="s">
        <v>192</v>
      </c>
      <c r="BI5" s="145"/>
    </row>
    <row r="6" spans="1:35" ht="22.5" customHeight="1" thickBot="1">
      <c r="A6" s="4"/>
      <c r="B6" s="4"/>
      <c r="C6" s="4"/>
      <c r="D6" s="3"/>
      <c r="E6" s="4"/>
      <c r="F6" s="4"/>
      <c r="G6" s="3"/>
      <c r="H6" s="3"/>
      <c r="I6" s="3"/>
      <c r="J6" s="3"/>
      <c r="K6" s="3"/>
      <c r="L6" s="3"/>
      <c r="M6" s="3"/>
      <c r="N6" s="16"/>
      <c r="O6" s="3"/>
      <c r="P6" s="3"/>
      <c r="Q6" s="3"/>
      <c r="R6" s="16"/>
      <c r="S6" s="3"/>
      <c r="T6" s="15"/>
      <c r="U6" s="305"/>
      <c r="V6" s="15"/>
      <c r="W6" s="3"/>
      <c r="X6" s="3"/>
      <c r="Y6" s="3"/>
      <c r="Z6" s="3"/>
      <c r="AA6" s="3"/>
      <c r="AD6" s="775" t="s">
        <v>193</v>
      </c>
      <c r="AE6" s="198"/>
      <c r="AF6" s="198"/>
      <c r="AG6" s="198"/>
      <c r="AH6" s="198"/>
      <c r="AI6" s="5"/>
    </row>
    <row r="7" spans="1:34" s="169" customFormat="1" ht="16.5" customHeight="1">
      <c r="A7" s="306"/>
      <c r="B7" s="307"/>
      <c r="C7" s="308" t="s">
        <v>291</v>
      </c>
      <c r="D7" s="309"/>
      <c r="E7" s="310"/>
      <c r="F7" s="311"/>
      <c r="G7" s="312" t="s">
        <v>194</v>
      </c>
      <c r="H7" s="307"/>
      <c r="I7" s="307"/>
      <c r="J7" s="307"/>
      <c r="K7" s="306"/>
      <c r="L7" s="302"/>
      <c r="M7" s="307"/>
      <c r="N7" s="313"/>
      <c r="O7" s="306"/>
      <c r="P7" s="302"/>
      <c r="Q7" s="307"/>
      <c r="R7" s="314"/>
      <c r="S7" s="306"/>
      <c r="T7" s="302"/>
      <c r="U7" s="307"/>
      <c r="V7" s="313"/>
      <c r="W7" s="306"/>
      <c r="X7" s="302"/>
      <c r="Y7" s="307"/>
      <c r="Z7" s="313"/>
      <c r="AA7" s="312"/>
      <c r="AB7" s="312"/>
      <c r="AC7" s="307"/>
      <c r="AD7" s="313"/>
      <c r="AG7" s="48"/>
      <c r="AH7" s="48"/>
    </row>
    <row r="8" spans="1:32" ht="16.5" customHeight="1">
      <c r="A8" s="315" t="s">
        <v>45</v>
      </c>
      <c r="B8" s="14"/>
      <c r="C8" s="316" t="s">
        <v>85</v>
      </c>
      <c r="D8" s="317"/>
      <c r="E8" s="318"/>
      <c r="F8" s="319"/>
      <c r="G8" s="317" t="s">
        <v>195</v>
      </c>
      <c r="H8" s="320"/>
      <c r="I8" s="318"/>
      <c r="J8" s="318"/>
      <c r="K8" s="316" t="s">
        <v>256</v>
      </c>
      <c r="L8" s="317"/>
      <c r="M8" s="318"/>
      <c r="N8" s="319"/>
      <c r="O8" s="316" t="s">
        <v>196</v>
      </c>
      <c r="P8" s="317"/>
      <c r="Q8" s="318"/>
      <c r="R8" s="319"/>
      <c r="S8" s="316" t="s">
        <v>306</v>
      </c>
      <c r="T8" s="317"/>
      <c r="U8" s="318"/>
      <c r="V8" s="319"/>
      <c r="W8" s="316" t="s">
        <v>306</v>
      </c>
      <c r="X8" s="317"/>
      <c r="Y8" s="318"/>
      <c r="Z8" s="319"/>
      <c r="AA8" s="317" t="s">
        <v>197</v>
      </c>
      <c r="AB8" s="317"/>
      <c r="AC8" s="318"/>
      <c r="AD8" s="319"/>
      <c r="AE8" s="169"/>
      <c r="AF8" s="169"/>
    </row>
    <row r="9" spans="1:35" ht="15.75" customHeight="1">
      <c r="A9" s="321"/>
      <c r="B9" s="38" t="s">
        <v>46</v>
      </c>
      <c r="C9" s="322" t="s">
        <v>71</v>
      </c>
      <c r="D9" s="323"/>
      <c r="E9" s="324" t="s">
        <v>72</v>
      </c>
      <c r="F9" s="325" t="s">
        <v>2</v>
      </c>
      <c r="G9" s="322" t="s">
        <v>71</v>
      </c>
      <c r="H9" s="323"/>
      <c r="I9" s="324" t="s">
        <v>5</v>
      </c>
      <c r="J9" s="326" t="s">
        <v>2</v>
      </c>
      <c r="K9" s="322" t="s">
        <v>71</v>
      </c>
      <c r="L9" s="323"/>
      <c r="M9" s="324" t="s">
        <v>5</v>
      </c>
      <c r="N9" s="326" t="s">
        <v>2</v>
      </c>
      <c r="O9" s="327" t="s">
        <v>71</v>
      </c>
      <c r="P9" s="328"/>
      <c r="Q9" s="324" t="s">
        <v>5</v>
      </c>
      <c r="R9" s="329" t="s">
        <v>2</v>
      </c>
      <c r="S9" s="322" t="s">
        <v>71</v>
      </c>
      <c r="T9" s="323"/>
      <c r="U9" s="324" t="s">
        <v>5</v>
      </c>
      <c r="V9" s="325" t="s">
        <v>2</v>
      </c>
      <c r="W9" s="322" t="s">
        <v>71</v>
      </c>
      <c r="X9" s="323"/>
      <c r="Y9" s="324" t="s">
        <v>5</v>
      </c>
      <c r="Z9" s="325" t="s">
        <v>2</v>
      </c>
      <c r="AA9" s="327" t="s">
        <v>71</v>
      </c>
      <c r="AB9" s="328"/>
      <c r="AC9" s="324" t="s">
        <v>5</v>
      </c>
      <c r="AD9" s="329" t="s">
        <v>2</v>
      </c>
      <c r="AE9" s="239"/>
      <c r="AF9" s="48"/>
      <c r="AG9" s="48"/>
      <c r="AH9" s="48"/>
      <c r="AI9" s="48"/>
    </row>
    <row r="10" spans="1:34" ht="16.5" customHeight="1" thickBot="1">
      <c r="A10" s="330"/>
      <c r="B10" s="331"/>
      <c r="C10" s="332" t="s">
        <v>74</v>
      </c>
      <c r="D10" s="333" t="s">
        <v>75</v>
      </c>
      <c r="E10" s="334" t="s">
        <v>316</v>
      </c>
      <c r="F10" s="335" t="s">
        <v>48</v>
      </c>
      <c r="G10" s="332" t="s">
        <v>109</v>
      </c>
      <c r="H10" s="333" t="s">
        <v>110</v>
      </c>
      <c r="I10" s="334" t="s">
        <v>316</v>
      </c>
      <c r="J10" s="336" t="s">
        <v>48</v>
      </c>
      <c r="K10" s="332" t="s">
        <v>109</v>
      </c>
      <c r="L10" s="333" t="s">
        <v>110</v>
      </c>
      <c r="M10" s="334" t="s">
        <v>316</v>
      </c>
      <c r="N10" s="336" t="s">
        <v>48</v>
      </c>
      <c r="O10" s="337" t="s">
        <v>109</v>
      </c>
      <c r="P10" s="338" t="s">
        <v>110</v>
      </c>
      <c r="Q10" s="334" t="s">
        <v>316</v>
      </c>
      <c r="R10" s="339" t="s">
        <v>48</v>
      </c>
      <c r="S10" s="332" t="s">
        <v>109</v>
      </c>
      <c r="T10" s="333" t="s">
        <v>110</v>
      </c>
      <c r="U10" s="334" t="s">
        <v>299</v>
      </c>
      <c r="V10" s="335" t="s">
        <v>48</v>
      </c>
      <c r="W10" s="332" t="s">
        <v>109</v>
      </c>
      <c r="X10" s="333" t="s">
        <v>110</v>
      </c>
      <c r="Y10" s="334" t="s">
        <v>316</v>
      </c>
      <c r="Z10" s="335" t="s">
        <v>48</v>
      </c>
      <c r="AA10" s="337" t="s">
        <v>109</v>
      </c>
      <c r="AB10" s="338" t="s">
        <v>110</v>
      </c>
      <c r="AC10" s="334" t="s">
        <v>316</v>
      </c>
      <c r="AD10" s="339" t="s">
        <v>48</v>
      </c>
      <c r="AE10" s="246"/>
      <c r="AF10" s="48"/>
      <c r="AG10" s="48"/>
      <c r="AH10" s="48"/>
    </row>
    <row r="11" spans="1:35" ht="16.5" customHeight="1" hidden="1" thickTop="1">
      <c r="A11" s="3"/>
      <c r="B11" s="3"/>
      <c r="C11" s="3"/>
      <c r="D11" s="3"/>
      <c r="E11" s="3"/>
      <c r="F11" s="3"/>
      <c r="G11" s="3"/>
      <c r="H11" s="3" t="s">
        <v>198</v>
      </c>
      <c r="I11" s="3"/>
      <c r="J11" s="3"/>
      <c r="K11" s="3"/>
      <c r="L11" s="3" t="s">
        <v>200</v>
      </c>
      <c r="M11" s="3"/>
      <c r="N11" s="3"/>
      <c r="O11" s="3"/>
      <c r="P11" s="3" t="s">
        <v>201</v>
      </c>
      <c r="Q11" s="3"/>
      <c r="R11" s="3"/>
      <c r="S11" s="3"/>
      <c r="T11" s="3" t="s">
        <v>199</v>
      </c>
      <c r="U11" s="3"/>
      <c r="V11" s="3"/>
      <c r="W11" s="3"/>
      <c r="X11" s="3" t="s">
        <v>199</v>
      </c>
      <c r="Y11" s="3"/>
      <c r="Z11" s="3"/>
      <c r="AA11" s="3"/>
      <c r="AB11" s="3" t="s">
        <v>202</v>
      </c>
      <c r="AC11" s="3"/>
      <c r="AD11" s="3"/>
      <c r="AF11" s="86" t="s">
        <v>50</v>
      </c>
      <c r="AG11" s="86"/>
      <c r="AH11" s="86"/>
      <c r="AI11" s="86" t="s">
        <v>59</v>
      </c>
    </row>
    <row r="12" spans="1:35" ht="16.5" customHeight="1" hidden="1" thickTop="1">
      <c r="A12" s="3"/>
      <c r="B12" s="3"/>
      <c r="C12" s="3"/>
      <c r="D12" s="3" t="s">
        <v>203</v>
      </c>
      <c r="E12" s="3"/>
      <c r="F12" s="3"/>
      <c r="G12" s="3"/>
      <c r="H12" s="3" t="s">
        <v>204</v>
      </c>
      <c r="I12" s="3"/>
      <c r="J12" s="3"/>
      <c r="K12" s="3"/>
      <c r="L12" s="3" t="s">
        <v>206</v>
      </c>
      <c r="M12" s="3"/>
      <c r="N12" s="3"/>
      <c r="O12" s="3"/>
      <c r="P12" s="3" t="s">
        <v>207</v>
      </c>
      <c r="Q12" s="3"/>
      <c r="R12" s="3"/>
      <c r="S12" s="3"/>
      <c r="T12" s="3" t="s">
        <v>205</v>
      </c>
      <c r="U12" s="3"/>
      <c r="V12" s="3"/>
      <c r="W12" s="3"/>
      <c r="X12" s="3" t="s">
        <v>205</v>
      </c>
      <c r="Y12" s="3"/>
      <c r="Z12" s="3"/>
      <c r="AA12" s="3"/>
      <c r="AB12" s="3" t="s">
        <v>208</v>
      </c>
      <c r="AC12" s="3"/>
      <c r="AD12" s="3"/>
      <c r="AF12" s="86" t="s">
        <v>34</v>
      </c>
      <c r="AG12" s="86"/>
      <c r="AH12" s="86"/>
      <c r="AI12" s="86" t="s">
        <v>209</v>
      </c>
    </row>
    <row r="13" spans="1:30" ht="18.75" customHeight="1">
      <c r="A13" s="3"/>
      <c r="B13" s="3"/>
      <c r="C13" s="3"/>
      <c r="D13" s="47" t="s">
        <v>210</v>
      </c>
      <c r="E13" s="3"/>
      <c r="F13" s="3"/>
      <c r="G13" s="839" t="s">
        <v>198</v>
      </c>
      <c r="H13" s="839"/>
      <c r="I13" s="839"/>
      <c r="J13" s="839"/>
      <c r="K13" s="839" t="s">
        <v>200</v>
      </c>
      <c r="L13" s="839"/>
      <c r="M13" s="839"/>
      <c r="N13" s="839"/>
      <c r="O13" s="839" t="s">
        <v>201</v>
      </c>
      <c r="P13" s="839"/>
      <c r="Q13" s="839"/>
      <c r="R13" s="839"/>
      <c r="S13" s="839" t="s">
        <v>275</v>
      </c>
      <c r="T13" s="839"/>
      <c r="U13" s="839"/>
      <c r="V13" s="839"/>
      <c r="W13" s="839" t="s">
        <v>297</v>
      </c>
      <c r="X13" s="839"/>
      <c r="Y13" s="839"/>
      <c r="Z13" s="839"/>
      <c r="AA13" s="839" t="s">
        <v>298</v>
      </c>
      <c r="AB13" s="839"/>
      <c r="AC13" s="839"/>
      <c r="AD13" s="839"/>
    </row>
    <row r="14" spans="1:30" ht="18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4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4" ht="13.5" customHeight="1">
      <c r="A15" s="708"/>
      <c r="B15" s="716"/>
      <c r="C15" s="717"/>
      <c r="D15" s="754"/>
      <c r="E15" s="754"/>
      <c r="F15" s="755"/>
      <c r="G15" s="756"/>
      <c r="H15" s="757"/>
      <c r="I15" s="757"/>
      <c r="J15" s="758"/>
      <c r="K15" s="759"/>
      <c r="L15" s="754"/>
      <c r="M15" s="754"/>
      <c r="N15" s="760"/>
      <c r="O15" s="759"/>
      <c r="P15" s="754"/>
      <c r="Q15" s="754"/>
      <c r="R15" s="760"/>
      <c r="S15" s="717"/>
      <c r="T15" s="761"/>
      <c r="U15" s="754"/>
      <c r="V15" s="760"/>
      <c r="W15" s="717"/>
      <c r="X15" s="761"/>
      <c r="Y15" s="754"/>
      <c r="Z15" s="760"/>
      <c r="AA15" s="759"/>
      <c r="AB15" s="762"/>
      <c r="AC15" s="754"/>
      <c r="AD15" s="760"/>
      <c r="AE15" s="705"/>
      <c r="AF15" s="705"/>
      <c r="AG15" s="705"/>
      <c r="AH15" s="705"/>
    </row>
    <row r="16" spans="1:34" ht="16.5" customHeight="1">
      <c r="A16" s="72" t="s">
        <v>6</v>
      </c>
      <c r="B16" s="491"/>
      <c r="C16" s="74">
        <f>'Výdaje '!C13</f>
        <v>296761</v>
      </c>
      <c r="D16" s="75">
        <f>'Výdaje '!D13</f>
        <v>356179</v>
      </c>
      <c r="E16" s="75">
        <f>'Výdaje '!E13</f>
        <v>333667</v>
      </c>
      <c r="F16" s="76">
        <f>E16/D16*100</f>
        <v>93.67958245713531</v>
      </c>
      <c r="G16" s="389">
        <v>391</v>
      </c>
      <c r="H16" s="500">
        <v>391</v>
      </c>
      <c r="I16" s="500">
        <v>391</v>
      </c>
      <c r="J16" s="76">
        <f>I16/H16*100</f>
        <v>100</v>
      </c>
      <c r="K16" s="74"/>
      <c r="L16" s="75"/>
      <c r="M16" s="75"/>
      <c r="N16" s="76"/>
      <c r="O16" s="74">
        <v>68409</v>
      </c>
      <c r="P16" s="75">
        <v>69868</v>
      </c>
      <c r="Q16" s="75">
        <v>69867</v>
      </c>
      <c r="R16" s="76">
        <f aca="true" t="shared" si="0" ref="R16:R43">Q16/P16*100</f>
        <v>99.9985687296044</v>
      </c>
      <c r="S16" s="376"/>
      <c r="T16" s="500"/>
      <c r="U16" s="75"/>
      <c r="V16" s="76"/>
      <c r="W16" s="376"/>
      <c r="X16" s="500">
        <v>7610</v>
      </c>
      <c r="Y16" s="75">
        <v>7610</v>
      </c>
      <c r="Z16" s="76">
        <f aca="true" t="shared" si="1" ref="Z16:Z23">Y16/X16*100</f>
        <v>100</v>
      </c>
      <c r="AA16" s="439">
        <f aca="true" t="shared" si="2" ref="AA16:AA44">SUM(C16-G16-S16-W16-K16-O16)</f>
        <v>227961</v>
      </c>
      <c r="AB16" s="539">
        <f aca="true" t="shared" si="3" ref="AB16:AB44">SUM(D16-H16-T16-X16-L16-P16)</f>
        <v>278310</v>
      </c>
      <c r="AC16" s="540">
        <f aca="true" t="shared" si="4" ref="AC16:AC44">SUM(E16-I16-U16-Y16-M16-Q16)</f>
        <v>255799</v>
      </c>
      <c r="AD16" s="76">
        <f aca="true" t="shared" si="5" ref="AD16:AD44">AC16/AB16*100</f>
        <v>91.9115374941612</v>
      </c>
      <c r="AE16" s="390"/>
      <c r="AF16" s="390"/>
      <c r="AG16" s="390"/>
      <c r="AH16" s="390"/>
    </row>
    <row r="17" spans="1:35" ht="16.5" customHeight="1">
      <c r="A17" s="72" t="s">
        <v>7</v>
      </c>
      <c r="B17" s="491"/>
      <c r="C17" s="74">
        <f>'Výdaje '!C14</f>
        <v>43775</v>
      </c>
      <c r="D17" s="75">
        <f>'Výdaje '!D14</f>
        <v>52779</v>
      </c>
      <c r="E17" s="75">
        <f>'Výdaje '!E14</f>
        <v>50189</v>
      </c>
      <c r="F17" s="76">
        <f aca="true" t="shared" si="6" ref="F17:F44">E17/D17*100</f>
        <v>95.092745220637</v>
      </c>
      <c r="G17" s="389"/>
      <c r="H17" s="541"/>
      <c r="I17" s="541"/>
      <c r="J17" s="76"/>
      <c r="K17" s="74"/>
      <c r="L17" s="75"/>
      <c r="M17" s="75"/>
      <c r="N17" s="76"/>
      <c r="O17" s="74">
        <v>12236</v>
      </c>
      <c r="P17" s="75">
        <v>12313</v>
      </c>
      <c r="Q17" s="75">
        <v>12313</v>
      </c>
      <c r="R17" s="76">
        <f t="shared" si="0"/>
        <v>100</v>
      </c>
      <c r="S17" s="376"/>
      <c r="T17" s="500"/>
      <c r="U17" s="75"/>
      <c r="V17" s="76"/>
      <c r="W17" s="376"/>
      <c r="X17" s="500">
        <v>947</v>
      </c>
      <c r="Y17" s="75">
        <v>947</v>
      </c>
      <c r="Z17" s="76">
        <f t="shared" si="1"/>
        <v>100</v>
      </c>
      <c r="AA17" s="439">
        <f t="shared" si="2"/>
        <v>31539</v>
      </c>
      <c r="AB17" s="539">
        <f t="shared" si="3"/>
        <v>39519</v>
      </c>
      <c r="AC17" s="540">
        <f t="shared" si="4"/>
        <v>36929</v>
      </c>
      <c r="AD17" s="76">
        <f t="shared" si="5"/>
        <v>93.4461904400415</v>
      </c>
      <c r="AE17" s="390"/>
      <c r="AF17" s="390"/>
      <c r="AG17" s="390"/>
      <c r="AH17" s="390"/>
      <c r="AI17" s="270"/>
    </row>
    <row r="18" spans="1:35" ht="16.5" customHeight="1">
      <c r="A18" s="72" t="s">
        <v>8</v>
      </c>
      <c r="B18" s="491"/>
      <c r="C18" s="74">
        <f>'Výdaje '!C15</f>
        <v>37496</v>
      </c>
      <c r="D18" s="75">
        <f>'Výdaje '!D15</f>
        <v>60993</v>
      </c>
      <c r="E18" s="75">
        <f>'Výdaje '!E15</f>
        <v>46663</v>
      </c>
      <c r="F18" s="76">
        <f t="shared" si="6"/>
        <v>76.50550063121997</v>
      </c>
      <c r="G18" s="389"/>
      <c r="H18" s="500"/>
      <c r="I18" s="500"/>
      <c r="J18" s="76"/>
      <c r="K18" s="74"/>
      <c r="L18" s="75"/>
      <c r="M18" s="75"/>
      <c r="N18" s="76"/>
      <c r="O18" s="74">
        <v>7722</v>
      </c>
      <c r="P18" s="75">
        <v>11928</v>
      </c>
      <c r="Q18" s="75">
        <v>11924</v>
      </c>
      <c r="R18" s="76">
        <f t="shared" si="0"/>
        <v>99.9664654594232</v>
      </c>
      <c r="S18" s="376"/>
      <c r="T18" s="500">
        <v>0</v>
      </c>
      <c r="U18" s="75"/>
      <c r="V18" s="76"/>
      <c r="W18" s="376"/>
      <c r="X18" s="500">
        <v>246</v>
      </c>
      <c r="Y18" s="75">
        <v>246</v>
      </c>
      <c r="Z18" s="76">
        <f t="shared" si="1"/>
        <v>100</v>
      </c>
      <c r="AA18" s="439">
        <f t="shared" si="2"/>
        <v>29774</v>
      </c>
      <c r="AB18" s="539">
        <f t="shared" si="3"/>
        <v>48819</v>
      </c>
      <c r="AC18" s="540">
        <f t="shared" si="4"/>
        <v>34493</v>
      </c>
      <c r="AD18" s="76">
        <f t="shared" si="5"/>
        <v>70.65486798172843</v>
      </c>
      <c r="AE18" s="390"/>
      <c r="AF18" s="390"/>
      <c r="AG18" s="390"/>
      <c r="AH18" s="390"/>
      <c r="AI18" s="270"/>
    </row>
    <row r="19" spans="1:35" ht="16.5" customHeight="1">
      <c r="A19" s="72" t="s">
        <v>9</v>
      </c>
      <c r="B19" s="491"/>
      <c r="C19" s="74">
        <f>'Výdaje '!C16</f>
        <v>33413</v>
      </c>
      <c r="D19" s="75">
        <f>'Výdaje '!D16</f>
        <v>49495</v>
      </c>
      <c r="E19" s="75">
        <f>'Výdaje '!E16</f>
        <v>45711</v>
      </c>
      <c r="F19" s="76">
        <f t="shared" si="6"/>
        <v>92.3547833114456</v>
      </c>
      <c r="G19" s="501">
        <v>2096</v>
      </c>
      <c r="H19" s="502">
        <v>2335</v>
      </c>
      <c r="I19" s="502">
        <v>2314</v>
      </c>
      <c r="J19" s="76">
        <f>I19/H19*100</f>
        <v>99.10064239828694</v>
      </c>
      <c r="K19" s="74"/>
      <c r="L19" s="75"/>
      <c r="M19" s="75"/>
      <c r="N19" s="76"/>
      <c r="O19" s="74">
        <v>9744</v>
      </c>
      <c r="P19" s="75">
        <v>10120</v>
      </c>
      <c r="Q19" s="75">
        <v>10120</v>
      </c>
      <c r="R19" s="76">
        <f t="shared" si="0"/>
        <v>100</v>
      </c>
      <c r="S19" s="376"/>
      <c r="T19" s="500"/>
      <c r="U19" s="75"/>
      <c r="V19" s="76"/>
      <c r="W19" s="376"/>
      <c r="X19" s="500">
        <v>1098</v>
      </c>
      <c r="Y19" s="75">
        <v>1098</v>
      </c>
      <c r="Z19" s="76">
        <f t="shared" si="1"/>
        <v>100</v>
      </c>
      <c r="AA19" s="439">
        <f t="shared" si="2"/>
        <v>21573</v>
      </c>
      <c r="AB19" s="539">
        <f t="shared" si="3"/>
        <v>35942</v>
      </c>
      <c r="AC19" s="540">
        <f t="shared" si="4"/>
        <v>32179</v>
      </c>
      <c r="AD19" s="76">
        <f t="shared" si="5"/>
        <v>89.53035445996328</v>
      </c>
      <c r="AE19" s="390"/>
      <c r="AF19" s="390"/>
      <c r="AG19" s="390"/>
      <c r="AH19" s="390"/>
      <c r="AI19" s="270"/>
    </row>
    <row r="20" spans="1:35" ht="16.5" customHeight="1">
      <c r="A20" s="72" t="s">
        <v>10</v>
      </c>
      <c r="B20" s="491"/>
      <c r="C20" s="74">
        <f>'Výdaje '!C17</f>
        <v>42845</v>
      </c>
      <c r="D20" s="75">
        <f>'Výdaje '!D17</f>
        <v>56755</v>
      </c>
      <c r="E20" s="75">
        <f>'Výdaje '!E17</f>
        <v>55783</v>
      </c>
      <c r="F20" s="76">
        <f t="shared" si="6"/>
        <v>98.28737556162453</v>
      </c>
      <c r="G20" s="501">
        <v>1787</v>
      </c>
      <c r="H20" s="502">
        <v>3248</v>
      </c>
      <c r="I20" s="502">
        <v>3207</v>
      </c>
      <c r="J20" s="76">
        <f>I20/H20*100</f>
        <v>98.73768472906403</v>
      </c>
      <c r="K20" s="74"/>
      <c r="L20" s="75"/>
      <c r="M20" s="75"/>
      <c r="N20" s="76"/>
      <c r="O20" s="74">
        <v>9464</v>
      </c>
      <c r="P20" s="75">
        <v>9533</v>
      </c>
      <c r="Q20" s="75">
        <v>9533</v>
      </c>
      <c r="R20" s="76">
        <f t="shared" si="0"/>
        <v>100</v>
      </c>
      <c r="S20" s="376"/>
      <c r="T20" s="500"/>
      <c r="U20" s="75"/>
      <c r="V20" s="76"/>
      <c r="W20" s="376"/>
      <c r="X20" s="500">
        <v>1347</v>
      </c>
      <c r="Y20" s="75">
        <v>1347</v>
      </c>
      <c r="Z20" s="76">
        <f t="shared" si="1"/>
        <v>100</v>
      </c>
      <c r="AA20" s="439">
        <f t="shared" si="2"/>
        <v>31594</v>
      </c>
      <c r="AB20" s="539">
        <f t="shared" si="3"/>
        <v>42627</v>
      </c>
      <c r="AC20" s="540">
        <f t="shared" si="4"/>
        <v>41696</v>
      </c>
      <c r="AD20" s="76">
        <f t="shared" si="5"/>
        <v>97.81593825509654</v>
      </c>
      <c r="AE20" s="390"/>
      <c r="AF20" s="390"/>
      <c r="AG20" s="390"/>
      <c r="AH20" s="390"/>
      <c r="AI20" s="270"/>
    </row>
    <row r="21" spans="1:35" ht="16.5" customHeight="1">
      <c r="A21" s="72" t="s">
        <v>11</v>
      </c>
      <c r="B21" s="491"/>
      <c r="C21" s="74">
        <f>'Výdaje '!C18</f>
        <v>11409</v>
      </c>
      <c r="D21" s="75">
        <f>'Výdaje '!D18</f>
        <v>12615</v>
      </c>
      <c r="E21" s="75">
        <f>'Výdaje '!E18</f>
        <v>11418</v>
      </c>
      <c r="F21" s="76">
        <f t="shared" si="6"/>
        <v>90.51129607609988</v>
      </c>
      <c r="G21" s="501"/>
      <c r="H21" s="502"/>
      <c r="I21" s="502"/>
      <c r="J21" s="76"/>
      <c r="K21" s="74"/>
      <c r="L21" s="75"/>
      <c r="M21" s="75"/>
      <c r="N21" s="76"/>
      <c r="O21" s="74">
        <v>1770</v>
      </c>
      <c r="P21" s="75">
        <v>1770</v>
      </c>
      <c r="Q21" s="75">
        <v>1570</v>
      </c>
      <c r="R21" s="76">
        <f t="shared" si="0"/>
        <v>88.70056497175142</v>
      </c>
      <c r="S21" s="376"/>
      <c r="T21" s="500"/>
      <c r="U21" s="75"/>
      <c r="V21" s="76"/>
      <c r="W21" s="376"/>
      <c r="X21" s="500">
        <v>247</v>
      </c>
      <c r="Y21" s="75">
        <v>247</v>
      </c>
      <c r="Z21" s="76">
        <f t="shared" si="1"/>
        <v>100</v>
      </c>
      <c r="AA21" s="439">
        <f t="shared" si="2"/>
        <v>9639</v>
      </c>
      <c r="AB21" s="539">
        <f t="shared" si="3"/>
        <v>10598</v>
      </c>
      <c r="AC21" s="540">
        <f t="shared" si="4"/>
        <v>9601</v>
      </c>
      <c r="AD21" s="76">
        <f t="shared" si="5"/>
        <v>90.59256463483676</v>
      </c>
      <c r="AE21" s="390"/>
      <c r="AF21" s="390"/>
      <c r="AG21" s="390"/>
      <c r="AH21" s="390"/>
      <c r="AI21" s="270"/>
    </row>
    <row r="22" spans="1:35" ht="16.5" customHeight="1">
      <c r="A22" s="72" t="s">
        <v>242</v>
      </c>
      <c r="B22" s="491"/>
      <c r="C22" s="74">
        <f>'Výdaje '!C19</f>
        <v>81862</v>
      </c>
      <c r="D22" s="75">
        <f>'Výdaje '!D19</f>
        <v>107950</v>
      </c>
      <c r="E22" s="75">
        <f>'Výdaje '!E19</f>
        <v>105774</v>
      </c>
      <c r="F22" s="76">
        <f t="shared" si="6"/>
        <v>97.98425196850393</v>
      </c>
      <c r="G22" s="501">
        <v>490</v>
      </c>
      <c r="H22" s="502">
        <v>490</v>
      </c>
      <c r="I22" s="502">
        <v>495</v>
      </c>
      <c r="J22" s="76">
        <f>I22/H22*100</f>
        <v>101.0204081632653</v>
      </c>
      <c r="K22" s="74"/>
      <c r="L22" s="75"/>
      <c r="M22" s="75"/>
      <c r="N22" s="76"/>
      <c r="O22" s="74">
        <v>16760</v>
      </c>
      <c r="P22" s="75">
        <v>16760</v>
      </c>
      <c r="Q22" s="75">
        <v>16760</v>
      </c>
      <c r="R22" s="76">
        <f t="shared" si="0"/>
        <v>100</v>
      </c>
      <c r="S22" s="376"/>
      <c r="T22" s="500"/>
      <c r="U22" s="75"/>
      <c r="V22" s="76"/>
      <c r="W22" s="376"/>
      <c r="X22" s="500">
        <v>2928</v>
      </c>
      <c r="Y22" s="75">
        <v>2928</v>
      </c>
      <c r="Z22" s="76">
        <f t="shared" si="1"/>
        <v>100</v>
      </c>
      <c r="AA22" s="439">
        <f t="shared" si="2"/>
        <v>64612</v>
      </c>
      <c r="AB22" s="539">
        <f t="shared" si="3"/>
        <v>87772</v>
      </c>
      <c r="AC22" s="540">
        <f t="shared" si="4"/>
        <v>85591</v>
      </c>
      <c r="AD22" s="76">
        <f t="shared" si="5"/>
        <v>97.51515289614</v>
      </c>
      <c r="AE22" s="390"/>
      <c r="AF22" s="390"/>
      <c r="AG22" s="390"/>
      <c r="AH22" s="390"/>
      <c r="AI22" s="270"/>
    </row>
    <row r="23" spans="1:35" ht="16.5" customHeight="1">
      <c r="A23" s="72" t="s">
        <v>13</v>
      </c>
      <c r="B23" s="491"/>
      <c r="C23" s="74">
        <f>'Výdaje '!C20</f>
        <v>95093</v>
      </c>
      <c r="D23" s="75">
        <f>'Výdaje '!D20</f>
        <v>118045</v>
      </c>
      <c r="E23" s="75">
        <f>'Výdaje '!E20</f>
        <v>103430</v>
      </c>
      <c r="F23" s="76">
        <f t="shared" si="6"/>
        <v>87.61912829853023</v>
      </c>
      <c r="G23" s="501">
        <v>3000</v>
      </c>
      <c r="H23" s="502">
        <v>2030</v>
      </c>
      <c r="I23" s="502">
        <v>2029</v>
      </c>
      <c r="J23" s="76">
        <f>I23/H23*100</f>
        <v>99.95073891625616</v>
      </c>
      <c r="K23" s="74"/>
      <c r="L23" s="75"/>
      <c r="M23" s="75"/>
      <c r="N23" s="76"/>
      <c r="O23" s="74">
        <v>13962</v>
      </c>
      <c r="P23" s="75">
        <v>14553</v>
      </c>
      <c r="Q23" s="75">
        <v>14458</v>
      </c>
      <c r="R23" s="76">
        <f t="shared" si="0"/>
        <v>99.34721363292792</v>
      </c>
      <c r="S23" s="376"/>
      <c r="T23" s="500"/>
      <c r="U23" s="75"/>
      <c r="V23" s="76"/>
      <c r="W23" s="376"/>
      <c r="X23" s="500">
        <v>5894</v>
      </c>
      <c r="Y23" s="75">
        <v>5894</v>
      </c>
      <c r="Z23" s="76">
        <f t="shared" si="1"/>
        <v>100</v>
      </c>
      <c r="AA23" s="439">
        <f t="shared" si="2"/>
        <v>78131</v>
      </c>
      <c r="AB23" s="539">
        <f t="shared" si="3"/>
        <v>95568</v>
      </c>
      <c r="AC23" s="540">
        <f t="shared" si="4"/>
        <v>81049</v>
      </c>
      <c r="AD23" s="76">
        <f t="shared" si="5"/>
        <v>84.80767620960992</v>
      </c>
      <c r="AE23" s="390"/>
      <c r="AF23" s="390"/>
      <c r="AG23" s="390"/>
      <c r="AH23" s="390"/>
      <c r="AI23" s="270"/>
    </row>
    <row r="24" spans="1:35" ht="16.5" customHeight="1">
      <c r="A24" s="72" t="s">
        <v>14</v>
      </c>
      <c r="B24" s="491"/>
      <c r="C24" s="74">
        <f>'Výdaje '!C21</f>
        <v>7342</v>
      </c>
      <c r="D24" s="75">
        <f>'Výdaje '!D21</f>
        <v>8118</v>
      </c>
      <c r="E24" s="75">
        <f>'Výdaje '!E21</f>
        <v>6656</v>
      </c>
      <c r="F24" s="76">
        <f t="shared" si="6"/>
        <v>81.99063808819906</v>
      </c>
      <c r="G24" s="501"/>
      <c r="H24" s="502"/>
      <c r="I24" s="502"/>
      <c r="J24" s="76"/>
      <c r="K24" s="74"/>
      <c r="L24" s="75"/>
      <c r="M24" s="75"/>
      <c r="N24" s="76"/>
      <c r="O24" s="74">
        <v>500</v>
      </c>
      <c r="P24" s="75">
        <v>502</v>
      </c>
      <c r="Q24" s="75">
        <v>502</v>
      </c>
      <c r="R24" s="76">
        <f t="shared" si="0"/>
        <v>100</v>
      </c>
      <c r="S24" s="376"/>
      <c r="T24" s="500">
        <v>0</v>
      </c>
      <c r="U24" s="75"/>
      <c r="V24" s="76"/>
      <c r="W24" s="376"/>
      <c r="X24" s="500"/>
      <c r="Y24" s="75"/>
      <c r="Z24" s="76"/>
      <c r="AA24" s="439">
        <f t="shared" si="2"/>
        <v>6842</v>
      </c>
      <c r="AB24" s="539">
        <f t="shared" si="3"/>
        <v>7616</v>
      </c>
      <c r="AC24" s="540">
        <f t="shared" si="4"/>
        <v>6154</v>
      </c>
      <c r="AD24" s="76">
        <f t="shared" si="5"/>
        <v>80.80357142857143</v>
      </c>
      <c r="AE24" s="390"/>
      <c r="AF24" s="390"/>
      <c r="AG24" s="390"/>
      <c r="AH24" s="390"/>
      <c r="AI24" s="270"/>
    </row>
    <row r="25" spans="1:35" ht="16.5" customHeight="1">
      <c r="A25" s="72" t="s">
        <v>15</v>
      </c>
      <c r="B25" s="491"/>
      <c r="C25" s="74">
        <f>'Výdaje '!C22</f>
        <v>23561</v>
      </c>
      <c r="D25" s="75">
        <f>'Výdaje '!D22</f>
        <v>27572</v>
      </c>
      <c r="E25" s="75">
        <f>'Výdaje '!E22</f>
        <v>26732</v>
      </c>
      <c r="F25" s="76">
        <f t="shared" si="6"/>
        <v>96.95343101697375</v>
      </c>
      <c r="G25" s="501"/>
      <c r="H25" s="502"/>
      <c r="I25" s="502"/>
      <c r="J25" s="76"/>
      <c r="K25" s="74"/>
      <c r="L25" s="75"/>
      <c r="M25" s="75"/>
      <c r="N25" s="76"/>
      <c r="O25" s="74">
        <v>4035</v>
      </c>
      <c r="P25" s="75">
        <v>4617</v>
      </c>
      <c r="Q25" s="75">
        <v>4616</v>
      </c>
      <c r="R25" s="76">
        <f t="shared" si="0"/>
        <v>99.97834091401343</v>
      </c>
      <c r="S25" s="376"/>
      <c r="T25" s="500"/>
      <c r="U25" s="75"/>
      <c r="V25" s="76"/>
      <c r="W25" s="376"/>
      <c r="X25" s="500">
        <v>1137</v>
      </c>
      <c r="Y25" s="75">
        <v>1137</v>
      </c>
      <c r="Z25" s="76">
        <f>Y25/X25*100</f>
        <v>100</v>
      </c>
      <c r="AA25" s="439">
        <f t="shared" si="2"/>
        <v>19526</v>
      </c>
      <c r="AB25" s="539">
        <f t="shared" si="3"/>
        <v>21818</v>
      </c>
      <c r="AC25" s="540">
        <f t="shared" si="4"/>
        <v>20979</v>
      </c>
      <c r="AD25" s="76">
        <f t="shared" si="5"/>
        <v>96.1545512879274</v>
      </c>
      <c r="AE25" s="390"/>
      <c r="AF25" s="390"/>
      <c r="AG25" s="390"/>
      <c r="AH25" s="390"/>
      <c r="AI25" s="270"/>
    </row>
    <row r="26" spans="1:35" ht="16.5" customHeight="1">
      <c r="A26" s="72" t="s">
        <v>16</v>
      </c>
      <c r="B26" s="491"/>
      <c r="C26" s="74">
        <f>'Výdaje '!C23</f>
        <v>12800</v>
      </c>
      <c r="D26" s="75">
        <f>'Výdaje '!D23</f>
        <v>28813</v>
      </c>
      <c r="E26" s="75">
        <f>'Výdaje '!E23</f>
        <v>25961</v>
      </c>
      <c r="F26" s="76">
        <f t="shared" si="6"/>
        <v>90.10169020928053</v>
      </c>
      <c r="G26" s="501"/>
      <c r="H26" s="502"/>
      <c r="I26" s="502"/>
      <c r="J26" s="76"/>
      <c r="K26" s="74"/>
      <c r="L26" s="75"/>
      <c r="M26" s="75"/>
      <c r="N26" s="76"/>
      <c r="O26" s="74">
        <v>3045</v>
      </c>
      <c r="P26" s="75">
        <v>3045</v>
      </c>
      <c r="Q26" s="75">
        <v>3045</v>
      </c>
      <c r="R26" s="76">
        <f t="shared" si="0"/>
        <v>100</v>
      </c>
      <c r="S26" s="376"/>
      <c r="T26" s="500"/>
      <c r="U26" s="75"/>
      <c r="V26" s="76"/>
      <c r="W26" s="376"/>
      <c r="X26" s="500">
        <v>490</v>
      </c>
      <c r="Y26" s="75">
        <v>490</v>
      </c>
      <c r="Z26" s="76">
        <f>Y26/X26*100</f>
        <v>100</v>
      </c>
      <c r="AA26" s="439">
        <f t="shared" si="2"/>
        <v>9755</v>
      </c>
      <c r="AB26" s="539">
        <f t="shared" si="3"/>
        <v>25278</v>
      </c>
      <c r="AC26" s="540">
        <f t="shared" si="4"/>
        <v>22426</v>
      </c>
      <c r="AD26" s="76">
        <f t="shared" si="5"/>
        <v>88.71746182451143</v>
      </c>
      <c r="AE26" s="390"/>
      <c r="AF26" s="390"/>
      <c r="AG26" s="390"/>
      <c r="AH26" s="390"/>
      <c r="AI26" s="270"/>
    </row>
    <row r="27" spans="1:35" ht="16.5" customHeight="1">
      <c r="A27" s="72" t="s">
        <v>244</v>
      </c>
      <c r="B27" s="491"/>
      <c r="C27" s="74">
        <f>'Výdaje '!C24</f>
        <v>12687</v>
      </c>
      <c r="D27" s="75">
        <f>'Výdaje '!D24</f>
        <v>16033</v>
      </c>
      <c r="E27" s="75">
        <f>'Výdaje '!E24</f>
        <v>15392</v>
      </c>
      <c r="F27" s="76">
        <f t="shared" si="6"/>
        <v>96.0019958834903</v>
      </c>
      <c r="G27" s="501"/>
      <c r="H27" s="502"/>
      <c r="I27" s="502"/>
      <c r="J27" s="76"/>
      <c r="K27" s="74"/>
      <c r="L27" s="75"/>
      <c r="M27" s="75"/>
      <c r="N27" s="76"/>
      <c r="O27" s="74">
        <v>2124</v>
      </c>
      <c r="P27" s="75">
        <v>2024</v>
      </c>
      <c r="Q27" s="75">
        <v>2024</v>
      </c>
      <c r="R27" s="76">
        <f t="shared" si="0"/>
        <v>100</v>
      </c>
      <c r="S27" s="376"/>
      <c r="T27" s="500">
        <v>0</v>
      </c>
      <c r="U27" s="75"/>
      <c r="V27" s="76"/>
      <c r="W27" s="376"/>
      <c r="X27" s="500">
        <v>778</v>
      </c>
      <c r="Y27" s="75">
        <v>778</v>
      </c>
      <c r="Z27" s="76">
        <f>Y27/X27*100</f>
        <v>100</v>
      </c>
      <c r="AA27" s="439">
        <f t="shared" si="2"/>
        <v>10563</v>
      </c>
      <c r="AB27" s="539">
        <f t="shared" si="3"/>
        <v>13231</v>
      </c>
      <c r="AC27" s="540">
        <f t="shared" si="4"/>
        <v>12590</v>
      </c>
      <c r="AD27" s="76">
        <f t="shared" si="5"/>
        <v>95.15531705842339</v>
      </c>
      <c r="AE27" s="390"/>
      <c r="AF27" s="390"/>
      <c r="AG27" s="390"/>
      <c r="AH27" s="390"/>
      <c r="AI27" s="270"/>
    </row>
    <row r="28" spans="1:35" ht="16.5" customHeight="1">
      <c r="A28" s="72" t="s">
        <v>18</v>
      </c>
      <c r="B28" s="491"/>
      <c r="C28" s="74">
        <f>'Výdaje '!C25</f>
        <v>151960</v>
      </c>
      <c r="D28" s="75">
        <f>'Výdaje '!D25</f>
        <v>200389</v>
      </c>
      <c r="E28" s="75">
        <f>'Výdaje '!E25</f>
        <v>186873</v>
      </c>
      <c r="F28" s="76">
        <f t="shared" si="6"/>
        <v>93.25511879394578</v>
      </c>
      <c r="G28" s="501">
        <v>1511</v>
      </c>
      <c r="H28" s="502">
        <v>1479</v>
      </c>
      <c r="I28" s="502">
        <v>1478</v>
      </c>
      <c r="J28" s="76">
        <f>I28/H28*100</f>
        <v>99.93238674780257</v>
      </c>
      <c r="K28" s="74"/>
      <c r="L28" s="75"/>
      <c r="M28" s="75"/>
      <c r="N28" s="76"/>
      <c r="O28" s="74">
        <v>35170</v>
      </c>
      <c r="P28" s="75">
        <v>36866</v>
      </c>
      <c r="Q28" s="75">
        <f>36820+1</f>
        <v>36821</v>
      </c>
      <c r="R28" s="76">
        <f t="shared" si="0"/>
        <v>99.87793630987902</v>
      </c>
      <c r="S28" s="376"/>
      <c r="T28" s="500">
        <v>0</v>
      </c>
      <c r="U28" s="75"/>
      <c r="V28" s="76"/>
      <c r="W28" s="376"/>
      <c r="X28" s="500">
        <v>5269</v>
      </c>
      <c r="Y28" s="75">
        <v>5269</v>
      </c>
      <c r="Z28" s="76">
        <f aca="true" t="shared" si="7" ref="Z28:Z37">Y28/X28*100</f>
        <v>100</v>
      </c>
      <c r="AA28" s="439">
        <f t="shared" si="2"/>
        <v>115279</v>
      </c>
      <c r="AB28" s="539">
        <f t="shared" si="3"/>
        <v>156775</v>
      </c>
      <c r="AC28" s="540">
        <f t="shared" si="4"/>
        <v>143305</v>
      </c>
      <c r="AD28" s="76">
        <f t="shared" si="5"/>
        <v>91.40806888853452</v>
      </c>
      <c r="AE28" s="390"/>
      <c r="AF28" s="390"/>
      <c r="AG28" s="390"/>
      <c r="AH28" s="390"/>
      <c r="AI28" s="270"/>
    </row>
    <row r="29" spans="1:35" ht="16.5" customHeight="1">
      <c r="A29" s="72" t="s">
        <v>58</v>
      </c>
      <c r="B29" s="491"/>
      <c r="C29" s="74">
        <f>'Výdaje '!C26</f>
        <v>21741</v>
      </c>
      <c r="D29" s="75">
        <f>'Výdaje '!D26</f>
        <v>25137</v>
      </c>
      <c r="E29" s="75">
        <f>'Výdaje '!E26</f>
        <v>21875</v>
      </c>
      <c r="F29" s="76">
        <f t="shared" si="6"/>
        <v>87.02311333890282</v>
      </c>
      <c r="G29" s="501"/>
      <c r="H29" s="502"/>
      <c r="I29" s="502"/>
      <c r="J29" s="76"/>
      <c r="K29" s="74">
        <v>200</v>
      </c>
      <c r="L29" s="75">
        <v>200</v>
      </c>
      <c r="M29" s="75">
        <v>200</v>
      </c>
      <c r="N29" s="76">
        <f>M29/L29*100</f>
        <v>100</v>
      </c>
      <c r="O29" s="74">
        <v>3742</v>
      </c>
      <c r="P29" s="75">
        <v>3887</v>
      </c>
      <c r="Q29" s="75">
        <v>3686</v>
      </c>
      <c r="R29" s="76">
        <f t="shared" si="0"/>
        <v>94.8289169024955</v>
      </c>
      <c r="S29" s="376"/>
      <c r="T29" s="500"/>
      <c r="U29" s="75"/>
      <c r="V29" s="76"/>
      <c r="W29" s="376"/>
      <c r="X29" s="500">
        <v>825</v>
      </c>
      <c r="Y29" s="75">
        <v>825</v>
      </c>
      <c r="Z29" s="76">
        <f t="shared" si="7"/>
        <v>100</v>
      </c>
      <c r="AA29" s="439">
        <f t="shared" si="2"/>
        <v>17799</v>
      </c>
      <c r="AB29" s="539">
        <f t="shared" si="3"/>
        <v>20225</v>
      </c>
      <c r="AC29" s="540">
        <f t="shared" si="4"/>
        <v>17164</v>
      </c>
      <c r="AD29" s="76">
        <f t="shared" si="5"/>
        <v>84.86526576019777</v>
      </c>
      <c r="AE29" s="390"/>
      <c r="AF29" s="390"/>
      <c r="AG29" s="390"/>
      <c r="AH29" s="390"/>
      <c r="AI29" s="270"/>
    </row>
    <row r="30" spans="1:35" ht="16.5" customHeight="1">
      <c r="A30" s="72" t="s">
        <v>19</v>
      </c>
      <c r="B30" s="491"/>
      <c r="C30" s="74">
        <f>'Výdaje '!C27</f>
        <v>87032</v>
      </c>
      <c r="D30" s="75">
        <f>'Výdaje '!D27</f>
        <v>107234</v>
      </c>
      <c r="E30" s="75">
        <f>'Výdaje '!E27</f>
        <v>98177</v>
      </c>
      <c r="F30" s="76">
        <f t="shared" si="6"/>
        <v>91.55398474364473</v>
      </c>
      <c r="G30" s="501">
        <v>1357</v>
      </c>
      <c r="H30" s="502">
        <v>2760</v>
      </c>
      <c r="I30" s="502">
        <v>2759</v>
      </c>
      <c r="J30" s="76">
        <f>I30/H30*100</f>
        <v>99.96376811594203</v>
      </c>
      <c r="K30" s="74"/>
      <c r="L30" s="75"/>
      <c r="M30" s="75"/>
      <c r="N30" s="76"/>
      <c r="O30" s="74">
        <v>17990</v>
      </c>
      <c r="P30" s="75">
        <v>18733</v>
      </c>
      <c r="Q30" s="75">
        <v>18671</v>
      </c>
      <c r="R30" s="76">
        <f t="shared" si="0"/>
        <v>99.66903325681952</v>
      </c>
      <c r="S30" s="376"/>
      <c r="T30" s="500"/>
      <c r="U30" s="75"/>
      <c r="V30" s="76"/>
      <c r="W30" s="376"/>
      <c r="X30" s="500">
        <v>3420</v>
      </c>
      <c r="Y30" s="75">
        <v>3420</v>
      </c>
      <c r="Z30" s="76">
        <f t="shared" si="7"/>
        <v>100</v>
      </c>
      <c r="AA30" s="439">
        <f t="shared" si="2"/>
        <v>67685</v>
      </c>
      <c r="AB30" s="539">
        <f t="shared" si="3"/>
        <v>82321</v>
      </c>
      <c r="AC30" s="540">
        <f t="shared" si="4"/>
        <v>73327</v>
      </c>
      <c r="AD30" s="76">
        <f t="shared" si="5"/>
        <v>89.07447674347979</v>
      </c>
      <c r="AE30" s="390"/>
      <c r="AF30" s="390"/>
      <c r="AG30" s="390"/>
      <c r="AH30" s="390"/>
      <c r="AI30" s="270"/>
    </row>
    <row r="31" spans="1:35" ht="16.5" customHeight="1">
      <c r="A31" s="72" t="s">
        <v>20</v>
      </c>
      <c r="B31" s="491"/>
      <c r="C31" s="74">
        <f>'Výdaje '!C28</f>
        <v>29297</v>
      </c>
      <c r="D31" s="75">
        <f>'Výdaje '!D28</f>
        <v>41078</v>
      </c>
      <c r="E31" s="75">
        <f>'Výdaje '!E28</f>
        <v>38209</v>
      </c>
      <c r="F31" s="76">
        <f t="shared" si="6"/>
        <v>93.01572617946347</v>
      </c>
      <c r="G31" s="501">
        <v>436</v>
      </c>
      <c r="H31" s="502">
        <v>986</v>
      </c>
      <c r="I31" s="502">
        <v>764</v>
      </c>
      <c r="J31" s="76">
        <f>I31/H31*100</f>
        <v>77.48478701825557</v>
      </c>
      <c r="K31" s="74"/>
      <c r="L31" s="75"/>
      <c r="M31" s="75"/>
      <c r="N31" s="76"/>
      <c r="O31" s="74">
        <v>8345</v>
      </c>
      <c r="P31" s="75">
        <v>8313</v>
      </c>
      <c r="Q31" s="75">
        <v>8305</v>
      </c>
      <c r="R31" s="76">
        <f t="shared" si="0"/>
        <v>99.90376518705642</v>
      </c>
      <c r="S31" s="376"/>
      <c r="T31" s="500"/>
      <c r="U31" s="75"/>
      <c r="V31" s="76"/>
      <c r="W31" s="376"/>
      <c r="X31" s="500">
        <v>1022</v>
      </c>
      <c r="Y31" s="75">
        <v>1022</v>
      </c>
      <c r="Z31" s="76">
        <f t="shared" si="7"/>
        <v>100</v>
      </c>
      <c r="AA31" s="439">
        <f t="shared" si="2"/>
        <v>20516</v>
      </c>
      <c r="AB31" s="539">
        <f t="shared" si="3"/>
        <v>30757</v>
      </c>
      <c r="AC31" s="540">
        <f t="shared" si="4"/>
        <v>28118</v>
      </c>
      <c r="AD31" s="76">
        <f t="shared" si="5"/>
        <v>91.419839386156</v>
      </c>
      <c r="AE31" s="390"/>
      <c r="AF31" s="390"/>
      <c r="AG31" s="390"/>
      <c r="AH31" s="390"/>
      <c r="AI31" s="270"/>
    </row>
    <row r="32" spans="1:35" ht="16.5" customHeight="1">
      <c r="A32" s="72" t="s">
        <v>21</v>
      </c>
      <c r="B32" s="491"/>
      <c r="C32" s="74">
        <f>'Výdaje '!C29</f>
        <v>43406</v>
      </c>
      <c r="D32" s="75">
        <f>'Výdaje '!D29</f>
        <v>60124</v>
      </c>
      <c r="E32" s="75">
        <f>'Výdaje '!E29</f>
        <v>49898</v>
      </c>
      <c r="F32" s="76">
        <f t="shared" si="6"/>
        <v>82.99181691171579</v>
      </c>
      <c r="G32" s="501">
        <v>226</v>
      </c>
      <c r="H32" s="502">
        <v>227</v>
      </c>
      <c r="I32" s="502">
        <v>225</v>
      </c>
      <c r="J32" s="76">
        <f>I32/H32*100</f>
        <v>99.11894273127754</v>
      </c>
      <c r="K32" s="74"/>
      <c r="L32" s="75"/>
      <c r="M32" s="75"/>
      <c r="N32" s="76"/>
      <c r="O32" s="74">
        <v>7710</v>
      </c>
      <c r="P32" s="75">
        <v>7744</v>
      </c>
      <c r="Q32" s="75">
        <v>7690</v>
      </c>
      <c r="R32" s="76">
        <f t="shared" si="0"/>
        <v>99.30268595041323</v>
      </c>
      <c r="S32" s="376"/>
      <c r="T32" s="500"/>
      <c r="U32" s="75"/>
      <c r="V32" s="76"/>
      <c r="W32" s="376"/>
      <c r="X32" s="500">
        <v>1022</v>
      </c>
      <c r="Y32" s="75">
        <v>1022</v>
      </c>
      <c r="Z32" s="76">
        <f t="shared" si="7"/>
        <v>100</v>
      </c>
      <c r="AA32" s="439">
        <f t="shared" si="2"/>
        <v>35470</v>
      </c>
      <c r="AB32" s="539">
        <f t="shared" si="3"/>
        <v>51131</v>
      </c>
      <c r="AC32" s="540">
        <f t="shared" si="4"/>
        <v>40961</v>
      </c>
      <c r="AD32" s="76">
        <f t="shared" si="5"/>
        <v>80.10991375095344</v>
      </c>
      <c r="AE32" s="390"/>
      <c r="AF32" s="390"/>
      <c r="AG32" s="390"/>
      <c r="AH32" s="390"/>
      <c r="AI32" s="270"/>
    </row>
    <row r="33" spans="1:35" ht="16.5" customHeight="1">
      <c r="A33" s="72" t="s">
        <v>22</v>
      </c>
      <c r="B33" s="491"/>
      <c r="C33" s="74">
        <f>'Výdaje '!C30</f>
        <v>38250</v>
      </c>
      <c r="D33" s="75">
        <f>'Výdaje '!D30</f>
        <v>49646</v>
      </c>
      <c r="E33" s="75">
        <f>'Výdaje '!E30</f>
        <v>45548</v>
      </c>
      <c r="F33" s="76">
        <f t="shared" si="6"/>
        <v>91.74555855456633</v>
      </c>
      <c r="G33" s="501"/>
      <c r="H33" s="502">
        <v>2336</v>
      </c>
      <c r="I33" s="502"/>
      <c r="J33" s="76"/>
      <c r="K33" s="74"/>
      <c r="L33" s="75"/>
      <c r="M33" s="75"/>
      <c r="N33" s="76"/>
      <c r="O33" s="74">
        <v>9160</v>
      </c>
      <c r="P33" s="75">
        <v>9068</v>
      </c>
      <c r="Q33" s="75">
        <v>9068</v>
      </c>
      <c r="R33" s="76">
        <f t="shared" si="0"/>
        <v>100</v>
      </c>
      <c r="S33" s="376"/>
      <c r="T33" s="500"/>
      <c r="U33" s="75"/>
      <c r="V33" s="76"/>
      <c r="W33" s="376"/>
      <c r="X33" s="500">
        <v>1452</v>
      </c>
      <c r="Y33" s="75">
        <v>1452</v>
      </c>
      <c r="Z33" s="76">
        <f t="shared" si="7"/>
        <v>100</v>
      </c>
      <c r="AA33" s="439">
        <f t="shared" si="2"/>
        <v>29090</v>
      </c>
      <c r="AB33" s="539">
        <f t="shared" si="3"/>
        <v>36790</v>
      </c>
      <c r="AC33" s="540">
        <f t="shared" si="4"/>
        <v>35028</v>
      </c>
      <c r="AD33" s="76">
        <f t="shared" si="5"/>
        <v>95.21065506931231</v>
      </c>
      <c r="AE33" s="390"/>
      <c r="AF33" s="390"/>
      <c r="AG33" s="390"/>
      <c r="AH33" s="390"/>
      <c r="AI33" s="270"/>
    </row>
    <row r="34" spans="1:35" ht="16.5" customHeight="1">
      <c r="A34" s="72" t="s">
        <v>23</v>
      </c>
      <c r="B34" s="491"/>
      <c r="C34" s="74">
        <f>'Výdaje '!C31</f>
        <v>93657</v>
      </c>
      <c r="D34" s="75">
        <f>'Výdaje '!D31</f>
        <v>111945</v>
      </c>
      <c r="E34" s="75">
        <f>'Výdaje '!E31</f>
        <v>104336</v>
      </c>
      <c r="F34" s="76">
        <f t="shared" si="6"/>
        <v>93.2029121443566</v>
      </c>
      <c r="G34" s="501">
        <v>3188</v>
      </c>
      <c r="H34" s="502">
        <v>3188</v>
      </c>
      <c r="I34" s="502">
        <v>3188</v>
      </c>
      <c r="J34" s="76">
        <f>I34/H34*100</f>
        <v>100</v>
      </c>
      <c r="K34" s="74"/>
      <c r="L34" s="75"/>
      <c r="M34" s="75"/>
      <c r="N34" s="76"/>
      <c r="O34" s="74">
        <v>31491</v>
      </c>
      <c r="P34" s="75">
        <v>34483</v>
      </c>
      <c r="Q34" s="75">
        <v>34410</v>
      </c>
      <c r="R34" s="76">
        <f t="shared" si="0"/>
        <v>99.78830148188963</v>
      </c>
      <c r="S34" s="376"/>
      <c r="T34" s="500"/>
      <c r="U34" s="75"/>
      <c r="V34" s="76"/>
      <c r="W34" s="376"/>
      <c r="X34" s="500">
        <v>1679</v>
      </c>
      <c r="Y34" s="75">
        <v>1679</v>
      </c>
      <c r="Z34" s="76">
        <f t="shared" si="7"/>
        <v>100</v>
      </c>
      <c r="AA34" s="439">
        <f t="shared" si="2"/>
        <v>58978</v>
      </c>
      <c r="AB34" s="539">
        <f t="shared" si="3"/>
        <v>72595</v>
      </c>
      <c r="AC34" s="540">
        <f t="shared" si="4"/>
        <v>65059</v>
      </c>
      <c r="AD34" s="76">
        <f t="shared" si="5"/>
        <v>89.61911977408913</v>
      </c>
      <c r="AE34" s="390"/>
      <c r="AF34" s="390"/>
      <c r="AG34" s="390"/>
      <c r="AH34" s="390"/>
      <c r="AI34" s="270"/>
    </row>
    <row r="35" spans="1:35" ht="16.5" customHeight="1">
      <c r="A35" s="72" t="s">
        <v>24</v>
      </c>
      <c r="B35" s="491"/>
      <c r="C35" s="74">
        <f>'Výdaje '!C32</f>
        <v>32744</v>
      </c>
      <c r="D35" s="75">
        <f>'Výdaje '!D32</f>
        <v>40958</v>
      </c>
      <c r="E35" s="75">
        <f>'Výdaje '!E32</f>
        <v>37647</v>
      </c>
      <c r="F35" s="76">
        <f t="shared" si="6"/>
        <v>91.9161091850188</v>
      </c>
      <c r="G35" s="501">
        <v>1185</v>
      </c>
      <c r="H35" s="502">
        <v>2578</v>
      </c>
      <c r="I35" s="502">
        <v>1290</v>
      </c>
      <c r="J35" s="76">
        <f>I35/H35*100</f>
        <v>50.03878975950349</v>
      </c>
      <c r="K35" s="74"/>
      <c r="L35" s="75"/>
      <c r="M35" s="75"/>
      <c r="N35" s="76"/>
      <c r="O35" s="74">
        <v>11536</v>
      </c>
      <c r="P35" s="75">
        <v>12270</v>
      </c>
      <c r="Q35" s="75">
        <v>12270</v>
      </c>
      <c r="R35" s="76">
        <f t="shared" si="0"/>
        <v>100</v>
      </c>
      <c r="S35" s="376"/>
      <c r="T35" s="500"/>
      <c r="U35" s="75"/>
      <c r="V35" s="76"/>
      <c r="W35" s="376"/>
      <c r="X35" s="500">
        <v>607</v>
      </c>
      <c r="Y35" s="75">
        <v>607</v>
      </c>
      <c r="Z35" s="76">
        <f t="shared" si="7"/>
        <v>100</v>
      </c>
      <c r="AA35" s="439">
        <f t="shared" si="2"/>
        <v>20023</v>
      </c>
      <c r="AB35" s="539">
        <f t="shared" si="3"/>
        <v>25503</v>
      </c>
      <c r="AC35" s="540">
        <f t="shared" si="4"/>
        <v>23480</v>
      </c>
      <c r="AD35" s="76">
        <f t="shared" si="5"/>
        <v>92.067599890209</v>
      </c>
      <c r="AE35" s="390"/>
      <c r="AF35" s="390"/>
      <c r="AG35" s="390"/>
      <c r="AH35" s="390"/>
      <c r="AI35" s="270"/>
    </row>
    <row r="36" spans="1:35" ht="16.5" customHeight="1">
      <c r="A36" s="72" t="s">
        <v>25</v>
      </c>
      <c r="B36" s="491"/>
      <c r="C36" s="74">
        <f>'Výdaje '!C33</f>
        <v>23629</v>
      </c>
      <c r="D36" s="75">
        <f>'Výdaje '!D33</f>
        <v>29746</v>
      </c>
      <c r="E36" s="75">
        <f>'Výdaje '!E33</f>
        <v>24649</v>
      </c>
      <c r="F36" s="76">
        <f t="shared" si="6"/>
        <v>82.86492301485914</v>
      </c>
      <c r="G36" s="501"/>
      <c r="H36" s="502"/>
      <c r="I36" s="502"/>
      <c r="J36" s="76"/>
      <c r="K36" s="74"/>
      <c r="L36" s="75"/>
      <c r="M36" s="75"/>
      <c r="N36" s="76"/>
      <c r="O36" s="74">
        <v>4208</v>
      </c>
      <c r="P36" s="75">
        <v>4626</v>
      </c>
      <c r="Q36" s="75">
        <v>4626</v>
      </c>
      <c r="R36" s="76">
        <f t="shared" si="0"/>
        <v>100</v>
      </c>
      <c r="S36" s="376"/>
      <c r="T36" s="500"/>
      <c r="U36" s="75"/>
      <c r="V36" s="76"/>
      <c r="W36" s="376"/>
      <c r="X36" s="500">
        <v>688</v>
      </c>
      <c r="Y36" s="75">
        <v>688</v>
      </c>
      <c r="Z36" s="76">
        <f t="shared" si="7"/>
        <v>100</v>
      </c>
      <c r="AA36" s="439">
        <f t="shared" si="2"/>
        <v>19421</v>
      </c>
      <c r="AB36" s="539">
        <f t="shared" si="3"/>
        <v>24432</v>
      </c>
      <c r="AC36" s="540">
        <f t="shared" si="4"/>
        <v>19335</v>
      </c>
      <c r="AD36" s="76">
        <f t="shared" si="5"/>
        <v>79.13801571709233</v>
      </c>
      <c r="AE36" s="390"/>
      <c r="AF36" s="390"/>
      <c r="AG36" s="390"/>
      <c r="AH36" s="390"/>
      <c r="AI36" s="270"/>
    </row>
    <row r="37" spans="1:35" ht="16.5" customHeight="1">
      <c r="A37" s="72" t="s">
        <v>26</v>
      </c>
      <c r="B37" s="491"/>
      <c r="C37" s="74">
        <f>'Výdaje '!C34</f>
        <v>13940</v>
      </c>
      <c r="D37" s="75">
        <f>'Výdaje '!D34</f>
        <v>17443</v>
      </c>
      <c r="E37" s="75">
        <f>'Výdaje '!E34</f>
        <v>15866</v>
      </c>
      <c r="F37" s="76">
        <f t="shared" si="6"/>
        <v>90.95912400389842</v>
      </c>
      <c r="G37" s="501"/>
      <c r="H37" s="502"/>
      <c r="I37" s="502"/>
      <c r="J37" s="76"/>
      <c r="K37" s="74"/>
      <c r="L37" s="75"/>
      <c r="M37" s="75"/>
      <c r="N37" s="76"/>
      <c r="O37" s="74">
        <v>2712</v>
      </c>
      <c r="P37" s="75">
        <v>2985</v>
      </c>
      <c r="Q37" s="75">
        <v>2985</v>
      </c>
      <c r="R37" s="76">
        <f t="shared" si="0"/>
        <v>100</v>
      </c>
      <c r="S37" s="376"/>
      <c r="T37" s="500">
        <v>0</v>
      </c>
      <c r="U37" s="75"/>
      <c r="V37" s="76"/>
      <c r="W37" s="376"/>
      <c r="X37" s="500">
        <v>3</v>
      </c>
      <c r="Y37" s="75">
        <v>3</v>
      </c>
      <c r="Z37" s="76">
        <f t="shared" si="7"/>
        <v>100</v>
      </c>
      <c r="AA37" s="439">
        <f t="shared" si="2"/>
        <v>11228</v>
      </c>
      <c r="AB37" s="539">
        <f t="shared" si="3"/>
        <v>14455</v>
      </c>
      <c r="AC37" s="540">
        <f t="shared" si="4"/>
        <v>12878</v>
      </c>
      <c r="AD37" s="76">
        <f t="shared" si="5"/>
        <v>89.09028017986856</v>
      </c>
      <c r="AE37" s="390"/>
      <c r="AF37" s="390"/>
      <c r="AG37" s="390"/>
      <c r="AH37" s="390"/>
      <c r="AI37" s="270"/>
    </row>
    <row r="38" spans="1:35" ht="16.5" customHeight="1">
      <c r="A38" s="72" t="s">
        <v>27</v>
      </c>
      <c r="B38" s="491"/>
      <c r="C38" s="74">
        <f>'Výdaje '!C35</f>
        <v>114954</v>
      </c>
      <c r="D38" s="75">
        <f>'Výdaje '!D35</f>
        <v>161357</v>
      </c>
      <c r="E38" s="75">
        <f>'Výdaje '!E35</f>
        <v>140115</v>
      </c>
      <c r="F38" s="76">
        <f t="shared" si="6"/>
        <v>86.83540224471203</v>
      </c>
      <c r="G38" s="501">
        <v>895</v>
      </c>
      <c r="H38" s="502">
        <v>895</v>
      </c>
      <c r="I38" s="502">
        <v>892</v>
      </c>
      <c r="J38" s="76">
        <f>I38/H38*100</f>
        <v>99.66480446927373</v>
      </c>
      <c r="K38" s="74"/>
      <c r="L38" s="75"/>
      <c r="M38" s="75"/>
      <c r="N38" s="76"/>
      <c r="O38" s="74">
        <v>21393</v>
      </c>
      <c r="P38" s="75">
        <v>24957</v>
      </c>
      <c r="Q38" s="75">
        <v>24957</v>
      </c>
      <c r="R38" s="76">
        <f t="shared" si="0"/>
        <v>100</v>
      </c>
      <c r="S38" s="376"/>
      <c r="T38" s="500"/>
      <c r="U38" s="75"/>
      <c r="V38" s="76"/>
      <c r="W38" s="376"/>
      <c r="X38" s="500">
        <v>4310</v>
      </c>
      <c r="Y38" s="75">
        <v>4310</v>
      </c>
      <c r="Z38" s="76">
        <f aca="true" t="shared" si="8" ref="Z38:Z44">Y38/X38*100</f>
        <v>100</v>
      </c>
      <c r="AA38" s="439">
        <f t="shared" si="2"/>
        <v>92666</v>
      </c>
      <c r="AB38" s="539">
        <f t="shared" si="3"/>
        <v>131195</v>
      </c>
      <c r="AC38" s="540">
        <f t="shared" si="4"/>
        <v>109956</v>
      </c>
      <c r="AD38" s="76">
        <f t="shared" si="5"/>
        <v>83.81112085064217</v>
      </c>
      <c r="AE38" s="390"/>
      <c r="AF38" s="390"/>
      <c r="AG38" s="390"/>
      <c r="AH38" s="390"/>
      <c r="AI38" s="270"/>
    </row>
    <row r="39" spans="1:35" ht="16.5" customHeight="1">
      <c r="A39" s="72" t="s">
        <v>28</v>
      </c>
      <c r="B39" s="491"/>
      <c r="C39" s="74">
        <f>'Výdaje '!C36</f>
        <v>13261</v>
      </c>
      <c r="D39" s="75">
        <f>'Výdaje '!D36</f>
        <v>15923</v>
      </c>
      <c r="E39" s="75">
        <f>'Výdaje '!E36</f>
        <v>16080</v>
      </c>
      <c r="F39" s="76">
        <f t="shared" si="6"/>
        <v>100.9859951014256</v>
      </c>
      <c r="G39" s="501"/>
      <c r="H39" s="502"/>
      <c r="I39" s="502"/>
      <c r="J39" s="76"/>
      <c r="K39" s="74"/>
      <c r="L39" s="75">
        <v>7</v>
      </c>
      <c r="M39" s="75">
        <v>7</v>
      </c>
      <c r="N39" s="76">
        <f>M39/L39*100</f>
        <v>100</v>
      </c>
      <c r="O39" s="74">
        <v>3350</v>
      </c>
      <c r="P39" s="75">
        <v>3494</v>
      </c>
      <c r="Q39" s="75">
        <v>3494</v>
      </c>
      <c r="R39" s="76">
        <f t="shared" si="0"/>
        <v>100</v>
      </c>
      <c r="S39" s="376"/>
      <c r="T39" s="500"/>
      <c r="U39" s="75"/>
      <c r="V39" s="76"/>
      <c r="W39" s="376"/>
      <c r="X39" s="500">
        <v>722</v>
      </c>
      <c r="Y39" s="75">
        <v>722</v>
      </c>
      <c r="Z39" s="76">
        <f t="shared" si="8"/>
        <v>100</v>
      </c>
      <c r="AA39" s="439">
        <f t="shared" si="2"/>
        <v>9911</v>
      </c>
      <c r="AB39" s="539">
        <f t="shared" si="3"/>
        <v>11700</v>
      </c>
      <c r="AC39" s="540">
        <f t="shared" si="4"/>
        <v>11857</v>
      </c>
      <c r="AD39" s="76">
        <f t="shared" si="5"/>
        <v>101.34188034188034</v>
      </c>
      <c r="AE39" s="390"/>
      <c r="AF39" s="390"/>
      <c r="AG39" s="390"/>
      <c r="AH39" s="390"/>
      <c r="AI39" s="270"/>
    </row>
    <row r="40" spans="1:35" ht="16.5" customHeight="1">
      <c r="A40" s="72" t="s">
        <v>326</v>
      </c>
      <c r="B40" s="491"/>
      <c r="C40" s="74">
        <f>'Výdaje '!C37</f>
        <v>49786</v>
      </c>
      <c r="D40" s="75">
        <f>'Výdaje '!D37</f>
        <v>71838</v>
      </c>
      <c r="E40" s="75">
        <f>'Výdaje '!E37</f>
        <v>66714</v>
      </c>
      <c r="F40" s="76">
        <f t="shared" si="6"/>
        <v>92.86728472396226</v>
      </c>
      <c r="G40" s="501"/>
      <c r="H40" s="502"/>
      <c r="I40" s="502"/>
      <c r="J40" s="76"/>
      <c r="K40" s="74"/>
      <c r="L40" s="75"/>
      <c r="M40" s="75"/>
      <c r="N40" s="76"/>
      <c r="O40" s="74">
        <v>9304</v>
      </c>
      <c r="P40" s="75">
        <v>10149</v>
      </c>
      <c r="Q40" s="75">
        <v>10149</v>
      </c>
      <c r="R40" s="76">
        <f t="shared" si="0"/>
        <v>100</v>
      </c>
      <c r="S40" s="376"/>
      <c r="T40" s="500"/>
      <c r="U40" s="75"/>
      <c r="V40" s="76"/>
      <c r="W40" s="376"/>
      <c r="X40" s="500">
        <v>983</v>
      </c>
      <c r="Y40" s="75">
        <v>983</v>
      </c>
      <c r="Z40" s="76">
        <f t="shared" si="8"/>
        <v>100</v>
      </c>
      <c r="AA40" s="439">
        <f t="shared" si="2"/>
        <v>40482</v>
      </c>
      <c r="AB40" s="539">
        <f t="shared" si="3"/>
        <v>60706</v>
      </c>
      <c r="AC40" s="540">
        <f t="shared" si="4"/>
        <v>55582</v>
      </c>
      <c r="AD40" s="76">
        <f t="shared" si="5"/>
        <v>91.55931868349091</v>
      </c>
      <c r="AE40" s="390"/>
      <c r="AF40" s="390"/>
      <c r="AG40" s="390"/>
      <c r="AH40" s="390"/>
      <c r="AI40" s="270"/>
    </row>
    <row r="41" spans="1:35" ht="16.5" customHeight="1">
      <c r="A41" s="72" t="s">
        <v>29</v>
      </c>
      <c r="B41" s="491"/>
      <c r="C41" s="74">
        <f>'Výdaje '!C38</f>
        <v>4200</v>
      </c>
      <c r="D41" s="75">
        <f>'Výdaje '!D38</f>
        <v>5325</v>
      </c>
      <c r="E41" s="75">
        <f>'Výdaje '!E38</f>
        <v>4907</v>
      </c>
      <c r="F41" s="76">
        <f t="shared" si="6"/>
        <v>92.15023474178405</v>
      </c>
      <c r="G41" s="501"/>
      <c r="H41" s="502"/>
      <c r="I41" s="502"/>
      <c r="J41" s="76"/>
      <c r="K41" s="74">
        <v>105</v>
      </c>
      <c r="L41" s="75">
        <v>105</v>
      </c>
      <c r="M41" s="75">
        <v>105</v>
      </c>
      <c r="N41" s="76">
        <f>M41/L41*100</f>
        <v>100</v>
      </c>
      <c r="O41" s="74">
        <v>300</v>
      </c>
      <c r="P41" s="75">
        <v>301</v>
      </c>
      <c r="Q41" s="75">
        <v>301</v>
      </c>
      <c r="R41" s="76">
        <f t="shared" si="0"/>
        <v>100</v>
      </c>
      <c r="S41" s="376"/>
      <c r="T41" s="500">
        <v>0</v>
      </c>
      <c r="U41" s="75"/>
      <c r="V41" s="76"/>
      <c r="W41" s="376"/>
      <c r="X41" s="500"/>
      <c r="Y41" s="75"/>
      <c r="Z41" s="76"/>
      <c r="AA41" s="439">
        <f t="shared" si="2"/>
        <v>3795</v>
      </c>
      <c r="AB41" s="539">
        <f t="shared" si="3"/>
        <v>4919</v>
      </c>
      <c r="AC41" s="540">
        <f t="shared" si="4"/>
        <v>4501</v>
      </c>
      <c r="AD41" s="76">
        <f t="shared" si="5"/>
        <v>91.50233787355153</v>
      </c>
      <c r="AE41" s="390"/>
      <c r="AF41" s="390"/>
      <c r="AG41" s="390"/>
      <c r="AH41" s="390"/>
      <c r="AI41" s="270"/>
    </row>
    <row r="42" spans="1:35" ht="15" customHeight="1">
      <c r="A42" s="72" t="s">
        <v>30</v>
      </c>
      <c r="B42" s="499"/>
      <c r="C42" s="74">
        <f>'Výdaje '!C39</f>
        <v>4872</v>
      </c>
      <c r="D42" s="75">
        <f>'Výdaje '!D39</f>
        <v>5325</v>
      </c>
      <c r="E42" s="75">
        <f>'Výdaje '!E39</f>
        <v>5095</v>
      </c>
      <c r="F42" s="76">
        <f t="shared" si="6"/>
        <v>95.68075117370893</v>
      </c>
      <c r="G42" s="501"/>
      <c r="H42" s="502"/>
      <c r="I42" s="502"/>
      <c r="J42" s="76"/>
      <c r="K42" s="74"/>
      <c r="L42" s="75">
        <v>95</v>
      </c>
      <c r="M42" s="75">
        <v>95</v>
      </c>
      <c r="N42" s="76">
        <f>M42/L42*100</f>
        <v>100</v>
      </c>
      <c r="O42" s="74">
        <v>1500</v>
      </c>
      <c r="P42" s="75">
        <v>1700</v>
      </c>
      <c r="Q42" s="75">
        <v>1700</v>
      </c>
      <c r="R42" s="76">
        <f t="shared" si="0"/>
        <v>100</v>
      </c>
      <c r="S42" s="376"/>
      <c r="T42" s="500">
        <v>0</v>
      </c>
      <c r="U42" s="75"/>
      <c r="V42" s="76"/>
      <c r="W42" s="376"/>
      <c r="X42" s="500"/>
      <c r="Y42" s="75"/>
      <c r="Z42" s="76"/>
      <c r="AA42" s="439">
        <f t="shared" si="2"/>
        <v>3372</v>
      </c>
      <c r="AB42" s="539">
        <f t="shared" si="3"/>
        <v>3530</v>
      </c>
      <c r="AC42" s="540">
        <f t="shared" si="4"/>
        <v>3300</v>
      </c>
      <c r="AD42" s="76">
        <f t="shared" si="5"/>
        <v>93.48441926345609</v>
      </c>
      <c r="AE42" s="390"/>
      <c r="AF42" s="390"/>
      <c r="AG42" s="390"/>
      <c r="AH42" s="390"/>
      <c r="AI42" s="270"/>
    </row>
    <row r="43" spans="1:35" ht="15" customHeight="1">
      <c r="A43" s="72" t="s">
        <v>31</v>
      </c>
      <c r="B43" s="499"/>
      <c r="C43" s="74">
        <f>'Výdaje '!C40</f>
        <v>2355</v>
      </c>
      <c r="D43" s="75">
        <f>'Výdaje '!D40</f>
        <v>2881</v>
      </c>
      <c r="E43" s="75">
        <f>'Výdaje '!E40</f>
        <v>2558</v>
      </c>
      <c r="F43" s="76">
        <f t="shared" si="6"/>
        <v>88.78861506421381</v>
      </c>
      <c r="G43" s="501"/>
      <c r="H43" s="502"/>
      <c r="I43" s="502"/>
      <c r="J43" s="76"/>
      <c r="K43" s="74">
        <v>58</v>
      </c>
      <c r="L43" s="75">
        <v>58</v>
      </c>
      <c r="M43" s="502">
        <v>58</v>
      </c>
      <c r="N43" s="76">
        <f>M43/L43*100</f>
        <v>100</v>
      </c>
      <c r="O43" s="389">
        <v>27</v>
      </c>
      <c r="P43" s="75">
        <v>27</v>
      </c>
      <c r="Q43" s="502">
        <v>27</v>
      </c>
      <c r="R43" s="76">
        <f t="shared" si="0"/>
        <v>100</v>
      </c>
      <c r="S43" s="376"/>
      <c r="T43" s="500">
        <v>0</v>
      </c>
      <c r="U43" s="75"/>
      <c r="V43" s="76"/>
      <c r="W43" s="376"/>
      <c r="X43" s="500"/>
      <c r="Y43" s="75"/>
      <c r="Z43" s="76"/>
      <c r="AA43" s="439">
        <f t="shared" si="2"/>
        <v>2270</v>
      </c>
      <c r="AB43" s="539">
        <f t="shared" si="3"/>
        <v>2796</v>
      </c>
      <c r="AC43" s="540">
        <f t="shared" si="4"/>
        <v>2473</v>
      </c>
      <c r="AD43" s="76">
        <f t="shared" si="5"/>
        <v>88.44778254649499</v>
      </c>
      <c r="AE43" s="390"/>
      <c r="AF43" s="390"/>
      <c r="AG43" s="390"/>
      <c r="AH43" s="390"/>
      <c r="AI43" s="270"/>
    </row>
    <row r="44" spans="1:35" ht="15" customHeight="1">
      <c r="A44" s="448" t="s">
        <v>32</v>
      </c>
      <c r="B44" s="504"/>
      <c r="C44" s="74">
        <f>'Výdaje '!C41</f>
        <v>2329</v>
      </c>
      <c r="D44" s="75">
        <f>'Výdaje '!D41</f>
        <v>2833</v>
      </c>
      <c r="E44" s="75">
        <f>'Výdaje '!E41</f>
        <v>2547</v>
      </c>
      <c r="F44" s="76">
        <f t="shared" si="6"/>
        <v>89.90469466996117</v>
      </c>
      <c r="G44" s="501"/>
      <c r="H44" s="502"/>
      <c r="I44" s="502"/>
      <c r="J44" s="76"/>
      <c r="K44" s="444"/>
      <c r="L44" s="75">
        <v>74</v>
      </c>
      <c r="M44" s="445">
        <v>74</v>
      </c>
      <c r="N44" s="76">
        <f>M44/L44*100</f>
        <v>100</v>
      </c>
      <c r="O44" s="503"/>
      <c r="P44" s="75"/>
      <c r="Q44" s="445"/>
      <c r="R44" s="76"/>
      <c r="S44" s="376"/>
      <c r="T44" s="500">
        <v>0</v>
      </c>
      <c r="U44" s="445"/>
      <c r="V44" s="76"/>
      <c r="W44" s="376"/>
      <c r="X44" s="500">
        <v>2</v>
      </c>
      <c r="Y44" s="445">
        <v>2</v>
      </c>
      <c r="Z44" s="76">
        <f t="shared" si="8"/>
        <v>100</v>
      </c>
      <c r="AA44" s="439">
        <f t="shared" si="2"/>
        <v>2329</v>
      </c>
      <c r="AB44" s="539">
        <f t="shared" si="3"/>
        <v>2757</v>
      </c>
      <c r="AC44" s="540">
        <f t="shared" si="4"/>
        <v>2471</v>
      </c>
      <c r="AD44" s="76">
        <f t="shared" si="5"/>
        <v>89.62640551323902</v>
      </c>
      <c r="AE44" s="390"/>
      <c r="AF44" s="390"/>
      <c r="AG44" s="390"/>
      <c r="AH44" s="390"/>
      <c r="AI44" s="270"/>
    </row>
    <row r="45" spans="1:35" ht="16.5" customHeight="1" thickBot="1">
      <c r="A45" s="13"/>
      <c r="B45" s="224"/>
      <c r="C45" s="80"/>
      <c r="D45" s="509"/>
      <c r="E45" s="509"/>
      <c r="F45" s="452"/>
      <c r="G45" s="743"/>
      <c r="H45" s="744"/>
      <c r="I45" s="744"/>
      <c r="J45" s="763"/>
      <c r="K45" s="508"/>
      <c r="L45" s="509"/>
      <c r="M45" s="509"/>
      <c r="N45" s="452"/>
      <c r="O45" s="508"/>
      <c r="P45" s="509"/>
      <c r="Q45" s="509"/>
      <c r="R45" s="712"/>
      <c r="S45" s="508"/>
      <c r="T45" s="82"/>
      <c r="U45" s="509"/>
      <c r="V45" s="510"/>
      <c r="W45" s="508"/>
      <c r="X45" s="82"/>
      <c r="Y45" s="509"/>
      <c r="Z45" s="510"/>
      <c r="AA45" s="508"/>
      <c r="AB45" s="764"/>
      <c r="AC45" s="509"/>
      <c r="AD45" s="510"/>
      <c r="AE45" s="765"/>
      <c r="AF45" s="765"/>
      <c r="AG45" s="765"/>
      <c r="AH45" s="765"/>
      <c r="AI45" s="270"/>
    </row>
    <row r="46" spans="1:35" ht="16.5" customHeight="1">
      <c r="A46" s="4"/>
      <c r="B46" s="4"/>
      <c r="C46" s="84"/>
      <c r="D46" s="4"/>
      <c r="E46" s="4"/>
      <c r="F46" s="4"/>
      <c r="G46" s="4"/>
      <c r="H46" s="4"/>
      <c r="I46" s="4"/>
      <c r="J46" s="766"/>
      <c r="K46" s="767"/>
      <c r="L46" s="767"/>
      <c r="M46" s="767"/>
      <c r="N46" s="4"/>
      <c r="O46" s="4"/>
      <c r="P46" s="4"/>
      <c r="Q46" s="4"/>
      <c r="R46" s="4"/>
      <c r="S46" s="4"/>
      <c r="T46" s="4"/>
      <c r="U46" s="4"/>
      <c r="V46" s="7"/>
      <c r="W46" s="4"/>
      <c r="X46" s="4"/>
      <c r="Y46" s="4"/>
      <c r="Z46" s="7"/>
      <c r="AA46" s="4"/>
      <c r="AB46" s="4"/>
      <c r="AC46" s="4"/>
      <c r="AD46" s="7"/>
      <c r="AE46" s="768"/>
      <c r="AF46" s="768"/>
      <c r="AG46" s="768"/>
      <c r="AH46" s="768"/>
      <c r="AI46" s="270"/>
    </row>
    <row r="47" spans="1:35" ht="16.5" customHeight="1" thickBot="1">
      <c r="A47" s="4"/>
      <c r="B47" s="4"/>
      <c r="C47" s="4"/>
      <c r="D47" s="4"/>
      <c r="E47" s="4"/>
      <c r="F47" s="4"/>
      <c r="G47" s="4"/>
      <c r="H47" s="4"/>
      <c r="I47" s="4"/>
      <c r="J47" s="766"/>
      <c r="K47" s="767"/>
      <c r="L47" s="767"/>
      <c r="M47" s="767"/>
      <c r="N47" s="4"/>
      <c r="O47" s="4"/>
      <c r="P47" s="4"/>
      <c r="Q47" s="4"/>
      <c r="R47" s="4"/>
      <c r="S47" s="4"/>
      <c r="T47" s="4"/>
      <c r="U47" s="4"/>
      <c r="V47" s="7"/>
      <c r="W47" s="4"/>
      <c r="X47" s="4"/>
      <c r="Y47" s="4"/>
      <c r="Z47" s="7"/>
      <c r="AA47" s="4"/>
      <c r="AB47" s="4"/>
      <c r="AC47" s="4"/>
      <c r="AD47" s="7"/>
      <c r="AE47" s="768"/>
      <c r="AF47" s="768"/>
      <c r="AG47" s="768"/>
      <c r="AH47" s="768"/>
      <c r="AI47" s="270"/>
    </row>
    <row r="48" spans="1:35" ht="18" customHeight="1" thickBot="1">
      <c r="A48" s="49" t="s">
        <v>33</v>
      </c>
      <c r="B48" s="4"/>
      <c r="C48" s="87">
        <f>SUM(C16:C44)</f>
        <v>1426457</v>
      </c>
      <c r="D48" s="88">
        <f>SUM(D16:D44)</f>
        <v>1844529</v>
      </c>
      <c r="E48" s="88">
        <f>SUM(E16:E44)</f>
        <v>1688470</v>
      </c>
      <c r="F48" s="89">
        <f>E48/D48*100</f>
        <v>91.53935774390102</v>
      </c>
      <c r="G48" s="545">
        <f>SUM(G16:G44)</f>
        <v>16562</v>
      </c>
      <c r="H48" s="88">
        <f>SUM(H16:H44)</f>
        <v>22943</v>
      </c>
      <c r="I48" s="88">
        <f>SUM(I16:I44)</f>
        <v>19032</v>
      </c>
      <c r="J48" s="89">
        <f>I48/H48*100</f>
        <v>82.95340626770692</v>
      </c>
      <c r="K48" s="546">
        <f>SUM(K16:K44)</f>
        <v>363</v>
      </c>
      <c r="L48" s="88">
        <f>SUM(L16:L44)</f>
        <v>539</v>
      </c>
      <c r="M48" s="88">
        <f>SUM(M16:M44)</f>
        <v>539</v>
      </c>
      <c r="N48" s="89">
        <f>M48/L48*100</f>
        <v>100</v>
      </c>
      <c r="O48" s="545">
        <f>SUM(O16:O44)</f>
        <v>317709</v>
      </c>
      <c r="P48" s="547">
        <f>SUM(P16:P44)</f>
        <v>336636</v>
      </c>
      <c r="Q48" s="547">
        <f>SUM(Q16:Q44)</f>
        <v>335892</v>
      </c>
      <c r="R48" s="89">
        <f>Q48/P48*100</f>
        <v>99.77898976936514</v>
      </c>
      <c r="S48" s="546"/>
      <c r="T48" s="88">
        <f>SUM(T16:T47)</f>
        <v>0</v>
      </c>
      <c r="U48" s="88">
        <f>SUM(U16:U44)</f>
        <v>0</v>
      </c>
      <c r="V48" s="89"/>
      <c r="W48" s="546"/>
      <c r="X48" s="88">
        <f>SUM(X16:X47)</f>
        <v>44726</v>
      </c>
      <c r="Y48" s="88">
        <f>SUM(Y16:Y44)</f>
        <v>44726</v>
      </c>
      <c r="Z48" s="89">
        <f>Y48/X48*100</f>
        <v>100</v>
      </c>
      <c r="AA48" s="545">
        <f>SUM(AA16:AA44)</f>
        <v>1091823</v>
      </c>
      <c r="AB48" s="88">
        <f>SUM(AB16:AB44)</f>
        <v>1439685</v>
      </c>
      <c r="AC48" s="88">
        <f>SUM(AC16:AC44)</f>
        <v>1288281</v>
      </c>
      <c r="AD48" s="89">
        <f>AC48/AB48*100</f>
        <v>89.48353285614562</v>
      </c>
      <c r="AE48" s="390"/>
      <c r="AF48" s="390"/>
      <c r="AG48" s="390"/>
      <c r="AH48" s="390"/>
      <c r="AI48" s="270"/>
    </row>
    <row r="49" spans="9:35" ht="16.5" customHeight="1">
      <c r="I49" s="195"/>
      <c r="Q49" s="195"/>
      <c r="U49" s="195"/>
      <c r="Y49" s="195"/>
      <c r="AI49" s="270"/>
    </row>
    <row r="50" s="106" customFormat="1" ht="12.75">
      <c r="E50" s="769"/>
    </row>
    <row r="51" spans="3:5" ht="15">
      <c r="C51" s="6"/>
      <c r="D51" s="6"/>
      <c r="E51" s="6"/>
    </row>
    <row r="52" spans="7:25" s="6" customFormat="1" ht="15">
      <c r="G52" s="6">
        <v>16562</v>
      </c>
      <c r="H52" s="6">
        <v>22943</v>
      </c>
      <c r="I52" s="6">
        <v>19032</v>
      </c>
      <c r="K52" s="6">
        <v>363</v>
      </c>
      <c r="L52" s="6">
        <f>524+15</f>
        <v>539</v>
      </c>
      <c r="M52" s="6">
        <f>524+15</f>
        <v>539</v>
      </c>
      <c r="O52" s="6">
        <f>317559+150</f>
        <v>317709</v>
      </c>
      <c r="P52" s="6">
        <f>336320+316</f>
        <v>336636</v>
      </c>
      <c r="Q52" s="6">
        <f>335576+316</f>
        <v>335892</v>
      </c>
      <c r="X52" s="6">
        <v>44726</v>
      </c>
      <c r="Y52" s="6">
        <v>44726</v>
      </c>
    </row>
    <row r="53" ht="15">
      <c r="Q53" s="6">
        <f>Q52-Q48</f>
        <v>0</v>
      </c>
    </row>
    <row r="55" ht="15">
      <c r="L55" s="100"/>
    </row>
    <row r="64" ht="15.75" customHeight="1"/>
    <row r="65" ht="15.7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2" customHeight="1"/>
    <row r="99" ht="12" customHeight="1"/>
    <row r="100" ht="15.75" customHeight="1"/>
  </sheetData>
  <mergeCells count="7">
    <mergeCell ref="A2:AD2"/>
    <mergeCell ref="S13:V13"/>
    <mergeCell ref="G13:J13"/>
    <mergeCell ref="K13:N13"/>
    <mergeCell ref="O13:R13"/>
    <mergeCell ref="W13:Z13"/>
    <mergeCell ref="AA13:AD13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4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AN52"/>
  <sheetViews>
    <sheetView showZeros="0" workbookViewId="0" topLeftCell="A1">
      <pane xSplit="2" ySplit="12" topLeftCell="C13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L19" sqref="L19"/>
    </sheetView>
  </sheetViews>
  <sheetFormatPr defaultColWidth="9.796875" defaultRowHeight="15"/>
  <cols>
    <col min="1" max="1" width="9.796875" style="2" customWidth="1"/>
    <col min="2" max="2" width="13.796875" style="2" customWidth="1"/>
    <col min="3" max="5" width="10.796875" style="2" customWidth="1"/>
    <col min="6" max="6" width="8" style="2" customWidth="1"/>
    <col min="7" max="9" width="10.796875" style="2" customWidth="1"/>
    <col min="10" max="10" width="8" style="2" customWidth="1"/>
    <col min="11" max="13" width="10.8984375" style="2" customWidth="1"/>
    <col min="14" max="14" width="8" style="2" customWidth="1"/>
    <col min="15" max="17" width="10.796875" style="2" customWidth="1"/>
    <col min="18" max="18" width="8.09765625" style="2" customWidth="1"/>
    <col min="19" max="26" width="7.796875" style="2" customWidth="1"/>
    <col min="27" max="16384" width="9.796875" style="2" customWidth="1"/>
  </cols>
  <sheetData>
    <row r="1" spans="1:26" ht="17.25" customHeight="1">
      <c r="A1" s="16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" customHeight="1">
      <c r="A2" s="824" t="s">
        <v>324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"/>
      <c r="B3" s="4"/>
      <c r="C3" s="4"/>
      <c r="D3" s="4"/>
      <c r="E3" s="4"/>
      <c r="F3" s="4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>
      <c r="A4" s="837" t="s">
        <v>211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1"/>
      <c r="T4" s="1"/>
      <c r="U4" s="1"/>
      <c r="V4" s="1"/>
      <c r="W4" s="1"/>
      <c r="X4" s="1"/>
      <c r="Y4" s="1"/>
      <c r="Z4" s="1"/>
    </row>
    <row r="5" spans="1:24" ht="22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775" t="s">
        <v>212</v>
      </c>
      <c r="S5" s="4"/>
      <c r="T5" s="3"/>
      <c r="U5" s="3"/>
      <c r="V5" s="3"/>
      <c r="W5" s="3"/>
      <c r="X5" s="3"/>
    </row>
    <row r="6" spans="1:40" ht="22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s="775" t="s">
        <v>3</v>
      </c>
      <c r="S6" s="4"/>
      <c r="T6" s="3"/>
      <c r="U6" s="3"/>
      <c r="V6" s="3"/>
      <c r="W6" s="3"/>
      <c r="X6" s="3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22" ht="18" customHeight="1" thickBot="1">
      <c r="A7" s="18"/>
      <c r="B7" s="24"/>
      <c r="C7" s="122" t="s">
        <v>213</v>
      </c>
      <c r="D7" s="122"/>
      <c r="E7" s="22"/>
      <c r="F7" s="22"/>
      <c r="G7" s="23" t="s">
        <v>194</v>
      </c>
      <c r="H7" s="178"/>
      <c r="I7" s="19"/>
      <c r="J7" s="19"/>
      <c r="K7" s="19"/>
      <c r="L7" s="19"/>
      <c r="M7" s="19"/>
      <c r="N7" s="19"/>
      <c r="O7" s="19"/>
      <c r="P7" s="19"/>
      <c r="Q7" s="19"/>
      <c r="R7" s="24"/>
      <c r="S7" s="341"/>
      <c r="T7" s="169"/>
      <c r="U7" s="169"/>
      <c r="V7" s="169"/>
    </row>
    <row r="8" spans="1:22" ht="18" customHeight="1">
      <c r="A8" s="37"/>
      <c r="B8" s="124"/>
      <c r="C8" s="151"/>
      <c r="D8" s="152"/>
      <c r="E8" s="276"/>
      <c r="F8" s="153"/>
      <c r="G8" s="835" t="s">
        <v>288</v>
      </c>
      <c r="H8" s="834"/>
      <c r="I8" s="834"/>
      <c r="J8" s="836"/>
      <c r="K8" s="889" t="s">
        <v>339</v>
      </c>
      <c r="L8" s="890"/>
      <c r="M8" s="890"/>
      <c r="N8" s="891"/>
      <c r="O8" s="835" t="s">
        <v>228</v>
      </c>
      <c r="P8" s="834"/>
      <c r="Q8" s="834"/>
      <c r="R8" s="836"/>
      <c r="S8" s="169"/>
      <c r="T8" s="169"/>
      <c r="U8" s="169"/>
      <c r="V8" s="169"/>
    </row>
    <row r="9" spans="1:22" ht="18" customHeight="1">
      <c r="A9" s="25" t="s">
        <v>45</v>
      </c>
      <c r="B9" s="124"/>
      <c r="C9" s="838" t="s">
        <v>85</v>
      </c>
      <c r="D9" s="838"/>
      <c r="E9" s="838"/>
      <c r="F9" s="838"/>
      <c r="G9" s="883" t="s">
        <v>284</v>
      </c>
      <c r="H9" s="874"/>
      <c r="I9" s="874"/>
      <c r="J9" s="888"/>
      <c r="K9" s="883" t="s">
        <v>337</v>
      </c>
      <c r="L9" s="874"/>
      <c r="M9" s="874"/>
      <c r="N9" s="888"/>
      <c r="O9" s="151"/>
      <c r="P9" s="276"/>
      <c r="Q9" s="276"/>
      <c r="R9" s="153"/>
      <c r="S9" s="169"/>
      <c r="T9" s="169"/>
      <c r="U9" s="169"/>
      <c r="V9" s="169"/>
    </row>
    <row r="10" spans="1:18" ht="18" customHeight="1">
      <c r="A10" s="37"/>
      <c r="B10" s="218" t="s">
        <v>46</v>
      </c>
      <c r="C10" s="125" t="s">
        <v>0</v>
      </c>
      <c r="D10" s="130" t="s">
        <v>4</v>
      </c>
      <c r="E10" s="130" t="s">
        <v>5</v>
      </c>
      <c r="F10" s="127" t="s">
        <v>2</v>
      </c>
      <c r="G10" s="125" t="s">
        <v>0</v>
      </c>
      <c r="H10" s="130" t="s">
        <v>4</v>
      </c>
      <c r="I10" s="130" t="s">
        <v>5</v>
      </c>
      <c r="J10" s="127" t="s">
        <v>2</v>
      </c>
      <c r="K10" s="125" t="s">
        <v>0</v>
      </c>
      <c r="L10" s="130" t="s">
        <v>4</v>
      </c>
      <c r="M10" s="130" t="s">
        <v>5</v>
      </c>
      <c r="N10" s="127" t="s">
        <v>2</v>
      </c>
      <c r="O10" s="125" t="s">
        <v>0</v>
      </c>
      <c r="P10" s="130" t="s">
        <v>4</v>
      </c>
      <c r="Q10" s="130" t="s">
        <v>5</v>
      </c>
      <c r="R10" s="127" t="s">
        <v>2</v>
      </c>
    </row>
    <row r="11" spans="1:18" ht="15" customHeight="1" thickBot="1">
      <c r="A11" s="13"/>
      <c r="B11" s="131"/>
      <c r="C11" s="43" t="s">
        <v>1</v>
      </c>
      <c r="D11" s="44" t="s">
        <v>1</v>
      </c>
      <c r="E11" s="334" t="s">
        <v>316</v>
      </c>
      <c r="F11" s="46" t="s">
        <v>48</v>
      </c>
      <c r="G11" s="43" t="s">
        <v>1</v>
      </c>
      <c r="H11" s="44" t="s">
        <v>1</v>
      </c>
      <c r="I11" s="334" t="s">
        <v>316</v>
      </c>
      <c r="J11" s="46" t="s">
        <v>48</v>
      </c>
      <c r="K11" s="43" t="s">
        <v>1</v>
      </c>
      <c r="L11" s="44" t="s">
        <v>1</v>
      </c>
      <c r="M11" s="334" t="s">
        <v>316</v>
      </c>
      <c r="N11" s="46" t="s">
        <v>48</v>
      </c>
      <c r="O11" s="43" t="s">
        <v>1</v>
      </c>
      <c r="P11" s="44" t="s">
        <v>1</v>
      </c>
      <c r="Q11" s="334" t="s">
        <v>316</v>
      </c>
      <c r="R11" s="46" t="s">
        <v>48</v>
      </c>
    </row>
    <row r="12" spans="1:18" ht="17.25" customHeight="1">
      <c r="A12" s="14"/>
      <c r="B12" s="38"/>
      <c r="C12" s="110"/>
      <c r="D12" s="110"/>
      <c r="E12" s="110"/>
      <c r="F12" s="14"/>
      <c r="G12" s="887" t="s">
        <v>301</v>
      </c>
      <c r="H12" s="887"/>
      <c r="I12" s="887"/>
      <c r="J12" s="887"/>
      <c r="K12" s="778"/>
      <c r="L12" s="778"/>
      <c r="M12" s="778"/>
      <c r="N12" s="778"/>
      <c r="O12" s="887" t="s">
        <v>329</v>
      </c>
      <c r="P12" s="887"/>
      <c r="Q12" s="887"/>
      <c r="R12" s="887"/>
    </row>
    <row r="13" spans="1:18" ht="15" customHeight="1" thickBot="1">
      <c r="A13" s="14"/>
      <c r="B13" s="38"/>
      <c r="C13" s="110"/>
      <c r="D13" s="110"/>
      <c r="E13" s="110"/>
      <c r="F13" s="14"/>
      <c r="G13" s="110"/>
      <c r="H13" s="282"/>
      <c r="I13" s="110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6.5" customHeight="1">
      <c r="A14" s="65"/>
      <c r="B14" s="604"/>
      <c r="C14" s="67"/>
      <c r="D14" s="375"/>
      <c r="E14" s="375"/>
      <c r="F14" s="525"/>
      <c r="G14" s="413"/>
      <c r="H14" s="375"/>
      <c r="I14" s="375"/>
      <c r="J14" s="70"/>
      <c r="K14" s="805"/>
      <c r="L14" s="806"/>
      <c r="M14" s="806"/>
      <c r="N14" s="801"/>
      <c r="O14" s="413"/>
      <c r="P14" s="375"/>
      <c r="Q14" s="375"/>
      <c r="R14" s="70"/>
    </row>
    <row r="15" spans="1:18" ht="16.5" customHeight="1">
      <c r="A15" s="72" t="s">
        <v>6</v>
      </c>
      <c r="B15" s="77"/>
      <c r="C15" s="74">
        <f>'Výdaje '!H13</f>
        <v>84613</v>
      </c>
      <c r="D15" s="75">
        <f>'Výdaje '!I13</f>
        <v>112487</v>
      </c>
      <c r="E15" s="75">
        <f>'Výdaje '!J13</f>
        <v>110275</v>
      </c>
      <c r="F15" s="76">
        <f aca="true" t="shared" si="0" ref="F15:F43">E15/D15*100</f>
        <v>98.03355054361838</v>
      </c>
      <c r="G15" s="74"/>
      <c r="H15" s="75">
        <v>12550</v>
      </c>
      <c r="I15" s="75">
        <v>12476</v>
      </c>
      <c r="J15" s="76">
        <f aca="true" t="shared" si="1" ref="J15:J26">I15/H15*100</f>
        <v>99.41035856573706</v>
      </c>
      <c r="K15" s="807"/>
      <c r="L15" s="808"/>
      <c r="M15" s="808"/>
      <c r="N15" s="802"/>
      <c r="O15" s="74"/>
      <c r="P15" s="75"/>
      <c r="Q15" s="75"/>
      <c r="R15" s="76"/>
    </row>
    <row r="16" spans="1:18" ht="16.5" customHeight="1">
      <c r="A16" s="72" t="s">
        <v>7</v>
      </c>
      <c r="B16" s="77"/>
      <c r="C16" s="74">
        <f>'Výdaje '!H14</f>
        <v>4358</v>
      </c>
      <c r="D16" s="75">
        <f>'Výdaje '!I14</f>
        <v>14759</v>
      </c>
      <c r="E16" s="75">
        <f>'Výdaje '!J14</f>
        <v>13589</v>
      </c>
      <c r="F16" s="76">
        <f t="shared" si="0"/>
        <v>92.07263364726607</v>
      </c>
      <c r="G16" s="74"/>
      <c r="H16" s="75">
        <v>3000</v>
      </c>
      <c r="I16" s="75">
        <v>3000</v>
      </c>
      <c r="J16" s="76">
        <f t="shared" si="1"/>
        <v>100</v>
      </c>
      <c r="K16" s="807"/>
      <c r="L16" s="808"/>
      <c r="M16" s="808"/>
      <c r="N16" s="802"/>
      <c r="O16" s="74"/>
      <c r="P16" s="75"/>
      <c r="Q16" s="75"/>
      <c r="R16" s="76"/>
    </row>
    <row r="17" spans="1:18" ht="16.5" customHeight="1">
      <c r="A17" s="72" t="s">
        <v>8</v>
      </c>
      <c r="B17" s="77"/>
      <c r="C17" s="74">
        <f>'Výdaje '!H15</f>
        <v>24023</v>
      </c>
      <c r="D17" s="75">
        <f>'Výdaje '!I15</f>
        <v>39782</v>
      </c>
      <c r="E17" s="75">
        <f>'Výdaje '!J15</f>
        <v>21687</v>
      </c>
      <c r="F17" s="76">
        <f t="shared" si="0"/>
        <v>54.51460459504298</v>
      </c>
      <c r="G17" s="74"/>
      <c r="H17" s="75">
        <v>8570</v>
      </c>
      <c r="I17" s="75">
        <v>8569</v>
      </c>
      <c r="J17" s="76">
        <f t="shared" si="1"/>
        <v>99.98833138856476</v>
      </c>
      <c r="K17" s="807"/>
      <c r="L17" s="911"/>
      <c r="M17" s="911"/>
      <c r="N17" s="802"/>
      <c r="O17" s="74"/>
      <c r="P17" s="75">
        <v>5345</v>
      </c>
      <c r="Q17" s="75">
        <v>2345</v>
      </c>
      <c r="R17" s="76">
        <f>Q17/P17*100</f>
        <v>43.87277829747428</v>
      </c>
    </row>
    <row r="18" spans="1:18" ht="16.5" customHeight="1">
      <c r="A18" s="72" t="s">
        <v>9</v>
      </c>
      <c r="B18" s="77"/>
      <c r="C18" s="74">
        <f>'Výdaje '!H16</f>
        <v>1877</v>
      </c>
      <c r="D18" s="75">
        <f>'Výdaje '!I16</f>
        <v>8557</v>
      </c>
      <c r="E18" s="75">
        <f>'Výdaje '!J16</f>
        <v>6967</v>
      </c>
      <c r="F18" s="76">
        <f t="shared" si="0"/>
        <v>81.4187215145495</v>
      </c>
      <c r="G18" s="74"/>
      <c r="H18" s="75">
        <v>3298</v>
      </c>
      <c r="I18" s="75">
        <v>3283</v>
      </c>
      <c r="J18" s="76">
        <f t="shared" si="1"/>
        <v>99.5451788963008</v>
      </c>
      <c r="K18" s="807"/>
      <c r="L18" s="911"/>
      <c r="M18" s="911"/>
      <c r="N18" s="802"/>
      <c r="O18" s="74"/>
      <c r="P18" s="75"/>
      <c r="Q18" s="75"/>
      <c r="R18" s="76"/>
    </row>
    <row r="19" spans="1:18" ht="16.5" customHeight="1">
      <c r="A19" s="72" t="s">
        <v>10</v>
      </c>
      <c r="B19" s="77"/>
      <c r="C19" s="74">
        <f>'Výdaje '!H17</f>
        <v>2071</v>
      </c>
      <c r="D19" s="75">
        <f>'Výdaje '!I17</f>
        <v>9540</v>
      </c>
      <c r="E19" s="75">
        <f>'Výdaje '!J17</f>
        <v>8514</v>
      </c>
      <c r="F19" s="76">
        <f t="shared" si="0"/>
        <v>89.24528301886792</v>
      </c>
      <c r="G19" s="74"/>
      <c r="H19" s="75">
        <v>5338</v>
      </c>
      <c r="I19" s="75">
        <v>5105</v>
      </c>
      <c r="J19" s="76">
        <f t="shared" si="1"/>
        <v>95.63506931434993</v>
      </c>
      <c r="K19" s="807"/>
      <c r="L19" s="911"/>
      <c r="M19" s="911"/>
      <c r="N19" s="802"/>
      <c r="O19" s="74"/>
      <c r="P19" s="75"/>
      <c r="Q19" s="75"/>
      <c r="R19" s="76"/>
    </row>
    <row r="20" spans="1:18" ht="16.5" customHeight="1">
      <c r="A20" s="72" t="s">
        <v>11</v>
      </c>
      <c r="B20" s="77"/>
      <c r="C20" s="74">
        <f>'Výdaje '!H18</f>
        <v>811</v>
      </c>
      <c r="D20" s="75">
        <f>'Výdaje '!I18</f>
        <v>2481</v>
      </c>
      <c r="E20" s="75">
        <f>'Výdaje '!J18</f>
        <v>2033</v>
      </c>
      <c r="F20" s="76">
        <f t="shared" si="0"/>
        <v>81.94276501410721</v>
      </c>
      <c r="G20" s="74"/>
      <c r="H20" s="75">
        <v>1077</v>
      </c>
      <c r="I20" s="75">
        <v>1076</v>
      </c>
      <c r="J20" s="76">
        <f t="shared" si="1"/>
        <v>99.9071494893222</v>
      </c>
      <c r="K20" s="807"/>
      <c r="L20" s="911"/>
      <c r="M20" s="911"/>
      <c r="N20" s="802"/>
      <c r="O20" s="74"/>
      <c r="P20" s="75"/>
      <c r="Q20" s="75"/>
      <c r="R20" s="76"/>
    </row>
    <row r="21" spans="1:18" ht="16.5" customHeight="1">
      <c r="A21" s="72" t="s">
        <v>242</v>
      </c>
      <c r="B21" s="77"/>
      <c r="C21" s="74">
        <f>'Výdaje '!H19</f>
        <v>24495</v>
      </c>
      <c r="D21" s="75">
        <f>'Výdaje '!I19</f>
        <v>48166</v>
      </c>
      <c r="E21" s="75">
        <f>'Výdaje '!J19</f>
        <v>39340</v>
      </c>
      <c r="F21" s="76">
        <f t="shared" si="0"/>
        <v>81.67587094631068</v>
      </c>
      <c r="G21" s="74"/>
      <c r="H21" s="75">
        <v>8970</v>
      </c>
      <c r="I21" s="75">
        <v>5948</v>
      </c>
      <c r="J21" s="76">
        <f t="shared" si="1"/>
        <v>66.30992196209587</v>
      </c>
      <c r="K21" s="807"/>
      <c r="L21" s="911"/>
      <c r="M21" s="911"/>
      <c r="N21" s="802"/>
      <c r="O21" s="74"/>
      <c r="P21" s="75">
        <v>3960</v>
      </c>
      <c r="Q21" s="75">
        <v>2840</v>
      </c>
      <c r="R21" s="76">
        <f>Q21/P21*100</f>
        <v>71.71717171717171</v>
      </c>
    </row>
    <row r="22" spans="1:18" ht="16.5" customHeight="1">
      <c r="A22" s="72" t="s">
        <v>13</v>
      </c>
      <c r="B22" s="77"/>
      <c r="C22" s="74">
        <f>'Výdaje '!H20</f>
        <v>33127</v>
      </c>
      <c r="D22" s="75">
        <f>'Výdaje '!I20</f>
        <v>54519</v>
      </c>
      <c r="E22" s="75">
        <f>'Výdaje '!J20</f>
        <v>39624</v>
      </c>
      <c r="F22" s="76">
        <f t="shared" si="0"/>
        <v>72.67924943597644</v>
      </c>
      <c r="G22" s="74"/>
      <c r="H22" s="75">
        <v>350</v>
      </c>
      <c r="I22" s="75">
        <v>350</v>
      </c>
      <c r="J22" s="76">
        <f t="shared" si="1"/>
        <v>100</v>
      </c>
      <c r="K22" s="807"/>
      <c r="L22" s="911"/>
      <c r="M22" s="911"/>
      <c r="N22" s="802"/>
      <c r="O22" s="74"/>
      <c r="P22" s="75">
        <v>14220</v>
      </c>
      <c r="Q22" s="75">
        <v>14220</v>
      </c>
      <c r="R22" s="76">
        <f>Q22/P22*100</f>
        <v>100</v>
      </c>
    </row>
    <row r="23" spans="1:18" ht="16.5" customHeight="1">
      <c r="A23" s="72" t="s">
        <v>14</v>
      </c>
      <c r="B23" s="77"/>
      <c r="C23" s="74">
        <f>'Výdaje '!H21</f>
        <v>3200</v>
      </c>
      <c r="D23" s="75">
        <f>'Výdaje '!I21</f>
        <v>3200</v>
      </c>
      <c r="E23" s="75">
        <f>'Výdaje '!J21</f>
        <v>2395</v>
      </c>
      <c r="F23" s="76">
        <f t="shared" si="0"/>
        <v>74.84375</v>
      </c>
      <c r="G23" s="74"/>
      <c r="H23" s="75"/>
      <c r="I23" s="75"/>
      <c r="J23" s="76"/>
      <c r="K23" s="807"/>
      <c r="L23" s="911"/>
      <c r="M23" s="911"/>
      <c r="N23" s="802"/>
      <c r="O23" s="74"/>
      <c r="P23" s="75"/>
      <c r="Q23" s="75"/>
      <c r="R23" s="76"/>
    </row>
    <row r="24" spans="1:18" ht="16.5" customHeight="1">
      <c r="A24" s="72" t="s">
        <v>15</v>
      </c>
      <c r="B24" s="77"/>
      <c r="C24" s="74">
        <f>'Výdaje '!H22</f>
        <v>1585</v>
      </c>
      <c r="D24" s="75">
        <f>'Výdaje '!I22</f>
        <v>16451</v>
      </c>
      <c r="E24" s="75">
        <f>'Výdaje '!J22</f>
        <v>16239</v>
      </c>
      <c r="F24" s="76">
        <f t="shared" si="0"/>
        <v>98.71132453954166</v>
      </c>
      <c r="G24" s="74"/>
      <c r="H24" s="75">
        <f>8737-3996</f>
        <v>4741</v>
      </c>
      <c r="I24" s="75">
        <v>4741</v>
      </c>
      <c r="J24" s="76">
        <f t="shared" si="1"/>
        <v>100</v>
      </c>
      <c r="K24" s="6"/>
      <c r="L24" s="911">
        <v>2099</v>
      </c>
      <c r="M24" s="911">
        <v>2089</v>
      </c>
      <c r="N24" s="76">
        <f>M24/L24*100</f>
        <v>99.52358265840877</v>
      </c>
      <c r="O24" s="74"/>
      <c r="P24" s="75">
        <v>1237</v>
      </c>
      <c r="Q24" s="75">
        <v>1237</v>
      </c>
      <c r="R24" s="76">
        <f>Q24/P24*100</f>
        <v>100</v>
      </c>
    </row>
    <row r="25" spans="1:18" ht="16.5" customHeight="1">
      <c r="A25" s="72" t="s">
        <v>16</v>
      </c>
      <c r="B25" s="77"/>
      <c r="C25" s="74">
        <f>'Výdaje '!H23</f>
        <v>992</v>
      </c>
      <c r="D25" s="75">
        <f>'Výdaje '!I23</f>
        <v>24958</v>
      </c>
      <c r="E25" s="75">
        <f>'Výdaje '!J23</f>
        <v>19426</v>
      </c>
      <c r="F25" s="76">
        <f t="shared" si="0"/>
        <v>77.8347624008334</v>
      </c>
      <c r="G25" s="74"/>
      <c r="H25" s="75">
        <v>8800</v>
      </c>
      <c r="I25" s="75">
        <v>3392</v>
      </c>
      <c r="J25" s="76">
        <f t="shared" si="1"/>
        <v>38.54545454545455</v>
      </c>
      <c r="K25" s="807"/>
      <c r="L25" s="911"/>
      <c r="M25" s="911"/>
      <c r="N25" s="802"/>
      <c r="O25" s="74"/>
      <c r="P25" s="75"/>
      <c r="Q25" s="75"/>
      <c r="R25" s="76"/>
    </row>
    <row r="26" spans="1:18" ht="16.5" customHeight="1">
      <c r="A26" s="72" t="s">
        <v>244</v>
      </c>
      <c r="B26" s="77"/>
      <c r="C26" s="74">
        <f>'Výdaje '!H24</f>
        <v>714</v>
      </c>
      <c r="D26" s="75">
        <f>'Výdaje '!I24</f>
        <v>3788</v>
      </c>
      <c r="E26" s="75">
        <f>'Výdaje '!J24</f>
        <v>3530</v>
      </c>
      <c r="F26" s="76">
        <f t="shared" si="0"/>
        <v>93.18901795142555</v>
      </c>
      <c r="G26" s="74"/>
      <c r="H26" s="75">
        <v>700</v>
      </c>
      <c r="I26" s="75">
        <v>700</v>
      </c>
      <c r="J26" s="76">
        <f t="shared" si="1"/>
        <v>100</v>
      </c>
      <c r="K26" s="807"/>
      <c r="L26" s="911"/>
      <c r="M26" s="911"/>
      <c r="N26" s="802"/>
      <c r="O26" s="74"/>
      <c r="P26" s="75"/>
      <c r="Q26" s="75"/>
      <c r="R26" s="76"/>
    </row>
    <row r="27" spans="1:18" ht="16.5" customHeight="1">
      <c r="A27" s="72" t="s">
        <v>18</v>
      </c>
      <c r="B27" s="77"/>
      <c r="C27" s="74">
        <f>'Výdaje '!H25</f>
        <v>12841</v>
      </c>
      <c r="D27" s="75">
        <f>'Výdaje '!I25</f>
        <v>91079</v>
      </c>
      <c r="E27" s="75">
        <f>'Výdaje '!J25</f>
        <v>50047</v>
      </c>
      <c r="F27" s="76">
        <f t="shared" si="0"/>
        <v>54.949000318404906</v>
      </c>
      <c r="G27" s="74"/>
      <c r="H27" s="75">
        <v>16678</v>
      </c>
      <c r="I27" s="75">
        <v>16483</v>
      </c>
      <c r="J27" s="76">
        <f aca="true" t="shared" si="2" ref="J27:J41">I27/H27*100</f>
        <v>98.83079505935963</v>
      </c>
      <c r="K27" s="807"/>
      <c r="L27" s="911"/>
      <c r="M27" s="911"/>
      <c r="N27" s="802"/>
      <c r="O27" s="74"/>
      <c r="P27" s="75">
        <v>8640</v>
      </c>
      <c r="Q27" s="75">
        <v>7740</v>
      </c>
      <c r="R27" s="76">
        <f>Q27/P27*100</f>
        <v>89.58333333333334</v>
      </c>
    </row>
    <row r="28" spans="1:18" ht="16.5" customHeight="1">
      <c r="A28" s="72" t="s">
        <v>58</v>
      </c>
      <c r="B28" s="77"/>
      <c r="C28" s="74">
        <f>'Výdaje '!H26</f>
        <v>2300</v>
      </c>
      <c r="D28" s="75">
        <f>'Výdaje '!I26</f>
        <v>8799</v>
      </c>
      <c r="E28" s="75">
        <f>'Výdaje '!J26</f>
        <v>6309</v>
      </c>
      <c r="F28" s="76">
        <f t="shared" si="0"/>
        <v>71.70132969655643</v>
      </c>
      <c r="G28" s="74"/>
      <c r="H28" s="75">
        <v>1117</v>
      </c>
      <c r="I28" s="75">
        <v>461</v>
      </c>
      <c r="J28" s="76">
        <f t="shared" si="2"/>
        <v>41.271262309758285</v>
      </c>
      <c r="K28" s="6"/>
      <c r="L28" s="911">
        <v>3561</v>
      </c>
      <c r="M28" s="911">
        <v>3561</v>
      </c>
      <c r="N28" s="76">
        <f>M28/L28*100</f>
        <v>100</v>
      </c>
      <c r="O28" s="74"/>
      <c r="P28" s="75"/>
      <c r="Q28" s="75"/>
      <c r="R28" s="76"/>
    </row>
    <row r="29" spans="1:18" ht="16.5" customHeight="1">
      <c r="A29" s="72" t="s">
        <v>19</v>
      </c>
      <c r="B29" s="77"/>
      <c r="C29" s="74">
        <f>'Výdaje '!H27</f>
        <v>13116</v>
      </c>
      <c r="D29" s="75">
        <f>'Výdaje '!I27</f>
        <v>34591</v>
      </c>
      <c r="E29" s="75">
        <f>'Výdaje '!J27</f>
        <v>33320</v>
      </c>
      <c r="F29" s="76">
        <f t="shared" si="0"/>
        <v>96.32563383539072</v>
      </c>
      <c r="G29" s="74"/>
      <c r="H29" s="75">
        <v>1000</v>
      </c>
      <c r="I29" s="75">
        <v>1000</v>
      </c>
      <c r="J29" s="76">
        <f t="shared" si="2"/>
        <v>100</v>
      </c>
      <c r="K29" s="807"/>
      <c r="L29" s="911"/>
      <c r="M29" s="911"/>
      <c r="N29" s="802"/>
      <c r="O29" s="74"/>
      <c r="P29" s="75"/>
      <c r="Q29" s="75"/>
      <c r="R29" s="76"/>
    </row>
    <row r="30" spans="1:18" ht="16.5" customHeight="1">
      <c r="A30" s="72" t="s">
        <v>20</v>
      </c>
      <c r="B30" s="77"/>
      <c r="C30" s="74">
        <f>'Výdaje '!H28</f>
        <v>3600</v>
      </c>
      <c r="D30" s="75">
        <f>'Výdaje '!I28</f>
        <v>7074</v>
      </c>
      <c r="E30" s="75">
        <f>'Výdaje '!J28</f>
        <v>5959</v>
      </c>
      <c r="F30" s="76">
        <f t="shared" si="0"/>
        <v>84.23805484874187</v>
      </c>
      <c r="G30" s="74"/>
      <c r="H30" s="75">
        <v>400</v>
      </c>
      <c r="I30" s="75">
        <v>400</v>
      </c>
      <c r="J30" s="76">
        <f t="shared" si="2"/>
        <v>100</v>
      </c>
      <c r="K30" s="807"/>
      <c r="L30" s="911"/>
      <c r="M30" s="911"/>
      <c r="N30" s="802"/>
      <c r="O30" s="74"/>
      <c r="P30" s="75"/>
      <c r="Q30" s="75"/>
      <c r="R30" s="76"/>
    </row>
    <row r="31" spans="1:18" ht="16.5" customHeight="1">
      <c r="A31" s="72" t="s">
        <v>21</v>
      </c>
      <c r="B31" s="77"/>
      <c r="C31" s="74">
        <f>'Výdaje '!H29</f>
        <v>8130</v>
      </c>
      <c r="D31" s="75">
        <f>'Výdaje '!I29</f>
        <v>41932</v>
      </c>
      <c r="E31" s="75">
        <f>'Výdaje '!J29</f>
        <v>37304</v>
      </c>
      <c r="F31" s="76">
        <f t="shared" si="0"/>
        <v>88.9630830869026</v>
      </c>
      <c r="G31" s="74"/>
      <c r="H31" s="75">
        <v>23500</v>
      </c>
      <c r="I31" s="75">
        <v>23500</v>
      </c>
      <c r="J31" s="76">
        <f t="shared" si="2"/>
        <v>100</v>
      </c>
      <c r="K31" s="807"/>
      <c r="L31" s="911"/>
      <c r="M31" s="911"/>
      <c r="N31" s="802"/>
      <c r="O31" s="74"/>
      <c r="P31" s="75">
        <v>4577</v>
      </c>
      <c r="Q31" s="75">
        <v>4577</v>
      </c>
      <c r="R31" s="76">
        <f>Q31/P31*100</f>
        <v>100</v>
      </c>
    </row>
    <row r="32" spans="1:18" ht="16.5" customHeight="1">
      <c r="A32" s="72" t="s">
        <v>22</v>
      </c>
      <c r="B32" s="77"/>
      <c r="C32" s="74">
        <f>'Výdaje '!H30</f>
        <v>64950</v>
      </c>
      <c r="D32" s="75">
        <f>'Výdaje '!I30</f>
        <v>100779</v>
      </c>
      <c r="E32" s="75">
        <f>'Výdaje '!J30</f>
        <v>97164</v>
      </c>
      <c r="F32" s="76">
        <f t="shared" si="0"/>
        <v>96.41294317268478</v>
      </c>
      <c r="G32" s="74"/>
      <c r="H32" s="75">
        <v>500</v>
      </c>
      <c r="I32" s="75">
        <v>500</v>
      </c>
      <c r="J32" s="76">
        <f t="shared" si="2"/>
        <v>100</v>
      </c>
      <c r="K32" s="807"/>
      <c r="L32" s="911"/>
      <c r="M32" s="911"/>
      <c r="N32" s="802"/>
      <c r="O32" s="74"/>
      <c r="P32" s="75">
        <v>20000</v>
      </c>
      <c r="Q32" s="75">
        <v>20000</v>
      </c>
      <c r="R32" s="76">
        <f>Q32/P32*100</f>
        <v>100</v>
      </c>
    </row>
    <row r="33" spans="1:18" ht="16.5" customHeight="1">
      <c r="A33" s="72" t="s">
        <v>23</v>
      </c>
      <c r="B33" s="77"/>
      <c r="C33" s="74">
        <f>'Výdaje '!H31</f>
        <v>17766</v>
      </c>
      <c r="D33" s="75">
        <f>'Výdaje '!I31</f>
        <v>33888</v>
      </c>
      <c r="E33" s="75">
        <f>'Výdaje '!J31</f>
        <v>27323</v>
      </c>
      <c r="F33" s="76">
        <f t="shared" si="0"/>
        <v>80.62736071765816</v>
      </c>
      <c r="G33" s="74"/>
      <c r="H33" s="75">
        <v>9300</v>
      </c>
      <c r="I33" s="75">
        <v>6635</v>
      </c>
      <c r="J33" s="76">
        <f t="shared" si="2"/>
        <v>71.34408602150538</v>
      </c>
      <c r="K33" s="807"/>
      <c r="L33" s="911"/>
      <c r="M33" s="911"/>
      <c r="N33" s="802"/>
      <c r="O33" s="74"/>
      <c r="P33" s="75"/>
      <c r="Q33" s="75"/>
      <c r="R33" s="76"/>
    </row>
    <row r="34" spans="1:18" ht="16.5" customHeight="1">
      <c r="A34" s="72" t="s">
        <v>24</v>
      </c>
      <c r="B34" s="77"/>
      <c r="C34" s="74">
        <f>'Výdaje '!H32</f>
        <v>1404</v>
      </c>
      <c r="D34" s="75">
        <f>'Výdaje '!I32</f>
        <v>64854</v>
      </c>
      <c r="E34" s="75">
        <f>'Výdaje '!J32</f>
        <v>64605</v>
      </c>
      <c r="F34" s="76">
        <f t="shared" si="0"/>
        <v>99.6160606901656</v>
      </c>
      <c r="G34" s="74"/>
      <c r="H34" s="75">
        <v>2600</v>
      </c>
      <c r="I34" s="75">
        <v>2600</v>
      </c>
      <c r="J34" s="76">
        <f t="shared" si="2"/>
        <v>100</v>
      </c>
      <c r="K34" s="807"/>
      <c r="L34" s="911"/>
      <c r="M34" s="911"/>
      <c r="N34" s="802"/>
      <c r="O34" s="74"/>
      <c r="P34" s="75">
        <v>14050</v>
      </c>
      <c r="Q34" s="75">
        <v>14050</v>
      </c>
      <c r="R34" s="76">
        <f>Q34/P34*100</f>
        <v>100</v>
      </c>
    </row>
    <row r="35" spans="1:18" ht="16.5" customHeight="1">
      <c r="A35" s="72" t="s">
        <v>25</v>
      </c>
      <c r="B35" s="77"/>
      <c r="C35" s="74">
        <f>'Výdaje '!H33</f>
        <v>1871</v>
      </c>
      <c r="D35" s="75">
        <f>'Výdaje '!I33</f>
        <v>7988</v>
      </c>
      <c r="E35" s="75">
        <f>'Výdaje '!J33</f>
        <v>5058</v>
      </c>
      <c r="F35" s="76">
        <f t="shared" si="0"/>
        <v>63.31997996995493</v>
      </c>
      <c r="G35" s="74"/>
      <c r="H35" s="75"/>
      <c r="I35" s="75"/>
      <c r="J35" s="76"/>
      <c r="K35" s="807"/>
      <c r="L35" s="911"/>
      <c r="M35" s="911"/>
      <c r="N35" s="802"/>
      <c r="O35" s="74"/>
      <c r="P35" s="75"/>
      <c r="Q35" s="75"/>
      <c r="R35" s="76"/>
    </row>
    <row r="36" spans="1:19" ht="16.5" customHeight="1">
      <c r="A36" s="72" t="s">
        <v>26</v>
      </c>
      <c r="B36" s="77"/>
      <c r="C36" s="74">
        <f>'Výdaje '!H34</f>
        <v>290</v>
      </c>
      <c r="D36" s="75">
        <f>'Výdaje '!I34</f>
        <v>12702</v>
      </c>
      <c r="E36" s="75">
        <f>'Výdaje '!J34</f>
        <v>6357</v>
      </c>
      <c r="F36" s="76">
        <f t="shared" si="0"/>
        <v>50.04723665564478</v>
      </c>
      <c r="G36" s="74"/>
      <c r="H36" s="75">
        <v>5800</v>
      </c>
      <c r="I36" s="75">
        <v>2000</v>
      </c>
      <c r="J36" s="76">
        <f t="shared" si="2"/>
        <v>34.48275862068966</v>
      </c>
      <c r="K36" s="807"/>
      <c r="L36" s="911"/>
      <c r="M36" s="911"/>
      <c r="N36" s="802"/>
      <c r="O36" s="74"/>
      <c r="P36" s="75">
        <v>2886</v>
      </c>
      <c r="Q36" s="75">
        <v>2886</v>
      </c>
      <c r="R36" s="76">
        <f>Q36/P36*100</f>
        <v>100</v>
      </c>
      <c r="S36" s="100"/>
    </row>
    <row r="37" spans="1:18" ht="16.5" customHeight="1">
      <c r="A37" s="72" t="s">
        <v>27</v>
      </c>
      <c r="B37" s="77"/>
      <c r="C37" s="74">
        <f>'Výdaje '!H35</f>
        <v>70948</v>
      </c>
      <c r="D37" s="75">
        <f>'Výdaje '!I35</f>
        <v>99006</v>
      </c>
      <c r="E37" s="75">
        <f>'Výdaje '!J35</f>
        <v>96283</v>
      </c>
      <c r="F37" s="76">
        <f t="shared" si="0"/>
        <v>97.24966163666848</v>
      </c>
      <c r="H37" s="440">
        <v>10385</v>
      </c>
      <c r="I37" s="75">
        <v>10385</v>
      </c>
      <c r="J37" s="76">
        <f t="shared" si="2"/>
        <v>100</v>
      </c>
      <c r="K37" s="809"/>
      <c r="L37" s="912"/>
      <c r="M37" s="912"/>
      <c r="N37" s="425"/>
      <c r="O37" s="821"/>
      <c r="P37" s="440">
        <v>8030</v>
      </c>
      <c r="Q37" s="75">
        <v>8030</v>
      </c>
      <c r="R37" s="76">
        <f>Q37/P37*100</f>
        <v>100</v>
      </c>
    </row>
    <row r="38" spans="1:18" ht="16.5" customHeight="1">
      <c r="A38" s="72" t="s">
        <v>28</v>
      </c>
      <c r="B38" s="770"/>
      <c r="C38" s="540">
        <f>'Výdaje '!H36</f>
        <v>0</v>
      </c>
      <c r="D38" s="75">
        <f>'Výdaje '!I36</f>
        <v>19769</v>
      </c>
      <c r="E38" s="75">
        <f>'Výdaje '!J36</f>
        <v>19737</v>
      </c>
      <c r="F38" s="76">
        <f t="shared" si="0"/>
        <v>99.83813040619151</v>
      </c>
      <c r="G38" s="74"/>
      <c r="H38" s="75">
        <v>2974</v>
      </c>
      <c r="I38" s="75">
        <v>2807</v>
      </c>
      <c r="J38" s="76">
        <f t="shared" si="2"/>
        <v>94.38466711499663</v>
      </c>
      <c r="K38" s="807"/>
      <c r="L38" s="911"/>
      <c r="M38" s="911"/>
      <c r="N38" s="802"/>
      <c r="O38" s="74"/>
      <c r="P38" s="75">
        <v>16602</v>
      </c>
      <c r="Q38" s="75">
        <v>16602</v>
      </c>
      <c r="R38" s="76">
        <f>Q38/P38*100</f>
        <v>100</v>
      </c>
    </row>
    <row r="39" spans="1:18" ht="16.5" customHeight="1">
      <c r="A39" s="72" t="s">
        <v>325</v>
      </c>
      <c r="B39" s="770"/>
      <c r="C39" s="540">
        <f>'Výdaje '!H37</f>
        <v>23910</v>
      </c>
      <c r="D39" s="75">
        <f>'Výdaje '!I37</f>
        <v>31652</v>
      </c>
      <c r="E39" s="75">
        <f>'Výdaje '!J37</f>
        <v>21408</v>
      </c>
      <c r="F39" s="76">
        <f>E39/D39*100</f>
        <v>67.63553645899152</v>
      </c>
      <c r="G39" s="74"/>
      <c r="H39" s="75">
        <v>5650</v>
      </c>
      <c r="I39" s="75">
        <v>5650</v>
      </c>
      <c r="J39" s="76">
        <f t="shared" si="2"/>
        <v>100</v>
      </c>
      <c r="K39" s="807"/>
      <c r="L39" s="911">
        <v>159</v>
      </c>
      <c r="M39" s="911">
        <v>159</v>
      </c>
      <c r="N39" s="76">
        <f>M39/L39*100</f>
        <v>100</v>
      </c>
      <c r="O39" s="74"/>
      <c r="P39" s="75">
        <v>3000</v>
      </c>
      <c r="Q39" s="75">
        <v>3000</v>
      </c>
      <c r="R39" s="76">
        <f>Q39/P39*100</f>
        <v>100</v>
      </c>
    </row>
    <row r="40" spans="1:18" ht="16.5" customHeight="1">
      <c r="A40" s="72" t="s">
        <v>29</v>
      </c>
      <c r="B40" s="770"/>
      <c r="C40" s="540">
        <f>'Výdaje '!H38</f>
        <v>0</v>
      </c>
      <c r="D40" s="75">
        <f>'Výdaje '!I38</f>
        <v>600</v>
      </c>
      <c r="E40" s="75">
        <f>'Výdaje '!J38</f>
        <v>500</v>
      </c>
      <c r="F40" s="76">
        <f t="shared" si="0"/>
        <v>83.33333333333334</v>
      </c>
      <c r="G40" s="74"/>
      <c r="H40" s="75">
        <v>500</v>
      </c>
      <c r="I40" s="75">
        <v>500</v>
      </c>
      <c r="J40" s="76">
        <f t="shared" si="2"/>
        <v>100</v>
      </c>
      <c r="K40" s="807"/>
      <c r="L40" s="911"/>
      <c r="M40" s="911"/>
      <c r="N40" s="802"/>
      <c r="O40" s="74"/>
      <c r="P40" s="75"/>
      <c r="Q40" s="75"/>
      <c r="R40" s="76"/>
    </row>
    <row r="41" spans="1:18" ht="16.5" customHeight="1">
      <c r="A41" s="72" t="s">
        <v>30</v>
      </c>
      <c r="B41" s="771"/>
      <c r="C41" s="540">
        <f>'Výdaje '!H39</f>
        <v>100</v>
      </c>
      <c r="D41" s="75">
        <f>'Výdaje '!I39</f>
        <v>2493</v>
      </c>
      <c r="E41" s="75">
        <f>'Výdaje '!J39</f>
        <v>681</v>
      </c>
      <c r="F41" s="76">
        <f t="shared" si="0"/>
        <v>27.3164861612515</v>
      </c>
      <c r="G41" s="74"/>
      <c r="H41" s="75">
        <v>2000</v>
      </c>
      <c r="I41" s="75">
        <v>195</v>
      </c>
      <c r="J41" s="76">
        <f t="shared" si="2"/>
        <v>9.75</v>
      </c>
      <c r="K41" s="807"/>
      <c r="L41" s="911"/>
      <c r="M41" s="911"/>
      <c r="N41" s="802"/>
      <c r="O41" s="74"/>
      <c r="P41" s="75"/>
      <c r="Q41" s="75"/>
      <c r="R41" s="76"/>
    </row>
    <row r="42" spans="1:18" ht="15" customHeight="1">
      <c r="A42" s="72" t="s">
        <v>31</v>
      </c>
      <c r="B42" s="771"/>
      <c r="C42" s="540">
        <f>'Výdaje '!H40</f>
        <v>200</v>
      </c>
      <c r="D42" s="75">
        <f>'Výdaje '!I40</f>
        <v>1356</v>
      </c>
      <c r="E42" s="75">
        <f>'Výdaje '!J40</f>
        <v>1290</v>
      </c>
      <c r="F42" s="76">
        <f>E42/D42*100</f>
        <v>95.13274336283186</v>
      </c>
      <c r="G42" s="74"/>
      <c r="H42" s="166">
        <v>250</v>
      </c>
      <c r="I42" s="500">
        <v>250</v>
      </c>
      <c r="J42" s="76">
        <f>I42/H38*100</f>
        <v>8.406186953597848</v>
      </c>
      <c r="K42" s="807"/>
      <c r="L42" s="911">
        <v>445</v>
      </c>
      <c r="M42" s="911">
        <v>445</v>
      </c>
      <c r="N42" s="76">
        <f>M42/L42*100</f>
        <v>100</v>
      </c>
      <c r="O42" s="74"/>
      <c r="Q42" s="500"/>
      <c r="R42" s="76"/>
    </row>
    <row r="43" spans="1:18" ht="15" customHeight="1">
      <c r="A43" s="448" t="s">
        <v>32</v>
      </c>
      <c r="B43" s="772"/>
      <c r="C43" s="540">
        <f>'Výdaje '!H41</f>
        <v>0</v>
      </c>
      <c r="D43" s="75">
        <f>'Výdaje '!I41</f>
        <v>652</v>
      </c>
      <c r="E43" s="75">
        <f>'Výdaje '!J41</f>
        <v>651</v>
      </c>
      <c r="F43" s="76">
        <f t="shared" si="0"/>
        <v>99.84662576687117</v>
      </c>
      <c r="G43" s="74"/>
      <c r="H43" s="75"/>
      <c r="I43" s="445"/>
      <c r="J43" s="76">
        <f>I43/H39*100</f>
        <v>0</v>
      </c>
      <c r="K43" s="807"/>
      <c r="L43" s="808"/>
      <c r="M43" s="808"/>
      <c r="N43" s="802"/>
      <c r="O43" s="74"/>
      <c r="P43" s="75"/>
      <c r="Q43" s="445"/>
      <c r="R43" s="76"/>
    </row>
    <row r="44" spans="1:18" ht="15" customHeight="1" thickBot="1">
      <c r="A44" s="13"/>
      <c r="B44" s="773"/>
      <c r="C44" s="774"/>
      <c r="D44" s="81"/>
      <c r="E44" s="81"/>
      <c r="F44" s="83"/>
      <c r="G44" s="508"/>
      <c r="H44" s="509"/>
      <c r="I44" s="509"/>
      <c r="J44" s="452"/>
      <c r="K44" s="810"/>
      <c r="L44" s="811"/>
      <c r="M44" s="811"/>
      <c r="N44" s="695"/>
      <c r="O44" s="508"/>
      <c r="P44" s="509"/>
      <c r="Q44" s="509"/>
      <c r="R44" s="452"/>
    </row>
    <row r="45" spans="1:18" ht="12" customHeight="1">
      <c r="A45" s="4"/>
      <c r="B45" s="4"/>
      <c r="C45" s="84"/>
      <c r="D45" s="4"/>
      <c r="E45" s="84"/>
      <c r="F45" s="4"/>
      <c r="G45" s="4"/>
      <c r="H45" s="4"/>
      <c r="I45" s="4"/>
      <c r="J45" s="7"/>
      <c r="K45" s="7"/>
      <c r="L45" s="7"/>
      <c r="M45" s="7"/>
      <c r="N45" s="7"/>
      <c r="O45" s="4"/>
      <c r="P45" s="4"/>
      <c r="Q45" s="4"/>
      <c r="R45" s="7"/>
    </row>
    <row r="46" spans="1:18" ht="11.25" customHeight="1" thickBot="1">
      <c r="A46" s="4"/>
      <c r="B46" s="4"/>
      <c r="C46" s="4"/>
      <c r="D46" s="4"/>
      <c r="E46" s="12"/>
      <c r="F46" s="4"/>
      <c r="G46" s="4"/>
      <c r="H46" s="4"/>
      <c r="I46" s="4"/>
      <c r="J46" s="7"/>
      <c r="K46" s="7"/>
      <c r="L46" s="7"/>
      <c r="M46" s="7"/>
      <c r="N46" s="7"/>
      <c r="O46" s="4"/>
      <c r="P46" s="4"/>
      <c r="Q46" s="4"/>
      <c r="R46" s="7"/>
    </row>
    <row r="47" spans="1:18" ht="18" customHeight="1" thickBot="1">
      <c r="A47" s="49" t="s">
        <v>33</v>
      </c>
      <c r="B47" s="4"/>
      <c r="C47" s="87">
        <f>SUM(C15:C43)</f>
        <v>403292</v>
      </c>
      <c r="D47" s="88">
        <f>SUM(D15:D43)</f>
        <v>897902</v>
      </c>
      <c r="E47" s="88">
        <f>SUM(E15:E43)</f>
        <v>757615</v>
      </c>
      <c r="F47" s="89">
        <f>E47/D47*100</f>
        <v>84.37613458929818</v>
      </c>
      <c r="G47" s="88">
        <f>SUM(G15:G43)</f>
        <v>0</v>
      </c>
      <c r="H47" s="88">
        <f>SUM(H15:H43)</f>
        <v>140048</v>
      </c>
      <c r="I47" s="88">
        <f>SUM(I15:I43)</f>
        <v>122006</v>
      </c>
      <c r="J47" s="803">
        <f>I47/H47*100</f>
        <v>87.11727407745916</v>
      </c>
      <c r="K47" s="820">
        <f>SUM(K14:K43)</f>
        <v>0</v>
      </c>
      <c r="L47" s="823">
        <f>SUM(L14:L43)</f>
        <v>6264</v>
      </c>
      <c r="M47" s="822">
        <f>SUM(M14:M43)</f>
        <v>6254</v>
      </c>
      <c r="N47" s="804">
        <f>M47/L47*100</f>
        <v>99.84035759897829</v>
      </c>
      <c r="O47" s="462">
        <f>SUM(O15:O43)</f>
        <v>0</v>
      </c>
      <c r="P47" s="88">
        <f>SUM(P15:P43)</f>
        <v>102547</v>
      </c>
      <c r="Q47" s="88">
        <f>SUM(Q15:Q43)</f>
        <v>97527</v>
      </c>
      <c r="R47" s="89">
        <f>Q47/P47*100</f>
        <v>95.10468370600798</v>
      </c>
    </row>
    <row r="48" spans="1:26" ht="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21"/>
      <c r="X48" s="621"/>
      <c r="Y48" s="621"/>
      <c r="Z48" s="17"/>
    </row>
    <row r="49" spans="8:17" s="6" customFormat="1" ht="15">
      <c r="H49" s="6">
        <f>140048-H47</f>
        <v>0</v>
      </c>
      <c r="P49" s="6">
        <v>102547</v>
      </c>
      <c r="Q49" s="6">
        <v>97527</v>
      </c>
    </row>
    <row r="52" ht="15">
      <c r="P52" s="100">
        <f>P47-P49</f>
        <v>0</v>
      </c>
    </row>
  </sheetData>
  <mergeCells count="10">
    <mergeCell ref="O12:R12"/>
    <mergeCell ref="G12:J12"/>
    <mergeCell ref="A2:R2"/>
    <mergeCell ref="A4:R4"/>
    <mergeCell ref="C9:F9"/>
    <mergeCell ref="O8:R8"/>
    <mergeCell ref="G9:J9"/>
    <mergeCell ref="G8:J8"/>
    <mergeCell ref="K8:N8"/>
    <mergeCell ref="K9:N9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AB53"/>
  <sheetViews>
    <sheetView showZeros="0" workbookViewId="0" topLeftCell="A4">
      <pane xSplit="2" ySplit="10" topLeftCell="I41" activePane="bottomRight" state="frozen"/>
      <selection pane="topLeft" activeCell="A4" sqref="A4"/>
      <selection pane="topRight" activeCell="C4" sqref="C4"/>
      <selection pane="bottomLeft" activeCell="A14" sqref="A14"/>
      <selection pane="bottomRight" activeCell="M46" sqref="M46"/>
    </sheetView>
  </sheetViews>
  <sheetFormatPr defaultColWidth="9.796875" defaultRowHeight="15"/>
  <cols>
    <col min="1" max="1" width="9.796875" style="2" customWidth="1"/>
    <col min="2" max="2" width="13.796875" style="2" customWidth="1"/>
    <col min="3" max="14" width="12.796875" style="2" customWidth="1"/>
    <col min="15" max="16384" width="9.796875" style="2" customWidth="1"/>
  </cols>
  <sheetData>
    <row r="1" spans="1:14" ht="17.25" customHeight="1">
      <c r="A1" s="16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7" ht="24" customHeight="1">
      <c r="A2" s="824" t="s">
        <v>324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58"/>
      <c r="P2" s="58"/>
      <c r="Q2" s="58"/>
    </row>
    <row r="3" spans="1:1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" customHeight="1">
      <c r="A4" s="10" t="s">
        <v>211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2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775" t="s">
        <v>214</v>
      </c>
    </row>
    <row r="6" spans="1:28" ht="22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775" t="s">
        <v>3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18" ht="18" customHeight="1">
      <c r="A7" s="18"/>
      <c r="B7" s="19"/>
      <c r="C7" s="892" t="s">
        <v>338</v>
      </c>
      <c r="D7" s="893"/>
      <c r="E7" s="893"/>
      <c r="F7" s="894"/>
      <c r="G7" s="19"/>
      <c r="H7" s="178"/>
      <c r="I7" s="19"/>
      <c r="J7" s="24"/>
      <c r="K7" s="18"/>
      <c r="L7" s="178"/>
      <c r="M7" s="19"/>
      <c r="N7" s="24"/>
      <c r="O7" s="341"/>
      <c r="P7" s="169"/>
      <c r="Q7" s="169"/>
      <c r="R7" s="169"/>
    </row>
    <row r="8" spans="1:18" ht="18" customHeight="1" thickBot="1">
      <c r="A8" s="25" t="s">
        <v>45</v>
      </c>
      <c r="B8" s="14"/>
      <c r="C8" s="895"/>
      <c r="D8" s="896"/>
      <c r="E8" s="896"/>
      <c r="F8" s="897"/>
      <c r="G8" s="278" t="s">
        <v>287</v>
      </c>
      <c r="H8" s="278"/>
      <c r="I8" s="296"/>
      <c r="J8" s="297"/>
      <c r="K8" s="295" t="s">
        <v>289</v>
      </c>
      <c r="L8" s="278"/>
      <c r="M8" s="296"/>
      <c r="N8" s="297"/>
      <c r="O8" s="169"/>
      <c r="P8" s="169"/>
      <c r="Q8" s="169"/>
      <c r="R8" s="169"/>
    </row>
    <row r="9" spans="1:18" ht="18" customHeight="1">
      <c r="A9" s="37"/>
      <c r="B9" s="38" t="s">
        <v>46</v>
      </c>
      <c r="C9" s="219" t="s">
        <v>0</v>
      </c>
      <c r="D9" s="220" t="s">
        <v>4</v>
      </c>
      <c r="E9" s="220" t="s">
        <v>5</v>
      </c>
      <c r="F9" s="238" t="s">
        <v>2</v>
      </c>
      <c r="G9" s="219" t="s">
        <v>0</v>
      </c>
      <c r="H9" s="220" t="s">
        <v>4</v>
      </c>
      <c r="I9" s="220" t="s">
        <v>5</v>
      </c>
      <c r="J9" s="238" t="s">
        <v>2</v>
      </c>
      <c r="K9" s="219" t="s">
        <v>0</v>
      </c>
      <c r="L9" s="220" t="s">
        <v>4</v>
      </c>
      <c r="M9" s="220" t="s">
        <v>5</v>
      </c>
      <c r="N9" s="238" t="s">
        <v>2</v>
      </c>
      <c r="O9" s="169"/>
      <c r="P9" s="169"/>
      <c r="Q9" s="169"/>
      <c r="R9" s="169"/>
    </row>
    <row r="10" spans="1:14" ht="18" customHeight="1" thickBot="1">
      <c r="A10" s="13"/>
      <c r="B10" s="42"/>
      <c r="C10" s="43" t="s">
        <v>1</v>
      </c>
      <c r="D10" s="44" t="s">
        <v>1</v>
      </c>
      <c r="E10" s="334" t="s">
        <v>316</v>
      </c>
      <c r="F10" s="46" t="s">
        <v>48</v>
      </c>
      <c r="G10" s="43" t="s">
        <v>1</v>
      </c>
      <c r="H10" s="44" t="s">
        <v>1</v>
      </c>
      <c r="I10" s="334" t="s">
        <v>316</v>
      </c>
      <c r="J10" s="46" t="s">
        <v>48</v>
      </c>
      <c r="K10" s="43" t="s">
        <v>1</v>
      </c>
      <c r="L10" s="44" t="s">
        <v>1</v>
      </c>
      <c r="M10" s="334" t="s">
        <v>316</v>
      </c>
      <c r="N10" s="46" t="s">
        <v>48</v>
      </c>
    </row>
    <row r="11" spans="1:14" ht="16.5" customHeight="1">
      <c r="A11" s="14"/>
      <c r="B11" s="38"/>
      <c r="C11" s="14"/>
      <c r="D11" s="14"/>
      <c r="E11" s="14"/>
      <c r="F11" s="14"/>
      <c r="G11" s="816" t="s">
        <v>227</v>
      </c>
      <c r="H11" s="816"/>
      <c r="I11" s="816"/>
      <c r="J11" s="816"/>
      <c r="K11" s="816" t="s">
        <v>215</v>
      </c>
      <c r="L11" s="816"/>
      <c r="M11" s="816"/>
      <c r="N11" s="816"/>
    </row>
    <row r="12" spans="1:14" ht="16.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6.5" customHeight="1">
      <c r="A13" s="65"/>
      <c r="B13" s="604"/>
      <c r="C13" s="618"/>
      <c r="D13" s="616"/>
      <c r="E13" s="616"/>
      <c r="F13" s="70"/>
      <c r="G13" s="413"/>
      <c r="H13" s="375"/>
      <c r="I13" s="375"/>
      <c r="J13" s="70"/>
      <c r="K13" s="413"/>
      <c r="L13" s="375"/>
      <c r="M13" s="375"/>
      <c r="N13" s="70"/>
    </row>
    <row r="14" spans="1:14" ht="16.5" customHeight="1">
      <c r="A14" s="72" t="s">
        <v>6</v>
      </c>
      <c r="B14" s="77"/>
      <c r="C14" s="74"/>
      <c r="D14" s="75"/>
      <c r="E14" s="75"/>
      <c r="F14" s="76"/>
      <c r="G14" s="74">
        <v>1173</v>
      </c>
      <c r="H14" s="75">
        <v>1118</v>
      </c>
      <c r="I14" s="75">
        <f>1117-1</f>
        <v>1116</v>
      </c>
      <c r="J14" s="76">
        <f>I14/H14*100</f>
        <v>99.82110912343471</v>
      </c>
      <c r="K14" s="439">
        <f>'Kapitálové výdaje3.2'!C15-'Kapitálové výdaje3.2'!G15-'Kapitálové výdaje3.2'!O15-'Kapitálové výdaje3.2a'!C14-'Kapitálové výdaje3.2a'!G14-'Kapitálové výdaje3.2'!K15</f>
        <v>83440</v>
      </c>
      <c r="L14" s="620">
        <f>'Kapitálové výdaje3.2'!D15-'Kapitálové výdaje3.2'!H15-'Kapitálové výdaje3.2'!P15-'Kapitálové výdaje3.2a'!D14-'Kapitálové výdaje3.2a'!H14-'Kapitálové výdaje3.2'!L15</f>
        <v>98819</v>
      </c>
      <c r="M14" s="620">
        <f>'Kapitálové výdaje3.2'!E15-'Kapitálové výdaje3.2'!I15-'Kapitálové výdaje3.2'!Q15-'Kapitálové výdaje3.2a'!E14-'Kapitálové výdaje3.2a'!I14-'Kapitálové výdaje3.2'!M15</f>
        <v>96683</v>
      </c>
      <c r="N14" s="482">
        <f aca="true" t="shared" si="0" ref="N14:N40">M14/L14*100</f>
        <v>97.83847235855453</v>
      </c>
    </row>
    <row r="15" spans="1:14" ht="16.5" customHeight="1">
      <c r="A15" s="72" t="s">
        <v>7</v>
      </c>
      <c r="B15" s="77"/>
      <c r="C15" s="74"/>
      <c r="D15" s="75">
        <f>40+4035</f>
        <v>4075</v>
      </c>
      <c r="E15" s="75">
        <f>35+4000+40</f>
        <v>4075</v>
      </c>
      <c r="F15" s="76">
        <f>E15/D15*100</f>
        <v>100</v>
      </c>
      <c r="G15" s="74"/>
      <c r="H15" s="75"/>
      <c r="I15" s="75"/>
      <c r="J15" s="76"/>
      <c r="K15" s="439">
        <f>'Kapitálové výdaje3.2'!C16-'Kapitálové výdaje3.2'!G16-'Kapitálové výdaje3.2'!O16-'Kapitálové výdaje3.2a'!C15-'Kapitálové výdaje3.2a'!G15-'Kapitálové výdaje3.2'!K16</f>
        <v>4358</v>
      </c>
      <c r="L15" s="620">
        <f>'Kapitálové výdaje3.2'!D16-'Kapitálové výdaje3.2'!H16-'Kapitálové výdaje3.2'!P16-'Kapitálové výdaje3.2a'!D15-'Kapitálové výdaje3.2a'!H15-'Kapitálové výdaje3.2'!L16</f>
        <v>7684</v>
      </c>
      <c r="M15" s="620">
        <f>'Kapitálové výdaje3.2'!E16-'Kapitálové výdaje3.2'!I16-'Kapitálové výdaje3.2'!Q16-'Kapitálové výdaje3.2a'!E15-'Kapitálové výdaje3.2a'!I15-'Kapitálové výdaje3.2'!M16</f>
        <v>6514</v>
      </c>
      <c r="N15" s="482">
        <f t="shared" si="0"/>
        <v>84.77355543987507</v>
      </c>
    </row>
    <row r="16" spans="1:14" ht="16.5" customHeight="1">
      <c r="A16" s="72" t="s">
        <v>8</v>
      </c>
      <c r="B16" s="77"/>
      <c r="C16" s="74"/>
      <c r="D16" s="75"/>
      <c r="E16" s="75"/>
      <c r="F16" s="76"/>
      <c r="G16" s="74"/>
      <c r="H16" s="75"/>
      <c r="I16" s="75"/>
      <c r="J16" s="76"/>
      <c r="K16" s="439">
        <f>'Kapitálové výdaje3.2'!C17-'Kapitálové výdaje3.2'!G17-'Kapitálové výdaje3.2'!O17-'Kapitálové výdaje3.2a'!C16-'Kapitálové výdaje3.2a'!G16-'Kapitálové výdaje3.2'!K17</f>
        <v>24023</v>
      </c>
      <c r="L16" s="620">
        <f>'Kapitálové výdaje3.2'!D17-'Kapitálové výdaje3.2'!H17-'Kapitálové výdaje3.2'!P17-'Kapitálové výdaje3.2a'!D16-'Kapitálové výdaje3.2a'!H16-'Kapitálové výdaje3.2'!L17</f>
        <v>25867</v>
      </c>
      <c r="M16" s="620">
        <f>'Kapitálové výdaje3.2'!E17-'Kapitálové výdaje3.2'!I17-'Kapitálové výdaje3.2'!Q17-'Kapitálové výdaje3.2a'!E16-'Kapitálové výdaje3.2a'!I16-'Kapitálové výdaje3.2'!M17</f>
        <v>10773</v>
      </c>
      <c r="N16" s="482">
        <f t="shared" si="0"/>
        <v>41.64765917964975</v>
      </c>
    </row>
    <row r="17" spans="1:14" ht="16.5" customHeight="1">
      <c r="A17" s="72" t="s">
        <v>9</v>
      </c>
      <c r="B17" s="77"/>
      <c r="C17" s="74"/>
      <c r="D17" s="75">
        <v>80</v>
      </c>
      <c r="E17" s="75">
        <v>80</v>
      </c>
      <c r="F17" s="76">
        <f>E17/D17*100</f>
        <v>100</v>
      </c>
      <c r="G17" s="74"/>
      <c r="H17" s="75"/>
      <c r="I17" s="75"/>
      <c r="J17" s="76"/>
      <c r="K17" s="439">
        <f>'Kapitálové výdaje3.2'!C18-'Kapitálové výdaje3.2'!G18-'Kapitálové výdaje3.2'!O18-'Kapitálové výdaje3.2a'!C17-'Kapitálové výdaje3.2a'!G17-'Kapitálové výdaje3.2'!K18</f>
        <v>1877</v>
      </c>
      <c r="L17" s="620">
        <f>'Kapitálové výdaje3.2'!D18-'Kapitálové výdaje3.2'!H18-'Kapitálové výdaje3.2'!P18-'Kapitálové výdaje3.2a'!D17-'Kapitálové výdaje3.2a'!H17-'Kapitálové výdaje3.2'!L18</f>
        <v>5179</v>
      </c>
      <c r="M17" s="620">
        <f>'Kapitálové výdaje3.2'!E18-'Kapitálové výdaje3.2'!I18-'Kapitálové výdaje3.2'!Q18-'Kapitálové výdaje3.2a'!E17-'Kapitálové výdaje3.2a'!I17-'Kapitálové výdaje3.2'!M18</f>
        <v>3604</v>
      </c>
      <c r="N17" s="482">
        <f t="shared" si="0"/>
        <v>69.5887236918324</v>
      </c>
    </row>
    <row r="18" spans="1:14" ht="16.5" customHeight="1">
      <c r="A18" s="72" t="s">
        <v>10</v>
      </c>
      <c r="B18" s="77"/>
      <c r="C18" s="74"/>
      <c r="D18" s="75"/>
      <c r="E18" s="75"/>
      <c r="F18" s="76"/>
      <c r="G18" s="74"/>
      <c r="H18" s="75">
        <v>65</v>
      </c>
      <c r="I18" s="75">
        <v>65</v>
      </c>
      <c r="J18" s="76">
        <f>I18/H18*100</f>
        <v>100</v>
      </c>
      <c r="K18" s="439">
        <f>'Kapitálové výdaje3.2'!C19-'Kapitálové výdaje3.2'!G19-'Kapitálové výdaje3.2'!O19-'Kapitálové výdaje3.2a'!C18-'Kapitálové výdaje3.2a'!G18-'Kapitálové výdaje3.2'!K19</f>
        <v>2071</v>
      </c>
      <c r="L18" s="620">
        <f>'Kapitálové výdaje3.2'!D19-'Kapitálové výdaje3.2'!H19-'Kapitálové výdaje3.2'!P19-'Kapitálové výdaje3.2a'!D18-'Kapitálové výdaje3.2a'!H18-'Kapitálové výdaje3.2'!L19</f>
        <v>4137</v>
      </c>
      <c r="M18" s="620">
        <f>'Kapitálové výdaje3.2'!E19-'Kapitálové výdaje3.2'!I19-'Kapitálové výdaje3.2'!Q19-'Kapitálové výdaje3.2a'!E18-'Kapitálové výdaje3.2a'!I18-'Kapitálové výdaje3.2'!M19</f>
        <v>3344</v>
      </c>
      <c r="N18" s="482">
        <f t="shared" si="0"/>
        <v>80.83152042542906</v>
      </c>
    </row>
    <row r="19" spans="1:14" ht="16.5" customHeight="1">
      <c r="A19" s="72" t="s">
        <v>11</v>
      </c>
      <c r="B19" s="77"/>
      <c r="C19" s="74"/>
      <c r="D19" s="75"/>
      <c r="E19" s="75"/>
      <c r="F19" s="76"/>
      <c r="G19" s="74"/>
      <c r="H19" s="75"/>
      <c r="I19" s="75"/>
      <c r="J19" s="76"/>
      <c r="K19" s="439">
        <f>'Kapitálové výdaje3.2'!C20-'Kapitálové výdaje3.2'!G20-'Kapitálové výdaje3.2'!O20-'Kapitálové výdaje3.2a'!C19-'Kapitálové výdaje3.2a'!G19-'Kapitálové výdaje3.2'!K20</f>
        <v>811</v>
      </c>
      <c r="L19" s="620">
        <f>'Kapitálové výdaje3.2'!D20-'Kapitálové výdaje3.2'!H20-'Kapitálové výdaje3.2'!P20-'Kapitálové výdaje3.2a'!D19-'Kapitálové výdaje3.2a'!H19-'Kapitálové výdaje3.2'!L20</f>
        <v>1404</v>
      </c>
      <c r="M19" s="620">
        <f>'Kapitálové výdaje3.2'!E20-'Kapitálové výdaje3.2'!I20-'Kapitálové výdaje3.2'!Q20-'Kapitálové výdaje3.2a'!E19-'Kapitálové výdaje3.2a'!I19-'Kapitálové výdaje3.2'!M20</f>
        <v>957</v>
      </c>
      <c r="N19" s="482">
        <f t="shared" si="0"/>
        <v>68.16239316239316</v>
      </c>
    </row>
    <row r="20" spans="1:14" ht="16.5" customHeight="1">
      <c r="A20" s="72" t="s">
        <v>242</v>
      </c>
      <c r="B20" s="77"/>
      <c r="C20" s="74"/>
      <c r="D20" s="75"/>
      <c r="E20" s="75"/>
      <c r="F20" s="76"/>
      <c r="G20" s="74"/>
      <c r="H20" s="75"/>
      <c r="I20" s="75"/>
      <c r="J20" s="76"/>
      <c r="K20" s="439">
        <f>'Kapitálové výdaje3.2'!C21-'Kapitálové výdaje3.2'!G21-'Kapitálové výdaje3.2'!O21-'Kapitálové výdaje3.2a'!C20-'Kapitálové výdaje3.2a'!G20-'Kapitálové výdaje3.2'!K21</f>
        <v>24495</v>
      </c>
      <c r="L20" s="620">
        <f>'Kapitálové výdaje3.2'!D21-'Kapitálové výdaje3.2'!H21-'Kapitálové výdaje3.2'!P21-'Kapitálové výdaje3.2a'!D20-'Kapitálové výdaje3.2a'!H20-'Kapitálové výdaje3.2'!L21</f>
        <v>35236</v>
      </c>
      <c r="M20" s="620">
        <f>'Kapitálové výdaje3.2'!E21-'Kapitálové výdaje3.2'!I21-'Kapitálové výdaje3.2'!Q21-'Kapitálové výdaje3.2a'!E20-'Kapitálové výdaje3.2a'!I20-'Kapitálové výdaje3.2'!M21</f>
        <v>30552</v>
      </c>
      <c r="N20" s="482">
        <f t="shared" si="0"/>
        <v>86.70677715972302</v>
      </c>
    </row>
    <row r="21" spans="1:14" ht="16.5" customHeight="1">
      <c r="A21" s="72" t="s">
        <v>13</v>
      </c>
      <c r="B21" s="77"/>
      <c r="C21" s="74"/>
      <c r="D21" s="75"/>
      <c r="E21" s="75"/>
      <c r="F21" s="76"/>
      <c r="G21" s="74"/>
      <c r="H21" s="75">
        <v>100</v>
      </c>
      <c r="I21" s="75">
        <v>100</v>
      </c>
      <c r="J21" s="76">
        <f>I21/H21*100</f>
        <v>100</v>
      </c>
      <c r="K21" s="439">
        <f>'Kapitálové výdaje3.2'!C22-'Kapitálové výdaje3.2'!G22-'Kapitálové výdaje3.2'!O22-'Kapitálové výdaje3.2a'!C21-'Kapitálové výdaje3.2a'!G21-'Kapitálové výdaje3.2'!K22</f>
        <v>33127</v>
      </c>
      <c r="L21" s="620">
        <f>'Kapitálové výdaje3.2'!D22-'Kapitálové výdaje3.2'!H22-'Kapitálové výdaje3.2'!P22-'Kapitálové výdaje3.2a'!D21-'Kapitálové výdaje3.2a'!H21-'Kapitálové výdaje3.2'!L22</f>
        <v>39849</v>
      </c>
      <c r="M21" s="620">
        <f>'Kapitálové výdaje3.2'!E22-'Kapitálové výdaje3.2'!I22-'Kapitálové výdaje3.2'!Q22-'Kapitálové výdaje3.2a'!E21-'Kapitálové výdaje3.2a'!I21-'Kapitálové výdaje3.2'!M22</f>
        <v>24954</v>
      </c>
      <c r="N21" s="482">
        <f t="shared" si="0"/>
        <v>62.62139576902808</v>
      </c>
    </row>
    <row r="22" spans="1:14" ht="16.5" customHeight="1">
      <c r="A22" s="72" t="s">
        <v>14</v>
      </c>
      <c r="B22" s="77"/>
      <c r="C22" s="74"/>
      <c r="D22" s="75"/>
      <c r="E22" s="75"/>
      <c r="F22" s="76"/>
      <c r="G22" s="74"/>
      <c r="H22" s="75"/>
      <c r="I22" s="75"/>
      <c r="J22" s="76"/>
      <c r="K22" s="439">
        <f>'Kapitálové výdaje3.2'!C23-'Kapitálové výdaje3.2'!G23-'Kapitálové výdaje3.2'!O23-'Kapitálové výdaje3.2a'!C22-'Kapitálové výdaje3.2a'!G22-'Kapitálové výdaje3.2'!K23</f>
        <v>3200</v>
      </c>
      <c r="L22" s="620">
        <f>'Kapitálové výdaje3.2'!D23-'Kapitálové výdaje3.2'!H23-'Kapitálové výdaje3.2'!P23-'Kapitálové výdaje3.2a'!D22-'Kapitálové výdaje3.2a'!H22-'Kapitálové výdaje3.2'!L23</f>
        <v>3200</v>
      </c>
      <c r="M22" s="620">
        <f>'Kapitálové výdaje3.2'!E23-'Kapitálové výdaje3.2'!I23-'Kapitálové výdaje3.2'!Q23-'Kapitálové výdaje3.2a'!E22-'Kapitálové výdaje3.2a'!I22-'Kapitálové výdaje3.2'!M23</f>
        <v>2395</v>
      </c>
      <c r="N22" s="482">
        <f t="shared" si="0"/>
        <v>74.84375</v>
      </c>
    </row>
    <row r="23" spans="1:14" ht="16.5" customHeight="1">
      <c r="A23" s="72" t="s">
        <v>15</v>
      </c>
      <c r="B23" s="77"/>
      <c r="C23" s="74"/>
      <c r="D23" s="75">
        <f>2000+3863</f>
        <v>5863</v>
      </c>
      <c r="E23" s="75">
        <f>2000+3863</f>
        <v>5863</v>
      </c>
      <c r="F23" s="76">
        <f aca="true" t="shared" si="1" ref="F23:F28">E23/D23*100</f>
        <v>100</v>
      </c>
      <c r="G23" s="74"/>
      <c r="H23" s="75">
        <v>30</v>
      </c>
      <c r="I23" s="75">
        <v>30</v>
      </c>
      <c r="J23" s="76">
        <f>I23/H23*100</f>
        <v>100</v>
      </c>
      <c r="K23" s="439">
        <f>'Kapitálové výdaje3.2'!C24-'Kapitálové výdaje3.2'!G24-'Kapitálové výdaje3.2'!O24-'Kapitálové výdaje3.2a'!C23-'Kapitálové výdaje3.2a'!G23-'Kapitálové výdaje3.2'!K24</f>
        <v>1585</v>
      </c>
      <c r="L23" s="620">
        <f>'Kapitálové výdaje3.2'!D24-'Kapitálové výdaje3.2'!H24-'Kapitálové výdaje3.2'!P24-'Kapitálové výdaje3.2a'!D23-'Kapitálové výdaje3.2a'!H23-'Kapitálové výdaje3.2'!L24</f>
        <v>2481</v>
      </c>
      <c r="M23" s="620">
        <f>'Kapitálové výdaje3.2'!E24-'Kapitálové výdaje3.2'!I24-'Kapitálové výdaje3.2'!Q24-'Kapitálové výdaje3.2a'!E23-'Kapitálové výdaje3.2a'!I23-'Kapitálové výdaje3.2'!M24</f>
        <v>2279</v>
      </c>
      <c r="N23" s="482">
        <f t="shared" si="0"/>
        <v>91.85812172511085</v>
      </c>
    </row>
    <row r="24" spans="1:14" ht="16.5" customHeight="1">
      <c r="A24" s="72" t="s">
        <v>16</v>
      </c>
      <c r="B24" s="77"/>
      <c r="C24" s="74"/>
      <c r="D24" s="75">
        <f>14969</f>
        <v>14969</v>
      </c>
      <c r="E24" s="75">
        <f>14969</f>
        <v>14969</v>
      </c>
      <c r="F24" s="76">
        <f t="shared" si="1"/>
        <v>100</v>
      </c>
      <c r="G24" s="74"/>
      <c r="H24" s="75"/>
      <c r="I24" s="75"/>
      <c r="J24" s="76"/>
      <c r="K24" s="439">
        <f>'Kapitálové výdaje3.2'!C25-'Kapitálové výdaje3.2'!G25-'Kapitálové výdaje3.2'!O25-'Kapitálové výdaje3.2a'!C24-'Kapitálové výdaje3.2a'!G24-'Kapitálové výdaje3.2'!K25</f>
        <v>992</v>
      </c>
      <c r="L24" s="620">
        <f>'Kapitálové výdaje3.2'!D25-'Kapitálové výdaje3.2'!H25-'Kapitálové výdaje3.2'!P25-'Kapitálové výdaje3.2a'!D24-'Kapitálové výdaje3.2a'!H24-'Kapitálové výdaje3.2'!L25</f>
        <v>1189</v>
      </c>
      <c r="M24" s="620">
        <f>'Kapitálové výdaje3.2'!E25-'Kapitálové výdaje3.2'!I25-'Kapitálové výdaje3.2'!Q25-'Kapitálové výdaje3.2a'!E24-'Kapitálové výdaje3.2a'!I24-'Kapitálové výdaje3.2'!M25</f>
        <v>1065</v>
      </c>
      <c r="N24" s="482">
        <f t="shared" si="0"/>
        <v>89.57106812447435</v>
      </c>
    </row>
    <row r="25" spans="1:14" ht="16.5" customHeight="1">
      <c r="A25" s="72" t="s">
        <v>244</v>
      </c>
      <c r="B25" s="77"/>
      <c r="C25" s="74"/>
      <c r="D25" s="75">
        <v>700</v>
      </c>
      <c r="E25" s="75">
        <v>700</v>
      </c>
      <c r="F25" s="76">
        <f t="shared" si="1"/>
        <v>100</v>
      </c>
      <c r="G25" s="74"/>
      <c r="H25" s="75"/>
      <c r="I25" s="75"/>
      <c r="J25" s="76"/>
      <c r="K25" s="439">
        <f>'Kapitálové výdaje3.2'!C26-'Kapitálové výdaje3.2'!G26-'Kapitálové výdaje3.2'!O26-'Kapitálové výdaje3.2a'!C25-'Kapitálové výdaje3.2a'!G25-'Kapitálové výdaje3.2'!K26</f>
        <v>714</v>
      </c>
      <c r="L25" s="620">
        <f>'Kapitálové výdaje3.2'!D26-'Kapitálové výdaje3.2'!H26-'Kapitálové výdaje3.2'!P26-'Kapitálové výdaje3.2a'!D25-'Kapitálové výdaje3.2a'!H25-'Kapitálové výdaje3.2'!L26</f>
        <v>2388</v>
      </c>
      <c r="M25" s="620">
        <f>'Kapitálové výdaje3.2'!E26-'Kapitálové výdaje3.2'!I26-'Kapitálové výdaje3.2'!Q26-'Kapitálové výdaje3.2a'!E25-'Kapitálové výdaje3.2a'!I25-'Kapitálové výdaje3.2'!M26</f>
        <v>2130</v>
      </c>
      <c r="N25" s="482">
        <f t="shared" si="0"/>
        <v>89.19597989949749</v>
      </c>
    </row>
    <row r="26" spans="1:14" ht="16.5" customHeight="1">
      <c r="A26" s="72" t="s">
        <v>18</v>
      </c>
      <c r="B26" s="77"/>
      <c r="C26" s="74"/>
      <c r="D26" s="75">
        <v>150</v>
      </c>
      <c r="E26" s="75">
        <v>150</v>
      </c>
      <c r="F26" s="76">
        <f t="shared" si="1"/>
        <v>100</v>
      </c>
      <c r="G26" s="542"/>
      <c r="H26" s="543">
        <v>39</v>
      </c>
      <c r="I26" s="543">
        <v>39</v>
      </c>
      <c r="J26" s="544">
        <f>I26/H26*100</f>
        <v>100</v>
      </c>
      <c r="K26" s="439">
        <f>'Kapitálové výdaje3.2'!C27-'Kapitálové výdaje3.2'!G27-'Kapitálové výdaje3.2'!O27-'Kapitálové výdaje3.2a'!C26-'Kapitálové výdaje3.2a'!G26-'Kapitálové výdaje3.2'!K27</f>
        <v>12841</v>
      </c>
      <c r="L26" s="620">
        <f>'Kapitálové výdaje3.2'!D27-'Kapitálové výdaje3.2'!H27-'Kapitálové výdaje3.2'!P27-'Kapitálové výdaje3.2a'!D26-'Kapitálové výdaje3.2a'!H26-'Kapitálové výdaje3.2'!L27</f>
        <v>65572</v>
      </c>
      <c r="M26" s="620">
        <f>'Kapitálové výdaje3.2'!E27-'Kapitálové výdaje3.2'!I27-'Kapitálové výdaje3.2'!Q27-'Kapitálové výdaje3.2a'!E26-'Kapitálové výdaje3.2a'!I26-'Kapitálové výdaje3.2'!M27</f>
        <v>25635</v>
      </c>
      <c r="N26" s="482">
        <f t="shared" si="0"/>
        <v>39.09443054962484</v>
      </c>
    </row>
    <row r="27" spans="1:14" ht="16.5" customHeight="1">
      <c r="A27" s="72" t="s">
        <v>58</v>
      </c>
      <c r="B27" s="77"/>
      <c r="C27" s="74"/>
      <c r="D27" s="75">
        <f>100+539</f>
        <v>639</v>
      </c>
      <c r="E27" s="75">
        <v>639</v>
      </c>
      <c r="F27" s="76">
        <f t="shared" si="1"/>
        <v>100</v>
      </c>
      <c r="G27" s="444"/>
      <c r="H27" s="445"/>
      <c r="I27" s="445"/>
      <c r="J27" s="480"/>
      <c r="K27" s="439">
        <f>'Kapitálové výdaje3.2'!C28-'Kapitálové výdaje3.2'!G28-'Kapitálové výdaje3.2'!O28-'Kapitálové výdaje3.2a'!C27-'Kapitálové výdaje3.2a'!G27-'Kapitálové výdaje3.2'!K28</f>
        <v>2300</v>
      </c>
      <c r="L27" s="620">
        <f>'Kapitálové výdaje3.2'!D28-'Kapitálové výdaje3.2'!H28-'Kapitálové výdaje3.2'!P28-'Kapitálové výdaje3.2a'!D27-'Kapitálové výdaje3.2a'!H27-'Kapitálové výdaje3.2'!L28</f>
        <v>3482</v>
      </c>
      <c r="M27" s="620">
        <f>'Kapitálové výdaje3.2'!E28-'Kapitálové výdaje3.2'!I28-'Kapitálové výdaje3.2'!Q28-'Kapitálové výdaje3.2a'!E27-'Kapitálové výdaje3.2a'!I27-'Kapitálové výdaje3.2'!M28</f>
        <v>1648</v>
      </c>
      <c r="N27" s="482">
        <f t="shared" si="0"/>
        <v>47.329121194715675</v>
      </c>
    </row>
    <row r="28" spans="1:14" ht="16.5" customHeight="1">
      <c r="A28" s="72" t="s">
        <v>19</v>
      </c>
      <c r="B28" s="77"/>
      <c r="C28" s="74"/>
      <c r="D28" s="75">
        <v>161</v>
      </c>
      <c r="E28" s="75">
        <v>161</v>
      </c>
      <c r="F28" s="76">
        <f t="shared" si="1"/>
        <v>100</v>
      </c>
      <c r="G28" s="74"/>
      <c r="H28" s="75"/>
      <c r="I28" s="75"/>
      <c r="J28" s="76"/>
      <c r="K28" s="439">
        <f>'Kapitálové výdaje3.2'!C29-'Kapitálové výdaje3.2'!G29-'Kapitálové výdaje3.2'!O29-'Kapitálové výdaje3.2a'!C28-'Kapitálové výdaje3.2a'!G28-'Kapitálové výdaje3.2'!K29</f>
        <v>13116</v>
      </c>
      <c r="L28" s="620">
        <f>'Kapitálové výdaje3.2'!D29-'Kapitálové výdaje3.2'!H29-'Kapitálové výdaje3.2'!P29-'Kapitálové výdaje3.2a'!D28-'Kapitálové výdaje3.2a'!H28-'Kapitálové výdaje3.2'!L29</f>
        <v>33430</v>
      </c>
      <c r="M28" s="620">
        <f>'Kapitálové výdaje3.2'!E29-'Kapitálové výdaje3.2'!I29-'Kapitálové výdaje3.2'!Q29-'Kapitálové výdaje3.2a'!E28-'Kapitálové výdaje3.2a'!I28-'Kapitálové výdaje3.2'!M29</f>
        <v>32159</v>
      </c>
      <c r="N28" s="482">
        <f t="shared" si="0"/>
        <v>96.19802572539635</v>
      </c>
    </row>
    <row r="29" spans="1:14" ht="16.5" customHeight="1">
      <c r="A29" s="72" t="s">
        <v>20</v>
      </c>
      <c r="B29" s="77"/>
      <c r="C29" s="74"/>
      <c r="D29" s="75"/>
      <c r="E29" s="75"/>
      <c r="F29" s="76"/>
      <c r="G29" s="74"/>
      <c r="H29" s="75"/>
      <c r="I29" s="75"/>
      <c r="J29" s="76"/>
      <c r="K29" s="439">
        <f>'Kapitálové výdaje3.2'!C30-'Kapitálové výdaje3.2'!G30-'Kapitálové výdaje3.2'!O30-'Kapitálové výdaje3.2a'!C29-'Kapitálové výdaje3.2a'!G29-'Kapitálové výdaje3.2'!K30</f>
        <v>3600</v>
      </c>
      <c r="L29" s="620">
        <f>'Kapitálové výdaje3.2'!D30-'Kapitálové výdaje3.2'!H30-'Kapitálové výdaje3.2'!P30-'Kapitálové výdaje3.2a'!D29-'Kapitálové výdaje3.2a'!H29-'Kapitálové výdaje3.2'!L30</f>
        <v>6674</v>
      </c>
      <c r="M29" s="620">
        <f>'Kapitálové výdaje3.2'!E30-'Kapitálové výdaje3.2'!I30-'Kapitálové výdaje3.2'!Q30-'Kapitálové výdaje3.2a'!E29-'Kapitálové výdaje3.2a'!I29-'Kapitálové výdaje3.2'!M30</f>
        <v>5559</v>
      </c>
      <c r="N29" s="482">
        <f t="shared" si="0"/>
        <v>83.29337728498652</v>
      </c>
    </row>
    <row r="30" spans="1:14" ht="16.5" customHeight="1">
      <c r="A30" s="72" t="s">
        <v>21</v>
      </c>
      <c r="B30" s="77"/>
      <c r="C30" s="74"/>
      <c r="D30" s="75"/>
      <c r="E30" s="75"/>
      <c r="F30" s="76"/>
      <c r="G30" s="74"/>
      <c r="H30" s="75">
        <v>80</v>
      </c>
      <c r="I30" s="75">
        <v>80</v>
      </c>
      <c r="J30" s="544">
        <f>I30/H30*100</f>
        <v>100</v>
      </c>
      <c r="K30" s="439">
        <f>'Kapitálové výdaje3.2'!C31-'Kapitálové výdaje3.2'!G31-'Kapitálové výdaje3.2'!O31-'Kapitálové výdaje3.2a'!C30-'Kapitálové výdaje3.2a'!G30-'Kapitálové výdaje3.2'!K31</f>
        <v>8130</v>
      </c>
      <c r="L30" s="620">
        <f>'Kapitálové výdaje3.2'!D31-'Kapitálové výdaje3.2'!H31-'Kapitálové výdaje3.2'!P31-'Kapitálové výdaje3.2a'!D30-'Kapitálové výdaje3.2a'!H30-'Kapitálové výdaje3.2'!L31</f>
        <v>13775</v>
      </c>
      <c r="M30" s="620">
        <f>'Kapitálové výdaje3.2'!E31-'Kapitálové výdaje3.2'!I31-'Kapitálové výdaje3.2'!Q31-'Kapitálové výdaje3.2a'!E30-'Kapitálové výdaje3.2a'!I30-'Kapitálové výdaje3.2'!M31</f>
        <v>9147</v>
      </c>
      <c r="N30" s="482">
        <f t="shared" si="0"/>
        <v>66.40290381125227</v>
      </c>
    </row>
    <row r="31" spans="1:14" ht="16.5" customHeight="1">
      <c r="A31" s="72" t="s">
        <v>22</v>
      </c>
      <c r="B31" s="77"/>
      <c r="C31" s="74"/>
      <c r="D31" s="75">
        <f>815+5000</f>
        <v>5815</v>
      </c>
      <c r="E31" s="75">
        <v>5815</v>
      </c>
      <c r="F31" s="76">
        <f>E31/D31*100</f>
        <v>100</v>
      </c>
      <c r="G31" s="74"/>
      <c r="H31" s="75"/>
      <c r="I31" s="75"/>
      <c r="J31" s="76"/>
      <c r="K31" s="439">
        <f>'Kapitálové výdaje3.2'!C32-'Kapitálové výdaje3.2'!G32-'Kapitálové výdaje3.2'!O32-'Kapitálové výdaje3.2a'!C31-'Kapitálové výdaje3.2a'!G31-'Kapitálové výdaje3.2'!K32</f>
        <v>64950</v>
      </c>
      <c r="L31" s="620">
        <f>'Kapitálové výdaje3.2'!D32-'Kapitálové výdaje3.2'!H32-'Kapitálové výdaje3.2'!P32-'Kapitálové výdaje3.2a'!D31-'Kapitálové výdaje3.2a'!H31-'Kapitálové výdaje3.2'!L32</f>
        <v>74464</v>
      </c>
      <c r="M31" s="620">
        <f>'Kapitálové výdaje3.2'!E32-'Kapitálové výdaje3.2'!I32-'Kapitálové výdaje3.2'!Q32-'Kapitálové výdaje3.2a'!E31-'Kapitálové výdaje3.2a'!I31-'Kapitálové výdaje3.2'!M32</f>
        <v>70849</v>
      </c>
      <c r="N31" s="482">
        <f t="shared" si="0"/>
        <v>95.14530511388053</v>
      </c>
    </row>
    <row r="32" spans="1:14" ht="16.5" customHeight="1">
      <c r="A32" s="72" t="s">
        <v>23</v>
      </c>
      <c r="B32" s="77"/>
      <c r="C32" s="74"/>
      <c r="E32" s="615"/>
      <c r="F32" s="76"/>
      <c r="G32" s="74"/>
      <c r="H32" s="75">
        <v>177</v>
      </c>
      <c r="I32" s="75">
        <v>177</v>
      </c>
      <c r="J32" s="544">
        <f>I32/H32*100</f>
        <v>100</v>
      </c>
      <c r="K32" s="439">
        <f>'Kapitálové výdaje3.2'!C33-'Kapitálové výdaje3.2'!G33-'Kapitálové výdaje3.2'!O33-'Kapitálové výdaje3.2a'!C32-'Kapitálové výdaje3.2a'!G32-'Kapitálové výdaje3.2'!K33</f>
        <v>17766</v>
      </c>
      <c r="L32" s="620">
        <f>'Kapitálové výdaje3.2'!D33-'Kapitálové výdaje3.2'!H33-'Kapitálové výdaje3.2'!P33-'Kapitálové výdaje3.2a'!D32-'Kapitálové výdaje3.2a'!H32-'Kapitálové výdaje3.2'!L33</f>
        <v>24411</v>
      </c>
      <c r="M32" s="620">
        <f>'Kapitálové výdaje3.2'!E33-'Kapitálové výdaje3.2'!I33-'Kapitálové výdaje3.2'!Q33-'Kapitálové výdaje3.2a'!E32-'Kapitálové výdaje3.2a'!I32-'Kapitálové výdaje3.2'!M33</f>
        <v>20511</v>
      </c>
      <c r="N32" s="482">
        <f t="shared" si="0"/>
        <v>84.02359591987218</v>
      </c>
    </row>
    <row r="33" spans="1:14" ht="16.5" customHeight="1">
      <c r="A33" s="72" t="s">
        <v>24</v>
      </c>
      <c r="B33" s="77"/>
      <c r="C33" s="74"/>
      <c r="D33" s="75"/>
      <c r="E33" s="75"/>
      <c r="F33" s="76"/>
      <c r="G33" s="74"/>
      <c r="H33" s="75"/>
      <c r="I33" s="75"/>
      <c r="J33" s="76"/>
      <c r="K33" s="439">
        <f>'Kapitálové výdaje3.2'!C34-'Kapitálové výdaje3.2'!G34-'Kapitálové výdaje3.2'!O34-'Kapitálové výdaje3.2a'!C33-'Kapitálové výdaje3.2a'!G33-'Kapitálové výdaje3.2'!K34</f>
        <v>1404</v>
      </c>
      <c r="L33" s="620">
        <f>'Kapitálové výdaje3.2'!D34-'Kapitálové výdaje3.2'!H34-'Kapitálové výdaje3.2'!P34-'Kapitálové výdaje3.2a'!D33-'Kapitálové výdaje3.2a'!H33-'Kapitálové výdaje3.2'!L34</f>
        <v>48204</v>
      </c>
      <c r="M33" s="620">
        <f>'Kapitálové výdaje3.2'!E34-'Kapitálové výdaje3.2'!I34-'Kapitálové výdaje3.2'!Q34-'Kapitálové výdaje3.2a'!E33-'Kapitálové výdaje3.2a'!I33-'Kapitálové výdaje3.2'!M34</f>
        <v>47955</v>
      </c>
      <c r="N33" s="482">
        <f t="shared" si="0"/>
        <v>99.48344535723177</v>
      </c>
    </row>
    <row r="34" spans="1:14" ht="16.5" customHeight="1">
      <c r="A34" s="72" t="s">
        <v>25</v>
      </c>
      <c r="B34" s="77"/>
      <c r="C34" s="74"/>
      <c r="D34" s="75"/>
      <c r="E34" s="75"/>
      <c r="F34" s="76"/>
      <c r="G34" s="74"/>
      <c r="H34" s="75"/>
      <c r="I34" s="75"/>
      <c r="J34" s="76"/>
      <c r="K34" s="439">
        <f>'Kapitálové výdaje3.2'!C35-'Kapitálové výdaje3.2'!G35-'Kapitálové výdaje3.2'!O35-'Kapitálové výdaje3.2a'!C34-'Kapitálové výdaje3.2a'!G34-'Kapitálové výdaje3.2'!K35</f>
        <v>1871</v>
      </c>
      <c r="L34" s="620">
        <f>'Kapitálové výdaje3.2'!D35-'Kapitálové výdaje3.2'!H35-'Kapitálové výdaje3.2'!P35-'Kapitálové výdaje3.2a'!D34-'Kapitálové výdaje3.2a'!H34-'Kapitálové výdaje3.2'!L35</f>
        <v>7988</v>
      </c>
      <c r="M34" s="620">
        <f>'Kapitálové výdaje3.2'!E35-'Kapitálové výdaje3.2'!I35-'Kapitálové výdaje3.2'!Q35-'Kapitálové výdaje3.2a'!E34-'Kapitálové výdaje3.2a'!I34-'Kapitálové výdaje3.2'!M35</f>
        <v>5058</v>
      </c>
      <c r="N34" s="482">
        <f t="shared" si="0"/>
        <v>63.31997996995493</v>
      </c>
    </row>
    <row r="35" spans="1:14" ht="16.5" customHeight="1">
      <c r="A35" s="72" t="s">
        <v>26</v>
      </c>
      <c r="B35" s="77"/>
      <c r="C35" s="74"/>
      <c r="D35" s="75">
        <f>50+2000</f>
        <v>2050</v>
      </c>
      <c r="E35" s="75">
        <v>50</v>
      </c>
      <c r="F35" s="76">
        <f>E35/D35*100</f>
        <v>2.4390243902439024</v>
      </c>
      <c r="G35" s="74"/>
      <c r="H35" s="75"/>
      <c r="I35" s="75"/>
      <c r="J35" s="76"/>
      <c r="K35" s="439">
        <f>'Kapitálové výdaje3.2'!C36-'Kapitálové výdaje3.2'!G36-'Kapitálové výdaje3.2'!O36-'Kapitálové výdaje3.2a'!C35-'Kapitálové výdaje3.2a'!G35-'Kapitálové výdaje3.2'!K36</f>
        <v>290</v>
      </c>
      <c r="L35" s="620">
        <f>'Kapitálové výdaje3.2'!D36-'Kapitálové výdaje3.2'!H36-'Kapitálové výdaje3.2'!P36-'Kapitálové výdaje3.2a'!D35-'Kapitálové výdaje3.2a'!H35-'Kapitálové výdaje3.2'!L36</f>
        <v>1966</v>
      </c>
      <c r="M35" s="620">
        <f>'Kapitálové výdaje3.2'!E36-'Kapitálové výdaje3.2'!I36-'Kapitálové výdaje3.2'!Q36-'Kapitálové výdaje3.2a'!E35-'Kapitálové výdaje3.2a'!I35-'Kapitálové výdaje3.2'!M36</f>
        <v>1421</v>
      </c>
      <c r="N35" s="482">
        <f t="shared" si="0"/>
        <v>72.27873855544253</v>
      </c>
    </row>
    <row r="36" spans="1:14" ht="16.5" customHeight="1">
      <c r="A36" s="72" t="s">
        <v>27</v>
      </c>
      <c r="B36" s="77"/>
      <c r="C36" s="74"/>
      <c r="D36" s="75"/>
      <c r="E36" s="75"/>
      <c r="F36" s="76"/>
      <c r="G36" s="74"/>
      <c r="H36" s="75">
        <v>19</v>
      </c>
      <c r="I36" s="75">
        <v>19</v>
      </c>
      <c r="J36" s="544">
        <f>I36/H36*100</f>
        <v>100</v>
      </c>
      <c r="K36" s="439">
        <f>'Kapitálové výdaje3.2'!C37-'Kapitálové výdaje3.2'!G37-'Kapitálové výdaje3.2'!O37-'Kapitálové výdaje3.2a'!C36-'Kapitálové výdaje3.2a'!G36-'Kapitálové výdaje3.2'!K37</f>
        <v>70948</v>
      </c>
      <c r="L36" s="620">
        <f>'Kapitálové výdaje3.2'!D37-'Kapitálové výdaje3.2'!H37-'Kapitálové výdaje3.2'!P37-'Kapitálové výdaje3.2a'!D36-'Kapitálové výdaje3.2a'!H36-'Kapitálové výdaje3.2'!L37</f>
        <v>80572</v>
      </c>
      <c r="M36" s="620">
        <f>'Kapitálové výdaje3.2'!E37-'Kapitálové výdaje3.2'!I37-'Kapitálové výdaje3.2'!Q37-'Kapitálové výdaje3.2a'!E36-'Kapitálové výdaje3.2a'!I36-'Kapitálové výdaje3.2'!M37</f>
        <v>77849</v>
      </c>
      <c r="N36" s="482">
        <f t="shared" si="0"/>
        <v>96.62041403961675</v>
      </c>
    </row>
    <row r="37" spans="1:14" ht="16.5" customHeight="1">
      <c r="A37" s="72" t="s">
        <v>28</v>
      </c>
      <c r="B37" s="77"/>
      <c r="C37" s="74"/>
      <c r="D37" s="75"/>
      <c r="E37" s="75"/>
      <c r="F37" s="76"/>
      <c r="G37" s="74"/>
      <c r="H37" s="75"/>
      <c r="I37" s="75"/>
      <c r="J37" s="76"/>
      <c r="K37" s="439">
        <f>'Kapitálové výdaje3.2'!C38-'Kapitálové výdaje3.2'!G38-'Kapitálové výdaje3.2'!O38-'Kapitálové výdaje3.2a'!C37-'Kapitálové výdaje3.2a'!G37-'Kapitálové výdaje3.2'!K38</f>
        <v>0</v>
      </c>
      <c r="L37" s="620">
        <f>'Kapitálové výdaje3.2'!D38-'Kapitálové výdaje3.2'!H38-'Kapitálové výdaje3.2'!P38-'Kapitálové výdaje3.2a'!D37-'Kapitálové výdaje3.2a'!H37-'Kapitálové výdaje3.2'!L38</f>
        <v>193</v>
      </c>
      <c r="M37" s="620">
        <f>'Kapitálové výdaje3.2'!E38-'Kapitálové výdaje3.2'!I38-'Kapitálové výdaje3.2'!Q38-'Kapitálové výdaje3.2a'!E37-'Kapitálové výdaje3.2a'!I37-'Kapitálové výdaje3.2'!M38</f>
        <v>328</v>
      </c>
      <c r="N37" s="482">
        <f t="shared" si="0"/>
        <v>169.94818652849742</v>
      </c>
    </row>
    <row r="38" spans="1:14" ht="16.5" customHeight="1">
      <c r="A38" s="72" t="s">
        <v>325</v>
      </c>
      <c r="B38" s="77"/>
      <c r="C38" s="74"/>
      <c r="D38" s="75"/>
      <c r="E38" s="75"/>
      <c r="F38" s="76"/>
      <c r="G38" s="74"/>
      <c r="H38" s="75"/>
      <c r="I38" s="75"/>
      <c r="J38" s="76"/>
      <c r="K38" s="439">
        <f>'Kapitálové výdaje3.2'!C39-'Kapitálové výdaje3.2'!G39-'Kapitálové výdaje3.2'!O39-'Kapitálové výdaje3.2a'!C38-'Kapitálové výdaje3.2a'!G38-'Kapitálové výdaje3.2'!K39</f>
        <v>23910</v>
      </c>
      <c r="L38" s="620">
        <f>'Kapitálové výdaje3.2'!D39-'Kapitálové výdaje3.2'!H39-'Kapitálové výdaje3.2'!P39-'Kapitálové výdaje3.2a'!D38-'Kapitálové výdaje3.2a'!H38-'Kapitálové výdaje3.2'!L39</f>
        <v>22843</v>
      </c>
      <c r="M38" s="620">
        <f>'Kapitálové výdaje3.2'!E39-'Kapitálové výdaje3.2'!I39-'Kapitálové výdaje3.2'!Q39-'Kapitálové výdaje3.2a'!E38-'Kapitálové výdaje3.2a'!I38-'Kapitálové výdaje3.2'!M39</f>
        <v>12599</v>
      </c>
      <c r="N38" s="482">
        <f>M38/L38*100</f>
        <v>55.15475200280173</v>
      </c>
    </row>
    <row r="39" spans="1:14" ht="16.5" customHeight="1">
      <c r="A39" s="72" t="s">
        <v>29</v>
      </c>
      <c r="B39" s="77"/>
      <c r="C39" s="74"/>
      <c r="D39" s="75"/>
      <c r="E39" s="75"/>
      <c r="F39" s="76"/>
      <c r="G39" s="74"/>
      <c r="H39" s="75"/>
      <c r="I39" s="75"/>
      <c r="J39" s="76"/>
      <c r="K39" s="439">
        <f>'Kapitálové výdaje3.2'!C40-'Kapitálové výdaje3.2'!G40-'Kapitálové výdaje3.2'!O40-'Kapitálové výdaje3.2a'!C39-'Kapitálové výdaje3.2a'!G39-'Kapitálové výdaje3.2'!K40</f>
        <v>0</v>
      </c>
      <c r="L39" s="620">
        <f>'Kapitálové výdaje3.2'!D40-'Kapitálové výdaje3.2'!H40-'Kapitálové výdaje3.2'!P40-'Kapitálové výdaje3.2a'!D39-'Kapitálové výdaje3.2a'!H39-'Kapitálové výdaje3.2'!L40</f>
        <v>100</v>
      </c>
      <c r="M39" s="620">
        <f>'Kapitálové výdaje3.2'!E40-'Kapitálové výdaje3.2'!I40-'Kapitálové výdaje3.2'!Q40-'Kapitálové výdaje3.2a'!E39-'Kapitálové výdaje3.2a'!I39-'Kapitálové výdaje3.2'!M40</f>
        <v>0</v>
      </c>
      <c r="N39" s="482">
        <f t="shared" si="0"/>
        <v>0</v>
      </c>
    </row>
    <row r="40" spans="1:14" ht="16.5" customHeight="1">
      <c r="A40" s="72" t="s">
        <v>30</v>
      </c>
      <c r="B40" s="73"/>
      <c r="C40" s="74"/>
      <c r="D40" s="75"/>
      <c r="E40" s="75"/>
      <c r="F40" s="76"/>
      <c r="G40" s="74"/>
      <c r="H40" s="75"/>
      <c r="I40" s="75"/>
      <c r="J40" s="76"/>
      <c r="K40" s="439">
        <f>'Kapitálové výdaje3.2'!C41-'Kapitálové výdaje3.2'!G41-'Kapitálové výdaje3.2'!O41-'Kapitálové výdaje3.2a'!C40-'Kapitálové výdaje3.2a'!G40-'Kapitálové výdaje3.2'!K41</f>
        <v>100</v>
      </c>
      <c r="L40" s="620">
        <f>'Kapitálové výdaje3.2'!D41-'Kapitálové výdaje3.2'!H41-'Kapitálové výdaje3.2'!P41-'Kapitálové výdaje3.2a'!D40-'Kapitálové výdaje3.2a'!H40-'Kapitálové výdaje3.2'!L41</f>
        <v>493</v>
      </c>
      <c r="M40" s="620">
        <f>'Kapitálové výdaje3.2'!E41-'Kapitálové výdaje3.2'!I41-'Kapitálové výdaje3.2'!Q41-'Kapitálové výdaje3.2a'!E40-'Kapitálové výdaje3.2a'!I40-'Kapitálové výdaje3.2'!M41</f>
        <v>486</v>
      </c>
      <c r="N40" s="482">
        <f t="shared" si="0"/>
        <v>98.58012170385395</v>
      </c>
    </row>
    <row r="41" spans="1:14" ht="16.5" customHeight="1">
      <c r="A41" s="72" t="s">
        <v>31</v>
      </c>
      <c r="B41" s="73"/>
      <c r="C41" s="74"/>
      <c r="D41" s="75"/>
      <c r="E41" s="75"/>
      <c r="F41" s="76"/>
      <c r="G41" s="389"/>
      <c r="H41" s="75"/>
      <c r="I41" s="500"/>
      <c r="J41" s="76"/>
      <c r="K41" s="439">
        <f>'Kapitálové výdaje3.2'!C42-'Kapitálové výdaje3.2'!G42-'Kapitálové výdaje3.2'!O42-'Kapitálové výdaje3.2a'!C41-'Kapitálové výdaje3.2a'!G41-'Kapitálové výdaje3.2'!K42</f>
        <v>200</v>
      </c>
      <c r="L41" s="620">
        <f>'Kapitálové výdaje3.2'!D42-'Kapitálové výdaje3.2'!H42-'Kapitálové výdaje3.2'!P42-'Kapitálové výdaje3.2a'!D41-'Kapitálové výdaje3.2a'!H41-'Kapitálové výdaje3.2'!L42</f>
        <v>661</v>
      </c>
      <c r="M41" s="620">
        <f>'Kapitálové výdaje3.2'!E42-'Kapitálové výdaje3.2'!I42-'Kapitálové výdaje3.2'!Q42-'Kapitálové výdaje3.2a'!E41-'Kapitálové výdaje3.2a'!I41-'Kapitálové výdaje3.2'!M42</f>
        <v>595</v>
      </c>
      <c r="N41" s="482">
        <f>M41/L41*100</f>
        <v>90.01512859304086</v>
      </c>
    </row>
    <row r="42" spans="1:14" ht="15" customHeight="1">
      <c r="A42" s="448" t="s">
        <v>32</v>
      </c>
      <c r="B42" s="449"/>
      <c r="C42" s="444"/>
      <c r="D42" s="445"/>
      <c r="E42" s="445"/>
      <c r="F42" s="480"/>
      <c r="G42" s="444"/>
      <c r="H42" s="75">
        <v>100</v>
      </c>
      <c r="I42" s="445">
        <v>100</v>
      </c>
      <c r="J42" s="544">
        <f>I42/H42*100</f>
        <v>100</v>
      </c>
      <c r="K42" s="439">
        <f>'Kapitálové výdaje3.2'!C43-'Kapitálové výdaje3.2'!G43-'Kapitálové výdaje3.2'!O43-'Kapitálové výdaje3.2a'!C42-'Kapitálové výdaje3.2a'!G42-'Kapitálové výdaje3.2'!K43</f>
        <v>0</v>
      </c>
      <c r="L42" s="620">
        <f>'Kapitálové výdaje3.2'!D43-'Kapitálové výdaje3.2'!H43-'Kapitálové výdaje3.2'!P43-'Kapitálové výdaje3.2a'!D42-'Kapitálové výdaje3.2a'!H42-'Kapitálové výdaje3.2'!L43</f>
        <v>552</v>
      </c>
      <c r="M42" s="620">
        <f>'Kapitálové výdaje3.2'!E43-'Kapitálové výdaje3.2'!I43-'Kapitálové výdaje3.2'!Q43-'Kapitálové výdaje3.2a'!E42-'Kapitálové výdaje3.2a'!I42-'Kapitálové výdaje3.2'!M43</f>
        <v>551</v>
      </c>
      <c r="N42" s="482">
        <f>M42/L42*100</f>
        <v>99.81884057971014</v>
      </c>
    </row>
    <row r="43" spans="1:14" ht="15" customHeight="1" thickBot="1">
      <c r="A43" s="13"/>
      <c r="B43" s="223"/>
      <c r="C43" s="619"/>
      <c r="D43" s="617"/>
      <c r="E43" s="617"/>
      <c r="F43" s="452"/>
      <c r="G43" s="508"/>
      <c r="H43" s="82"/>
      <c r="I43" s="509"/>
      <c r="J43" s="510"/>
      <c r="K43" s="13"/>
      <c r="L43" s="622"/>
      <c r="M43" s="455"/>
      <c r="N43" s="510"/>
    </row>
    <row r="44" spans="1:14" ht="15" customHeight="1">
      <c r="A44" s="4"/>
      <c r="B44" s="4"/>
      <c r="C44" s="7"/>
      <c r="D44" s="7"/>
      <c r="E44" s="7"/>
      <c r="F44" s="7"/>
      <c r="G44" s="4"/>
      <c r="H44" s="4"/>
      <c r="I44" s="4"/>
      <c r="J44" s="7"/>
      <c r="K44" s="4"/>
      <c r="L44" s="4"/>
      <c r="M44" s="4"/>
      <c r="N44" s="7"/>
    </row>
    <row r="45" spans="1:14" ht="16.5" customHeight="1" thickBot="1">
      <c r="A45" s="4"/>
      <c r="B45" s="4"/>
      <c r="C45" s="7"/>
      <c r="D45" s="7"/>
      <c r="E45" s="7"/>
      <c r="F45" s="7"/>
      <c r="G45" s="4"/>
      <c r="H45" s="4"/>
      <c r="I45" s="4"/>
      <c r="J45" s="7"/>
      <c r="K45" s="4"/>
      <c r="L45" s="4"/>
      <c r="M45" s="4"/>
      <c r="N45" s="7"/>
    </row>
    <row r="46" spans="1:14" ht="18" customHeight="1" thickBot="1">
      <c r="A46" s="49" t="s">
        <v>33</v>
      </c>
      <c r="B46" s="4"/>
      <c r="C46" s="87"/>
      <c r="D46" s="88">
        <f>SUM(D14:D42)</f>
        <v>34502</v>
      </c>
      <c r="E46" s="88">
        <f>SUM(E14:E42)</f>
        <v>32502</v>
      </c>
      <c r="F46" s="89">
        <f>E46/D46*100</f>
        <v>94.20323459509594</v>
      </c>
      <c r="G46" s="87">
        <f>SUM(G14:G42)</f>
        <v>1173</v>
      </c>
      <c r="H46" s="88">
        <f>SUM(H14:H42)</f>
        <v>1728</v>
      </c>
      <c r="I46" s="88">
        <f>SUM(I14:I42)</f>
        <v>1726</v>
      </c>
      <c r="J46" s="89">
        <f>I46/H46*100</f>
        <v>99.88425925925925</v>
      </c>
      <c r="K46" s="87">
        <f>SUM(K14:K42)</f>
        <v>402119</v>
      </c>
      <c r="L46" s="88">
        <f>SUM(L14:L45)</f>
        <v>612813</v>
      </c>
      <c r="M46" s="88">
        <f>SUM(M14:M42)</f>
        <v>497600</v>
      </c>
      <c r="N46" s="89">
        <f>M46/L46*100</f>
        <v>81.19932181595364</v>
      </c>
    </row>
    <row r="47" spans="1:14" ht="18">
      <c r="A47" s="5"/>
      <c r="B47" s="5"/>
      <c r="C47" s="5"/>
      <c r="D47" s="5"/>
      <c r="E47" s="5"/>
      <c r="F47" s="5"/>
      <c r="G47" s="5"/>
      <c r="H47" s="5"/>
      <c r="I47" s="5"/>
      <c r="J47" s="5"/>
      <c r="K47" s="621"/>
      <c r="L47" s="621"/>
      <c r="M47" s="621"/>
      <c r="N47" s="17"/>
    </row>
    <row r="50" spans="4:9" ht="15">
      <c r="D50" s="2">
        <f>40114-5870-1400-127</f>
        <v>32717</v>
      </c>
      <c r="E50" s="100">
        <f>38114-5870-127-1400</f>
        <v>30717</v>
      </c>
      <c r="G50" s="2">
        <v>1173</v>
      </c>
      <c r="H50" s="2">
        <v>1728</v>
      </c>
      <c r="I50" s="2">
        <v>1726</v>
      </c>
    </row>
    <row r="51" spans="4:5" ht="15">
      <c r="D51" s="2">
        <v>1705</v>
      </c>
      <c r="E51" s="2">
        <v>1705</v>
      </c>
    </row>
    <row r="52" ht="15">
      <c r="D52" s="2">
        <v>80</v>
      </c>
    </row>
    <row r="53" ht="15">
      <c r="E53" s="2">
        <f>1705+30797</f>
        <v>32502</v>
      </c>
    </row>
  </sheetData>
  <mergeCells count="4">
    <mergeCell ref="A2:N2"/>
    <mergeCell ref="G11:J11"/>
    <mergeCell ref="K11:N11"/>
    <mergeCell ref="C7:F8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6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AU72"/>
  <sheetViews>
    <sheetView showZeros="0" workbookViewId="0" topLeftCell="A2">
      <pane xSplit="2" ySplit="12" topLeftCell="C41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Y51" sqref="Y51"/>
    </sheetView>
  </sheetViews>
  <sheetFormatPr defaultColWidth="9.796875" defaultRowHeight="15"/>
  <cols>
    <col min="1" max="1" width="9.796875" style="2" customWidth="1"/>
    <col min="2" max="2" width="10.796875" style="2" customWidth="1"/>
    <col min="3" max="4" width="7.796875" style="2" customWidth="1"/>
    <col min="5" max="5" width="9.19921875" style="2" customWidth="1"/>
    <col min="6" max="6" width="7.59765625" style="2" customWidth="1"/>
    <col min="7" max="13" width="7.796875" style="2" customWidth="1"/>
    <col min="14" max="14" width="9.69921875" style="2" customWidth="1"/>
    <col min="15" max="16" width="7.796875" style="2" customWidth="1"/>
    <col min="17" max="17" width="8.3984375" style="2" customWidth="1"/>
    <col min="18" max="20" width="7.796875" style="2" customWidth="1"/>
    <col min="21" max="21" width="8.296875" style="2" customWidth="1"/>
    <col min="22" max="31" width="7.796875" style="2" customWidth="1"/>
    <col min="32" max="34" width="9.09765625" style="2" customWidth="1"/>
    <col min="35" max="35" width="0.3046875" style="2" hidden="1" customWidth="1"/>
    <col min="36" max="36" width="10.796875" style="2" customWidth="1"/>
    <col min="37" max="60" width="7.796875" style="2" customWidth="1"/>
    <col min="61" max="16384" width="9.796875" style="2" customWidth="1"/>
  </cols>
  <sheetData>
    <row r="1" spans="1:33" ht="17.25" customHeight="1">
      <c r="A1" s="16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24" customHeight="1">
      <c r="A2" s="824" t="s">
        <v>315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24"/>
      <c r="AE2" s="4"/>
      <c r="AF2" s="4"/>
      <c r="AG2" s="4"/>
    </row>
    <row r="3" spans="1:47" ht="15" customHeight="1">
      <c r="A3" s="824"/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1"/>
      <c r="AF3" s="9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33" ht="21" customHeight="1">
      <c r="A4" s="837" t="s">
        <v>243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1"/>
      <c r="AF4" s="10"/>
      <c r="AG4" s="1"/>
    </row>
    <row r="5" spans="1:33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1" t="s">
        <v>103</v>
      </c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2.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16"/>
      <c r="N6" s="15"/>
      <c r="O6" s="3"/>
      <c r="P6" s="3"/>
      <c r="Q6" s="3"/>
      <c r="R6" s="3"/>
      <c r="S6" s="3"/>
      <c r="T6" s="3"/>
      <c r="U6" s="3"/>
      <c r="V6" s="3"/>
      <c r="W6" s="3"/>
      <c r="X6" s="3"/>
      <c r="Y6" s="11"/>
      <c r="Z6" s="342"/>
      <c r="AA6" s="3"/>
      <c r="AB6" s="3"/>
      <c r="AC6" s="11" t="s">
        <v>290</v>
      </c>
      <c r="AD6" s="165"/>
      <c r="AE6" s="4"/>
      <c r="AF6" s="4"/>
      <c r="AG6" s="4"/>
    </row>
    <row r="7" spans="1:33" ht="16.5" customHeight="1" thickBot="1">
      <c r="A7" s="3"/>
      <c r="B7" s="3"/>
      <c r="C7" s="188"/>
      <c r="D7" s="18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3"/>
      <c r="Y7" s="4"/>
      <c r="Z7" s="7"/>
      <c r="AA7" s="4"/>
      <c r="AB7" s="3"/>
      <c r="AC7" s="4"/>
      <c r="AD7" s="7" t="s">
        <v>3</v>
      </c>
      <c r="AE7" s="7"/>
      <c r="AF7" s="7"/>
      <c r="AG7" s="7"/>
    </row>
    <row r="8" spans="1:42" ht="18" customHeight="1" thickBot="1">
      <c r="A8" s="18"/>
      <c r="B8" s="19"/>
      <c r="C8" s="20" t="s">
        <v>231</v>
      </c>
      <c r="D8" s="22"/>
      <c r="E8" s="22"/>
      <c r="F8" s="50"/>
      <c r="G8" s="51" t="s">
        <v>233</v>
      </c>
      <c r="H8" s="52"/>
      <c r="I8" s="53"/>
      <c r="J8" s="54"/>
      <c r="K8" s="51" t="s">
        <v>233</v>
      </c>
      <c r="L8" s="122"/>
      <c r="M8" s="22"/>
      <c r="N8" s="50"/>
      <c r="O8" s="51" t="s">
        <v>236</v>
      </c>
      <c r="P8" s="343"/>
      <c r="Q8" s="343"/>
      <c r="R8" s="344"/>
      <c r="S8" s="51" t="s">
        <v>236</v>
      </c>
      <c r="T8" s="343"/>
      <c r="U8" s="343"/>
      <c r="V8" s="344"/>
      <c r="W8" s="835" t="s">
        <v>334</v>
      </c>
      <c r="X8" s="834"/>
      <c r="Y8" s="834"/>
      <c r="Z8" s="836"/>
      <c r="AA8" s="835" t="s">
        <v>334</v>
      </c>
      <c r="AB8" s="834"/>
      <c r="AC8" s="834"/>
      <c r="AD8" s="836"/>
      <c r="AF8" s="48"/>
      <c r="AG8" s="48"/>
      <c r="AK8" s="169"/>
      <c r="AL8" s="239"/>
      <c r="AM8" s="239"/>
      <c r="AN8" s="169"/>
      <c r="AO8" s="169"/>
      <c r="AP8" s="169"/>
    </row>
    <row r="9" spans="1:42" ht="18" customHeight="1" thickBot="1">
      <c r="A9" s="37"/>
      <c r="B9" s="14"/>
      <c r="C9" s="789" t="s">
        <v>232</v>
      </c>
      <c r="D9" s="898"/>
      <c r="E9" s="898"/>
      <c r="F9" s="899"/>
      <c r="G9" s="789" t="s">
        <v>234</v>
      </c>
      <c r="H9" s="898"/>
      <c r="I9" s="898"/>
      <c r="J9" s="899"/>
      <c r="K9" s="789" t="s">
        <v>235</v>
      </c>
      <c r="L9" s="898"/>
      <c r="M9" s="898"/>
      <c r="N9" s="899"/>
      <c r="O9" s="789" t="s">
        <v>237</v>
      </c>
      <c r="P9" s="898"/>
      <c r="Q9" s="898"/>
      <c r="R9" s="899"/>
      <c r="S9" s="789" t="s">
        <v>238</v>
      </c>
      <c r="T9" s="898"/>
      <c r="U9" s="898"/>
      <c r="V9" s="899"/>
      <c r="W9" s="789" t="s">
        <v>304</v>
      </c>
      <c r="X9" s="898"/>
      <c r="Y9" s="898"/>
      <c r="Z9" s="899"/>
      <c r="AA9" s="789" t="s">
        <v>241</v>
      </c>
      <c r="AB9" s="898"/>
      <c r="AC9" s="898"/>
      <c r="AD9" s="899"/>
      <c r="AF9" s="904" t="s">
        <v>278</v>
      </c>
      <c r="AG9" s="905"/>
      <c r="AH9" s="906"/>
      <c r="AK9" s="169"/>
      <c r="AL9" s="239"/>
      <c r="AM9" s="239"/>
      <c r="AN9" s="169"/>
      <c r="AO9" s="169"/>
      <c r="AP9" s="169"/>
    </row>
    <row r="10" spans="1:42" ht="18" customHeight="1">
      <c r="A10" s="25" t="s">
        <v>45</v>
      </c>
      <c r="B10" s="14"/>
      <c r="C10" s="345" t="s">
        <v>71</v>
      </c>
      <c r="D10" s="346"/>
      <c r="E10" s="40" t="s">
        <v>72</v>
      </c>
      <c r="F10" s="41" t="s">
        <v>2</v>
      </c>
      <c r="G10" s="234" t="s">
        <v>71</v>
      </c>
      <c r="H10" s="235"/>
      <c r="I10" s="40" t="s">
        <v>72</v>
      </c>
      <c r="J10" s="41" t="s">
        <v>2</v>
      </c>
      <c r="K10" s="234" t="s">
        <v>71</v>
      </c>
      <c r="L10" s="235"/>
      <c r="M10" s="294" t="s">
        <v>72</v>
      </c>
      <c r="N10" s="347" t="s">
        <v>2</v>
      </c>
      <c r="O10" s="234" t="s">
        <v>71</v>
      </c>
      <c r="P10" s="235"/>
      <c r="Q10" s="294" t="s">
        <v>72</v>
      </c>
      <c r="R10" s="347" t="s">
        <v>2</v>
      </c>
      <c r="S10" s="234" t="s">
        <v>71</v>
      </c>
      <c r="T10" s="235"/>
      <c r="U10" s="294" t="s">
        <v>72</v>
      </c>
      <c r="V10" s="347" t="s">
        <v>2</v>
      </c>
      <c r="W10" s="234" t="s">
        <v>71</v>
      </c>
      <c r="X10" s="235"/>
      <c r="Y10" s="294" t="s">
        <v>72</v>
      </c>
      <c r="Z10" s="347" t="s">
        <v>2</v>
      </c>
      <c r="AA10" s="234" t="s">
        <v>71</v>
      </c>
      <c r="AB10" s="235"/>
      <c r="AC10" s="294" t="s">
        <v>72</v>
      </c>
      <c r="AD10" s="347" t="s">
        <v>2</v>
      </c>
      <c r="AE10" s="282"/>
      <c r="AF10" s="907" t="s">
        <v>279</v>
      </c>
      <c r="AG10" s="908"/>
      <c r="AH10" s="909"/>
      <c r="AK10" s="169"/>
      <c r="AL10" s="239"/>
      <c r="AM10" s="239"/>
      <c r="AN10" s="169"/>
      <c r="AO10" s="169"/>
      <c r="AP10" s="169"/>
    </row>
    <row r="11" spans="1:42" ht="18" customHeight="1" thickBot="1">
      <c r="A11" s="13"/>
      <c r="B11" s="42"/>
      <c r="C11" s="43" t="s">
        <v>109</v>
      </c>
      <c r="D11" s="45" t="s">
        <v>110</v>
      </c>
      <c r="E11" s="44" t="s">
        <v>319</v>
      </c>
      <c r="F11" s="46" t="s">
        <v>48</v>
      </c>
      <c r="G11" s="43" t="s">
        <v>109</v>
      </c>
      <c r="H11" s="44" t="s">
        <v>110</v>
      </c>
      <c r="I11" s="44" t="s">
        <v>319</v>
      </c>
      <c r="J11" s="46" t="s">
        <v>48</v>
      </c>
      <c r="K11" s="283" t="s">
        <v>109</v>
      </c>
      <c r="L11" s="284" t="s">
        <v>110</v>
      </c>
      <c r="M11" s="44" t="s">
        <v>319</v>
      </c>
      <c r="N11" s="285" t="s">
        <v>48</v>
      </c>
      <c r="O11" s="43" t="s">
        <v>109</v>
      </c>
      <c r="P11" s="44" t="s">
        <v>110</v>
      </c>
      <c r="Q11" s="44" t="s">
        <v>319</v>
      </c>
      <c r="R11" s="46" t="s">
        <v>48</v>
      </c>
      <c r="S11" s="43" t="s">
        <v>109</v>
      </c>
      <c r="T11" s="44" t="s">
        <v>110</v>
      </c>
      <c r="U11" s="44" t="s">
        <v>319</v>
      </c>
      <c r="V11" s="46" t="s">
        <v>48</v>
      </c>
      <c r="W11" s="43" t="s">
        <v>109</v>
      </c>
      <c r="X11" s="44" t="s">
        <v>110</v>
      </c>
      <c r="Y11" s="44" t="s">
        <v>319</v>
      </c>
      <c r="Z11" s="46" t="s">
        <v>48</v>
      </c>
      <c r="AA11" s="43" t="s">
        <v>109</v>
      </c>
      <c r="AB11" s="44" t="s">
        <v>110</v>
      </c>
      <c r="AC11" s="44" t="s">
        <v>319</v>
      </c>
      <c r="AD11" s="46" t="s">
        <v>48</v>
      </c>
      <c r="AE11" s="110"/>
      <c r="AF11" s="267" t="s">
        <v>49</v>
      </c>
      <c r="AG11" s="348" t="s">
        <v>50</v>
      </c>
      <c r="AH11" s="349" t="s">
        <v>280</v>
      </c>
      <c r="AI11" s="8"/>
      <c r="AK11" s="169"/>
      <c r="AL11" s="239"/>
      <c r="AM11" s="239"/>
      <c r="AN11" s="169"/>
      <c r="AO11" s="169"/>
      <c r="AP11" s="169"/>
    </row>
    <row r="12" spans="1:42" ht="15.75" customHeight="1" hidden="1" thickBot="1" thickTop="1">
      <c r="A12" s="4"/>
      <c r="B12" s="4"/>
      <c r="C12" s="4"/>
      <c r="D12" s="4" t="s">
        <v>111</v>
      </c>
      <c r="E12" s="4"/>
      <c r="F12" s="4"/>
      <c r="G12" s="4"/>
      <c r="H12" s="4" t="s">
        <v>112</v>
      </c>
      <c r="I12" s="4"/>
      <c r="J12" s="4"/>
      <c r="K12" s="4"/>
      <c r="L12" s="4" t="s">
        <v>113</v>
      </c>
      <c r="M12" s="4"/>
      <c r="N12" s="4"/>
      <c r="O12" s="4"/>
      <c r="P12" s="4" t="s">
        <v>114</v>
      </c>
      <c r="Q12" s="4"/>
      <c r="R12" s="4"/>
      <c r="S12" s="4"/>
      <c r="T12" s="4" t="s">
        <v>115</v>
      </c>
      <c r="U12" s="4"/>
      <c r="V12" s="4"/>
      <c r="W12" s="4" t="s">
        <v>71</v>
      </c>
      <c r="X12" s="4"/>
      <c r="Y12" s="4" t="s">
        <v>72</v>
      </c>
      <c r="Z12" s="4" t="s">
        <v>2</v>
      </c>
      <c r="AA12" s="4" t="s">
        <v>71</v>
      </c>
      <c r="AB12" s="4"/>
      <c r="AC12" s="4" t="s">
        <v>72</v>
      </c>
      <c r="AD12" s="4" t="s">
        <v>2</v>
      </c>
      <c r="AE12" s="4"/>
      <c r="AF12" s="350"/>
      <c r="AG12" s="351"/>
      <c r="AH12" s="264"/>
      <c r="AK12" s="169"/>
      <c r="AL12" s="169"/>
      <c r="AM12" s="169"/>
      <c r="AN12" s="169"/>
      <c r="AO12" s="169"/>
      <c r="AP12" s="169"/>
    </row>
    <row r="13" spans="1:39" ht="15.75" customHeight="1">
      <c r="A13" s="4"/>
      <c r="B13" s="4"/>
      <c r="C13" s="839" t="s">
        <v>229</v>
      </c>
      <c r="D13" s="839"/>
      <c r="E13" s="839"/>
      <c r="F13" s="839"/>
      <c r="G13" s="839" t="s">
        <v>230</v>
      </c>
      <c r="H13" s="839"/>
      <c r="I13" s="839"/>
      <c r="J13" s="839"/>
      <c r="K13" s="839" t="s">
        <v>230</v>
      </c>
      <c r="L13" s="839"/>
      <c r="M13" s="839"/>
      <c r="N13" s="839"/>
      <c r="O13" s="839" t="s">
        <v>239</v>
      </c>
      <c r="P13" s="839"/>
      <c r="Q13" s="839"/>
      <c r="R13" s="839"/>
      <c r="S13" s="839" t="s">
        <v>239</v>
      </c>
      <c r="T13" s="839"/>
      <c r="U13" s="839"/>
      <c r="V13" s="839"/>
      <c r="W13" s="839" t="s">
        <v>335</v>
      </c>
      <c r="X13" s="839"/>
      <c r="Y13" s="839"/>
      <c r="Z13" s="839"/>
      <c r="AA13" s="839" t="s">
        <v>336</v>
      </c>
      <c r="AB13" s="839"/>
      <c r="AC13" s="839"/>
      <c r="AD13" s="839"/>
      <c r="AE13" s="4"/>
      <c r="AF13" s="4"/>
      <c r="AH13" s="169"/>
      <c r="AI13" s="169"/>
      <c r="AJ13" s="169"/>
      <c r="AK13" s="169"/>
      <c r="AL13" s="169"/>
      <c r="AM13" s="169"/>
    </row>
    <row r="14" spans="1:42" ht="15.75" customHeight="1" thickBot="1">
      <c r="A14" s="4"/>
      <c r="B14" s="4"/>
      <c r="C14" s="4" t="s">
        <v>121</v>
      </c>
      <c r="D14" s="49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H14" s="169"/>
      <c r="AI14" s="4"/>
      <c r="AK14" s="169"/>
      <c r="AL14" s="169"/>
      <c r="AM14" s="169"/>
      <c r="AN14" s="169"/>
      <c r="AO14" s="169"/>
      <c r="AP14" s="169"/>
    </row>
    <row r="15" spans="1:42" ht="16.5" customHeight="1" thickBot="1">
      <c r="A15" s="65"/>
      <c r="B15" s="604"/>
      <c r="C15" s="413"/>
      <c r="D15" s="375"/>
      <c r="E15" s="375"/>
      <c r="F15" s="525"/>
      <c r="G15" s="413"/>
      <c r="H15" s="375"/>
      <c r="I15" s="375"/>
      <c r="J15" s="525"/>
      <c r="K15" s="413"/>
      <c r="L15" s="375"/>
      <c r="M15" s="375"/>
      <c r="N15" s="70"/>
      <c r="O15" s="413"/>
      <c r="P15" s="375"/>
      <c r="Q15" s="375"/>
      <c r="R15" s="70"/>
      <c r="S15" s="413"/>
      <c r="T15" s="375"/>
      <c r="U15" s="375"/>
      <c r="V15" s="70"/>
      <c r="W15" s="413"/>
      <c r="X15" s="375"/>
      <c r="Y15" s="375"/>
      <c r="Z15" s="70"/>
      <c r="AA15" s="413"/>
      <c r="AB15" s="375"/>
      <c r="AC15" s="375"/>
      <c r="AD15" s="70"/>
      <c r="AE15" s="425"/>
      <c r="AF15" s="605"/>
      <c r="AG15" s="606"/>
      <c r="AH15" s="607"/>
      <c r="AI15" s="4"/>
      <c r="AK15" s="169"/>
      <c r="AL15" s="169"/>
      <c r="AM15" s="169"/>
      <c r="AN15" s="169"/>
      <c r="AO15" s="169"/>
      <c r="AP15" s="169"/>
    </row>
    <row r="16" spans="1:42" ht="16.5" customHeight="1">
      <c r="A16" s="72" t="s">
        <v>6</v>
      </c>
      <c r="B16" s="77"/>
      <c r="C16" s="566">
        <v>47742</v>
      </c>
      <c r="D16" s="102">
        <v>54948</v>
      </c>
      <c r="E16" s="102">
        <v>40625</v>
      </c>
      <c r="F16" s="441">
        <f aca="true" t="shared" si="0" ref="F16:F23">E16/D16*100</f>
        <v>73.93353716240809</v>
      </c>
      <c r="G16" s="566"/>
      <c r="H16" s="102"/>
      <c r="I16" s="102"/>
      <c r="J16" s="441"/>
      <c r="K16" s="566"/>
      <c r="L16" s="102"/>
      <c r="M16" s="102"/>
      <c r="N16" s="441"/>
      <c r="O16" s="566">
        <v>-8293</v>
      </c>
      <c r="P16" s="102">
        <v>-8293</v>
      </c>
      <c r="Q16" s="102">
        <v>-8293</v>
      </c>
      <c r="R16" s="441">
        <f>Q16/P16*100</f>
        <v>100</v>
      </c>
      <c r="S16" s="566"/>
      <c r="T16" s="102"/>
      <c r="U16" s="102"/>
      <c r="V16" s="441"/>
      <c r="W16" s="566"/>
      <c r="X16" s="102"/>
      <c r="Y16" s="102"/>
      <c r="Z16" s="76"/>
      <c r="AA16" s="566"/>
      <c r="AB16" s="102"/>
      <c r="AC16" s="102"/>
      <c r="AD16" s="76"/>
      <c r="AE16" s="293"/>
      <c r="AF16" s="567">
        <f>C16+G16+K16+O16+S16+AA16+W16</f>
        <v>39449</v>
      </c>
      <c r="AG16" s="568">
        <f aca="true" t="shared" si="1" ref="AG16:AH31">D16+H16+L16+P16+T16+AB16+X16</f>
        <v>46655</v>
      </c>
      <c r="AH16" s="569">
        <f t="shared" si="1"/>
        <v>32332</v>
      </c>
      <c r="AI16" s="77"/>
      <c r="AJ16" s="357"/>
      <c r="AL16" s="570"/>
      <c r="AM16" s="169"/>
      <c r="AN16" s="169"/>
      <c r="AO16" s="169"/>
      <c r="AP16" s="169"/>
    </row>
    <row r="17" spans="1:42" ht="16.5" customHeight="1">
      <c r="A17" s="72" t="s">
        <v>7</v>
      </c>
      <c r="B17" s="77"/>
      <c r="C17" s="566">
        <v>3139</v>
      </c>
      <c r="D17" s="102">
        <v>4710</v>
      </c>
      <c r="E17" s="102">
        <v>274</v>
      </c>
      <c r="F17" s="441">
        <f t="shared" si="0"/>
        <v>5.817409766454353</v>
      </c>
      <c r="G17" s="566"/>
      <c r="H17" s="102"/>
      <c r="I17" s="102"/>
      <c r="J17" s="441"/>
      <c r="K17" s="566"/>
      <c r="L17" s="102"/>
      <c r="M17" s="102"/>
      <c r="N17" s="441"/>
      <c r="O17" s="566"/>
      <c r="P17" s="102"/>
      <c r="Q17" s="102"/>
      <c r="R17" s="441"/>
      <c r="S17" s="566"/>
      <c r="T17" s="102"/>
      <c r="U17" s="102"/>
      <c r="V17" s="441"/>
      <c r="W17" s="566">
        <v>1000</v>
      </c>
      <c r="X17" s="102">
        <v>928</v>
      </c>
      <c r="Y17" s="571">
        <v>928</v>
      </c>
      <c r="Z17" s="441">
        <f>Y17/X17*100</f>
        <v>100</v>
      </c>
      <c r="AA17" s="566"/>
      <c r="AB17" s="102"/>
      <c r="AC17" s="571"/>
      <c r="AD17" s="572"/>
      <c r="AE17" s="293"/>
      <c r="AF17" s="573">
        <f aca="true" t="shared" si="2" ref="AF17:AH45">C17+G17+K17+O17+S17+AA17+W17</f>
        <v>4139</v>
      </c>
      <c r="AG17" s="574">
        <f t="shared" si="1"/>
        <v>5638</v>
      </c>
      <c r="AH17" s="575">
        <f t="shared" si="1"/>
        <v>1202</v>
      </c>
      <c r="AI17" s="77"/>
      <c r="AJ17" s="357"/>
      <c r="AL17" s="570"/>
      <c r="AM17" s="169"/>
      <c r="AN17" s="169"/>
      <c r="AO17" s="169"/>
      <c r="AP17" s="169"/>
    </row>
    <row r="18" spans="1:42" ht="16.5" customHeight="1">
      <c r="A18" s="72" t="s">
        <v>8</v>
      </c>
      <c r="B18" s="77"/>
      <c r="C18" s="566">
        <v>141</v>
      </c>
      <c r="D18" s="102">
        <v>4441</v>
      </c>
      <c r="E18" s="102">
        <v>-9605</v>
      </c>
      <c r="F18" s="441">
        <f t="shared" si="0"/>
        <v>-216.28011709074536</v>
      </c>
      <c r="G18" s="566"/>
      <c r="H18" s="102">
        <f>5345+1200</f>
        <v>6545</v>
      </c>
      <c r="I18" s="102">
        <v>2345</v>
      </c>
      <c r="J18" s="441">
        <f>I18/H18*100</f>
        <v>35.82887700534759</v>
      </c>
      <c r="K18" s="566"/>
      <c r="L18" s="102"/>
      <c r="M18" s="102"/>
      <c r="N18" s="441"/>
      <c r="O18" s="566">
        <v>-1006</v>
      </c>
      <c r="P18" s="102">
        <v>-953</v>
      </c>
      <c r="Q18" s="102">
        <v>-953</v>
      </c>
      <c r="R18" s="441">
        <f>Q18/P18*100</f>
        <v>100</v>
      </c>
      <c r="S18" s="566"/>
      <c r="T18" s="102"/>
      <c r="U18" s="102"/>
      <c r="V18" s="441"/>
      <c r="W18" s="566"/>
      <c r="X18" s="102"/>
      <c r="Y18" s="102"/>
      <c r="Z18" s="441"/>
      <c r="AA18" s="566"/>
      <c r="AB18" s="102"/>
      <c r="AC18" s="102"/>
      <c r="AD18" s="441"/>
      <c r="AE18" s="293"/>
      <c r="AF18" s="573">
        <f t="shared" si="2"/>
        <v>-865</v>
      </c>
      <c r="AG18" s="574">
        <f t="shared" si="1"/>
        <v>10033</v>
      </c>
      <c r="AH18" s="575">
        <f t="shared" si="1"/>
        <v>-8213</v>
      </c>
      <c r="AI18" s="77"/>
      <c r="AJ18" s="357"/>
      <c r="AL18" s="570"/>
      <c r="AM18" s="169"/>
      <c r="AN18" s="169"/>
      <c r="AO18" s="169"/>
      <c r="AP18" s="169"/>
    </row>
    <row r="19" spans="1:42" ht="16.5" customHeight="1">
      <c r="A19" s="72" t="s">
        <v>9</v>
      </c>
      <c r="B19" s="77"/>
      <c r="C19" s="566">
        <v>1888</v>
      </c>
      <c r="D19" s="102">
        <v>11208</v>
      </c>
      <c r="E19" s="102">
        <v>685</v>
      </c>
      <c r="F19" s="441">
        <f t="shared" si="0"/>
        <v>6.111705924339757</v>
      </c>
      <c r="G19" s="566"/>
      <c r="H19" s="102"/>
      <c r="I19" s="102"/>
      <c r="J19" s="441"/>
      <c r="K19" s="566"/>
      <c r="L19" s="102"/>
      <c r="M19" s="102"/>
      <c r="N19" s="441"/>
      <c r="O19" s="566">
        <v>-4284</v>
      </c>
      <c r="P19" s="102">
        <f>-4034-250</f>
        <v>-4284</v>
      </c>
      <c r="Q19" s="102">
        <v>-4274</v>
      </c>
      <c r="R19" s="441">
        <f>Q19/P19*100</f>
        <v>99.76657329598507</v>
      </c>
      <c r="S19" s="566">
        <v>-2954</v>
      </c>
      <c r="T19" s="102">
        <v>-2954</v>
      </c>
      <c r="U19" s="102">
        <f>-2957+1</f>
        <v>-2956</v>
      </c>
      <c r="V19" s="441">
        <f>U19/T19*100</f>
        <v>100.06770480704131</v>
      </c>
      <c r="W19" s="566"/>
      <c r="X19" s="102"/>
      <c r="Y19" s="102"/>
      <c r="Z19" s="441"/>
      <c r="AA19" s="566"/>
      <c r="AB19" s="102"/>
      <c r="AC19" s="102"/>
      <c r="AD19" s="441"/>
      <c r="AE19" s="293"/>
      <c r="AF19" s="573">
        <f t="shared" si="2"/>
        <v>-5350</v>
      </c>
      <c r="AG19" s="574">
        <f t="shared" si="1"/>
        <v>3970</v>
      </c>
      <c r="AH19" s="575">
        <f t="shared" si="1"/>
        <v>-6545</v>
      </c>
      <c r="AI19" s="77"/>
      <c r="AJ19" s="357"/>
      <c r="AL19" s="570"/>
      <c r="AM19" s="169"/>
      <c r="AN19" s="169"/>
      <c r="AO19" s="169"/>
      <c r="AP19" s="169"/>
    </row>
    <row r="20" spans="1:42" ht="16.5" customHeight="1">
      <c r="A20" s="72" t="s">
        <v>10</v>
      </c>
      <c r="B20" s="77"/>
      <c r="C20" s="566">
        <v>976</v>
      </c>
      <c r="D20" s="102">
        <v>7996</v>
      </c>
      <c r="E20" s="102">
        <v>5375</v>
      </c>
      <c r="F20" s="441">
        <f t="shared" si="0"/>
        <v>67.22111055527765</v>
      </c>
      <c r="G20" s="566"/>
      <c r="H20" s="102"/>
      <c r="I20" s="102"/>
      <c r="J20" s="441"/>
      <c r="K20" s="566"/>
      <c r="L20" s="102"/>
      <c r="M20" s="102"/>
      <c r="N20" s="441"/>
      <c r="O20" s="566">
        <v>-3551</v>
      </c>
      <c r="P20" s="102">
        <v>-3551</v>
      </c>
      <c r="Q20" s="102">
        <v>-3552</v>
      </c>
      <c r="R20" s="441">
        <f>Q20/P20*100</f>
        <v>100.02816108138552</v>
      </c>
      <c r="S20" s="566">
        <v>-8151</v>
      </c>
      <c r="T20" s="102">
        <v>-7951</v>
      </c>
      <c r="U20" s="102">
        <v>-7944</v>
      </c>
      <c r="V20" s="441">
        <f>U20/T20*100</f>
        <v>99.91196075965287</v>
      </c>
      <c r="W20" s="566"/>
      <c r="X20" s="102"/>
      <c r="Y20" s="102"/>
      <c r="Z20" s="441"/>
      <c r="AA20" s="566"/>
      <c r="AB20" s="102"/>
      <c r="AC20" s="102"/>
      <c r="AD20" s="441"/>
      <c r="AE20" s="293"/>
      <c r="AF20" s="573">
        <f t="shared" si="2"/>
        <v>-10726</v>
      </c>
      <c r="AG20" s="574">
        <f t="shared" si="1"/>
        <v>-3506</v>
      </c>
      <c r="AH20" s="575">
        <f t="shared" si="1"/>
        <v>-6121</v>
      </c>
      <c r="AI20" s="77"/>
      <c r="AJ20" s="357"/>
      <c r="AL20" s="570"/>
      <c r="AM20" s="169"/>
      <c r="AN20" s="169"/>
      <c r="AO20" s="169"/>
      <c r="AP20" s="169"/>
    </row>
    <row r="21" spans="1:42" ht="16.5" customHeight="1">
      <c r="A21" s="72" t="s">
        <v>11</v>
      </c>
      <c r="B21" s="77"/>
      <c r="C21" s="566">
        <v>30</v>
      </c>
      <c r="D21" s="102">
        <v>353</v>
      </c>
      <c r="E21" s="102">
        <v>-1391</v>
      </c>
      <c r="F21" s="441">
        <f t="shared" si="0"/>
        <v>-394.05099150141643</v>
      </c>
      <c r="G21" s="566"/>
      <c r="H21" s="102"/>
      <c r="I21" s="102"/>
      <c r="J21" s="441"/>
      <c r="K21" s="566"/>
      <c r="L21" s="102"/>
      <c r="M21" s="102"/>
      <c r="N21" s="441"/>
      <c r="O21" s="566">
        <v>-833</v>
      </c>
      <c r="P21" s="102">
        <v>-833</v>
      </c>
      <c r="Q21" s="102">
        <v>-833</v>
      </c>
      <c r="R21" s="441">
        <f>Q21/P21*100</f>
        <v>100</v>
      </c>
      <c r="S21" s="566"/>
      <c r="T21" s="102"/>
      <c r="U21" s="102"/>
      <c r="V21" s="441"/>
      <c r="W21" s="566"/>
      <c r="X21" s="102"/>
      <c r="Y21" s="102"/>
      <c r="Z21" s="441"/>
      <c r="AA21" s="566"/>
      <c r="AB21" s="102"/>
      <c r="AC21" s="102"/>
      <c r="AD21" s="441"/>
      <c r="AE21" s="293"/>
      <c r="AF21" s="573">
        <f t="shared" si="2"/>
        <v>-803</v>
      </c>
      <c r="AG21" s="574">
        <f t="shared" si="1"/>
        <v>-480</v>
      </c>
      <c r="AH21" s="575">
        <f t="shared" si="1"/>
        <v>-2224</v>
      </c>
      <c r="AI21" s="77"/>
      <c r="AJ21" s="357"/>
      <c r="AL21" s="570"/>
      <c r="AM21" s="169"/>
      <c r="AN21" s="169"/>
      <c r="AO21" s="169"/>
      <c r="AP21" s="169"/>
    </row>
    <row r="22" spans="1:42" ht="16.5" customHeight="1">
      <c r="A22" s="72" t="s">
        <v>242</v>
      </c>
      <c r="B22" s="77"/>
      <c r="C22" s="566">
        <v>1000</v>
      </c>
      <c r="D22" s="102">
        <v>2928</v>
      </c>
      <c r="E22" s="102">
        <v>-5715</v>
      </c>
      <c r="F22" s="441">
        <f t="shared" si="0"/>
        <v>-195.1844262295082</v>
      </c>
      <c r="G22" s="566"/>
      <c r="H22" s="102">
        <v>5520</v>
      </c>
      <c r="I22" s="102">
        <v>5520</v>
      </c>
      <c r="J22" s="441">
        <f>I22/H22*100</f>
        <v>100</v>
      </c>
      <c r="K22" s="566"/>
      <c r="L22" s="102"/>
      <c r="M22" s="102"/>
      <c r="N22" s="441"/>
      <c r="O22" s="566">
        <v>-2587</v>
      </c>
      <c r="P22" s="102">
        <v>-587</v>
      </c>
      <c r="Q22" s="102">
        <v>-587</v>
      </c>
      <c r="R22" s="441">
        <f>Q22/P22*100</f>
        <v>100</v>
      </c>
      <c r="S22" s="566">
        <v>-1049</v>
      </c>
      <c r="T22" s="102">
        <v>-1049</v>
      </c>
      <c r="U22" s="102">
        <v>-1049</v>
      </c>
      <c r="V22" s="441">
        <f>U22/T22*100</f>
        <v>100</v>
      </c>
      <c r="W22" s="566"/>
      <c r="X22" s="102"/>
      <c r="Y22" s="102"/>
      <c r="Z22" s="441"/>
      <c r="AA22" s="566"/>
      <c r="AB22" s="102"/>
      <c r="AC22" s="102"/>
      <c r="AD22" s="441"/>
      <c r="AE22" s="293"/>
      <c r="AF22" s="573">
        <f t="shared" si="2"/>
        <v>-2636</v>
      </c>
      <c r="AG22" s="574">
        <f t="shared" si="1"/>
        <v>6812</v>
      </c>
      <c r="AH22" s="575">
        <f t="shared" si="1"/>
        <v>-1831</v>
      </c>
      <c r="AI22" s="77"/>
      <c r="AJ22" s="357">
        <v>10130285</v>
      </c>
      <c r="AL22" s="570"/>
      <c r="AM22" s="169"/>
      <c r="AN22" s="169"/>
      <c r="AO22" s="169"/>
      <c r="AP22" s="169"/>
    </row>
    <row r="23" spans="1:42" ht="16.5" customHeight="1">
      <c r="A23" s="72" t="s">
        <v>13</v>
      </c>
      <c r="B23" s="77"/>
      <c r="C23" s="566">
        <v>10687</v>
      </c>
      <c r="D23" s="102">
        <v>25303</v>
      </c>
      <c r="E23" s="102">
        <v>-4441</v>
      </c>
      <c r="F23" s="441">
        <f t="shared" si="0"/>
        <v>-17.551278504525154</v>
      </c>
      <c r="G23" s="566"/>
      <c r="H23" s="102"/>
      <c r="I23" s="102"/>
      <c r="J23" s="441"/>
      <c r="K23" s="566"/>
      <c r="L23" s="102"/>
      <c r="M23" s="102"/>
      <c r="N23" s="441"/>
      <c r="O23" s="566"/>
      <c r="P23" s="102"/>
      <c r="Q23" s="102"/>
      <c r="R23" s="441"/>
      <c r="S23" s="566">
        <v>-3840</v>
      </c>
      <c r="T23" s="102">
        <v>-3840</v>
      </c>
      <c r="U23" s="102">
        <v>-3840</v>
      </c>
      <c r="V23" s="441">
        <f>U23/T23*100</f>
        <v>100</v>
      </c>
      <c r="W23" s="566"/>
      <c r="X23" s="102"/>
      <c r="Y23" s="102"/>
      <c r="Z23" s="441"/>
      <c r="AA23" s="566"/>
      <c r="AB23" s="102"/>
      <c r="AC23" s="102"/>
      <c r="AD23" s="441"/>
      <c r="AE23" s="293"/>
      <c r="AF23" s="573">
        <f t="shared" si="2"/>
        <v>6847</v>
      </c>
      <c r="AG23" s="574">
        <f t="shared" si="1"/>
        <v>21463</v>
      </c>
      <c r="AH23" s="575">
        <f t="shared" si="1"/>
        <v>-8281</v>
      </c>
      <c r="AI23" s="77"/>
      <c r="AJ23" s="357"/>
      <c r="AL23" s="570"/>
      <c r="AM23" s="169"/>
      <c r="AN23" s="169"/>
      <c r="AO23" s="169"/>
      <c r="AP23" s="169"/>
    </row>
    <row r="24" spans="1:42" ht="16.5" customHeight="1">
      <c r="A24" s="72" t="s">
        <v>14</v>
      </c>
      <c r="B24" s="77"/>
      <c r="C24" s="566"/>
      <c r="D24" s="102"/>
      <c r="E24" s="102">
        <v>-2244</v>
      </c>
      <c r="F24" s="441"/>
      <c r="G24" s="566"/>
      <c r="H24" s="102"/>
      <c r="I24" s="102"/>
      <c r="J24" s="441"/>
      <c r="K24" s="566"/>
      <c r="L24" s="102"/>
      <c r="M24" s="102"/>
      <c r="N24" s="441"/>
      <c r="O24" s="566"/>
      <c r="P24" s="102"/>
      <c r="Q24" s="102"/>
      <c r="R24" s="441"/>
      <c r="S24" s="566"/>
      <c r="T24" s="102"/>
      <c r="U24" s="102"/>
      <c r="V24" s="441"/>
      <c r="W24" s="566"/>
      <c r="X24" s="102"/>
      <c r="Y24" s="102"/>
      <c r="Z24" s="441"/>
      <c r="AA24" s="566"/>
      <c r="AB24" s="102"/>
      <c r="AC24" s="102"/>
      <c r="AD24" s="441"/>
      <c r="AE24" s="293"/>
      <c r="AF24" s="573">
        <f t="shared" si="2"/>
        <v>0</v>
      </c>
      <c r="AG24" s="574">
        <f t="shared" si="1"/>
        <v>0</v>
      </c>
      <c r="AH24" s="575">
        <f t="shared" si="1"/>
        <v>-2244</v>
      </c>
      <c r="AI24" s="77"/>
      <c r="AJ24" s="357"/>
      <c r="AL24" s="570"/>
      <c r="AM24" s="169"/>
      <c r="AN24" s="169"/>
      <c r="AO24" s="169"/>
      <c r="AP24" s="169"/>
    </row>
    <row r="25" spans="1:42" ht="16.5" customHeight="1">
      <c r="A25" s="72" t="s">
        <v>15</v>
      </c>
      <c r="B25" s="77"/>
      <c r="C25" s="566">
        <v>845</v>
      </c>
      <c r="D25" s="102">
        <v>-735</v>
      </c>
      <c r="E25" s="102">
        <v>-1709</v>
      </c>
      <c r="F25" s="441">
        <f aca="true" t="shared" si="3" ref="F25:F38">E25/D25*100</f>
        <v>232.51700680272108</v>
      </c>
      <c r="G25" s="566"/>
      <c r="H25" s="102"/>
      <c r="I25" s="102"/>
      <c r="J25" s="441"/>
      <c r="K25" s="566"/>
      <c r="L25" s="102"/>
      <c r="M25" s="102"/>
      <c r="N25" s="441"/>
      <c r="O25" s="566">
        <v>-545</v>
      </c>
      <c r="P25" s="102">
        <v>-545</v>
      </c>
      <c r="Q25" s="102">
        <v>-545</v>
      </c>
      <c r="R25" s="441">
        <f>Q25/P25*100</f>
        <v>100</v>
      </c>
      <c r="S25" s="566"/>
      <c r="T25" s="102"/>
      <c r="U25" s="102"/>
      <c r="V25" s="441"/>
      <c r="W25" s="566"/>
      <c r="X25" s="102"/>
      <c r="Y25" s="102"/>
      <c r="Z25" s="441"/>
      <c r="AA25" s="566"/>
      <c r="AB25" s="102"/>
      <c r="AC25" s="102"/>
      <c r="AD25" s="441"/>
      <c r="AE25" s="293"/>
      <c r="AF25" s="573">
        <f t="shared" si="2"/>
        <v>300</v>
      </c>
      <c r="AG25" s="574">
        <f t="shared" si="1"/>
        <v>-1280</v>
      </c>
      <c r="AH25" s="575">
        <f t="shared" si="1"/>
        <v>-2254</v>
      </c>
      <c r="AI25" s="77"/>
      <c r="AJ25" s="357"/>
      <c r="AL25" s="570"/>
      <c r="AM25" s="169"/>
      <c r="AN25" s="169"/>
      <c r="AO25" s="169"/>
      <c r="AP25" s="169"/>
    </row>
    <row r="26" spans="1:42" ht="16.5" customHeight="1">
      <c r="A26" s="72" t="s">
        <v>16</v>
      </c>
      <c r="B26" s="77"/>
      <c r="C26" s="566"/>
      <c r="D26" s="102">
        <v>2776</v>
      </c>
      <c r="E26" s="102">
        <v>-4511</v>
      </c>
      <c r="F26" s="441">
        <f t="shared" si="3"/>
        <v>-162.5</v>
      </c>
      <c r="G26" s="566"/>
      <c r="H26" s="102"/>
      <c r="I26" s="102"/>
      <c r="J26" s="441"/>
      <c r="K26" s="566"/>
      <c r="L26" s="102"/>
      <c r="M26" s="102"/>
      <c r="N26" s="441"/>
      <c r="O26" s="566">
        <v>-50</v>
      </c>
      <c r="P26" s="102">
        <v>-50</v>
      </c>
      <c r="Q26" s="102">
        <v>-50</v>
      </c>
      <c r="R26" s="441">
        <f>Q26/P26*100</f>
        <v>100</v>
      </c>
      <c r="S26" s="566"/>
      <c r="T26" s="102"/>
      <c r="U26" s="102"/>
      <c r="V26" s="441"/>
      <c r="W26" s="566"/>
      <c r="X26" s="102"/>
      <c r="Y26" s="102"/>
      <c r="Z26" s="441"/>
      <c r="AA26" s="566"/>
      <c r="AB26" s="102"/>
      <c r="AC26" s="102"/>
      <c r="AD26" s="441"/>
      <c r="AE26" s="293"/>
      <c r="AF26" s="573">
        <f t="shared" si="2"/>
        <v>-50</v>
      </c>
      <c r="AG26" s="574">
        <f t="shared" si="1"/>
        <v>2726</v>
      </c>
      <c r="AH26" s="575">
        <f t="shared" si="1"/>
        <v>-4561</v>
      </c>
      <c r="AI26" s="77"/>
      <c r="AJ26" s="357"/>
      <c r="AL26" s="570"/>
      <c r="AM26" s="169"/>
      <c r="AN26" s="169"/>
      <c r="AO26" s="169"/>
      <c r="AP26" s="169"/>
    </row>
    <row r="27" spans="1:42" ht="16.5" customHeight="1">
      <c r="A27" s="72" t="s">
        <v>244</v>
      </c>
      <c r="B27" s="77"/>
      <c r="C27" s="566">
        <v>700</v>
      </c>
      <c r="D27" s="102">
        <v>2575</v>
      </c>
      <c r="E27" s="102">
        <v>1629</v>
      </c>
      <c r="F27" s="441">
        <f t="shared" si="3"/>
        <v>63.262135922330096</v>
      </c>
      <c r="G27" s="566"/>
      <c r="H27" s="102"/>
      <c r="I27" s="102"/>
      <c r="J27" s="441"/>
      <c r="K27" s="566"/>
      <c r="L27" s="102"/>
      <c r="M27" s="102"/>
      <c r="N27" s="441"/>
      <c r="O27" s="566"/>
      <c r="P27" s="102"/>
      <c r="Q27" s="102"/>
      <c r="R27" s="441"/>
      <c r="S27" s="566"/>
      <c r="T27" s="102"/>
      <c r="U27" s="102"/>
      <c r="V27" s="441"/>
      <c r="W27" s="566"/>
      <c r="X27" s="102"/>
      <c r="Y27" s="102"/>
      <c r="Z27" s="441"/>
      <c r="AA27" s="566"/>
      <c r="AB27" s="102"/>
      <c r="AC27" s="102"/>
      <c r="AD27" s="441"/>
      <c r="AE27" s="293"/>
      <c r="AF27" s="573">
        <f t="shared" si="2"/>
        <v>700</v>
      </c>
      <c r="AG27" s="574">
        <f t="shared" si="1"/>
        <v>2575</v>
      </c>
      <c r="AH27" s="575">
        <f t="shared" si="1"/>
        <v>1629</v>
      </c>
      <c r="AI27" s="77"/>
      <c r="AJ27" s="357"/>
      <c r="AL27" s="570"/>
      <c r="AM27" s="169"/>
      <c r="AN27" s="169"/>
      <c r="AO27" s="169"/>
      <c r="AP27" s="169"/>
    </row>
    <row r="28" spans="1:42" ht="16.5" customHeight="1">
      <c r="A28" s="72" t="s">
        <v>18</v>
      </c>
      <c r="B28" s="77"/>
      <c r="C28" s="566">
        <v>2579</v>
      </c>
      <c r="D28" s="102">
        <v>14460</v>
      </c>
      <c r="E28" s="102">
        <v>-40611</v>
      </c>
      <c r="F28" s="441">
        <f t="shared" si="3"/>
        <v>-280.850622406639</v>
      </c>
      <c r="G28" s="566"/>
      <c r="H28" s="102"/>
      <c r="I28" s="102"/>
      <c r="J28" s="441"/>
      <c r="K28" s="566"/>
      <c r="L28" s="102"/>
      <c r="M28" s="102"/>
      <c r="N28" s="441"/>
      <c r="O28" s="566">
        <v>-9834</v>
      </c>
      <c r="P28" s="102">
        <v>-9834</v>
      </c>
      <c r="Q28" s="102">
        <v>-9834</v>
      </c>
      <c r="R28" s="441">
        <f>Q28/P28*100</f>
        <v>100</v>
      </c>
      <c r="S28" s="566">
        <v>-13372</v>
      </c>
      <c r="T28" s="102">
        <v>-13386</v>
      </c>
      <c r="U28" s="102">
        <v>-13386</v>
      </c>
      <c r="V28" s="441">
        <f>U28/T28*100</f>
        <v>100</v>
      </c>
      <c r="W28" s="566"/>
      <c r="X28" s="102"/>
      <c r="Y28" s="102"/>
      <c r="Z28" s="441"/>
      <c r="AA28" s="566"/>
      <c r="AB28" s="102"/>
      <c r="AC28" s="102"/>
      <c r="AD28" s="441"/>
      <c r="AE28" s="293"/>
      <c r="AF28" s="573">
        <f t="shared" si="2"/>
        <v>-20627</v>
      </c>
      <c r="AG28" s="574">
        <f t="shared" si="1"/>
        <v>-8760</v>
      </c>
      <c r="AH28" s="575">
        <f t="shared" si="1"/>
        <v>-63831</v>
      </c>
      <c r="AI28" s="77"/>
      <c r="AJ28" s="357"/>
      <c r="AL28" s="570"/>
      <c r="AM28" s="169"/>
      <c r="AN28" s="169"/>
      <c r="AO28" s="169"/>
      <c r="AP28" s="169"/>
    </row>
    <row r="29" spans="1:38" ht="16.5" customHeight="1">
      <c r="A29" s="72" t="s">
        <v>58</v>
      </c>
      <c r="B29" s="77"/>
      <c r="C29" s="566">
        <v>1472</v>
      </c>
      <c r="D29" s="102">
        <v>6993</v>
      </c>
      <c r="E29" s="102">
        <v>356</v>
      </c>
      <c r="F29" s="441">
        <f t="shared" si="3"/>
        <v>5.090805090805091</v>
      </c>
      <c r="G29" s="566"/>
      <c r="H29" s="102"/>
      <c r="I29" s="102"/>
      <c r="J29" s="441"/>
      <c r="K29" s="566"/>
      <c r="L29" s="102"/>
      <c r="M29" s="102"/>
      <c r="N29" s="441"/>
      <c r="O29" s="566"/>
      <c r="P29" s="102"/>
      <c r="Q29" s="102"/>
      <c r="R29" s="441"/>
      <c r="S29" s="566"/>
      <c r="T29" s="102"/>
      <c r="U29" s="102"/>
      <c r="V29" s="441"/>
      <c r="W29" s="566"/>
      <c r="X29" s="102"/>
      <c r="Y29" s="102"/>
      <c r="Z29" s="441"/>
      <c r="AA29" s="566"/>
      <c r="AB29" s="102"/>
      <c r="AC29" s="102"/>
      <c r="AD29" s="441"/>
      <c r="AE29" s="293"/>
      <c r="AF29" s="573">
        <f t="shared" si="2"/>
        <v>1472</v>
      </c>
      <c r="AG29" s="574">
        <f t="shared" si="1"/>
        <v>6993</v>
      </c>
      <c r="AH29" s="575">
        <f t="shared" si="1"/>
        <v>356</v>
      </c>
      <c r="AI29" s="77"/>
      <c r="AJ29" s="357"/>
      <c r="AL29" s="570"/>
    </row>
    <row r="30" spans="1:38" ht="16.5" customHeight="1">
      <c r="A30" s="72" t="s">
        <v>19</v>
      </c>
      <c r="B30" s="585"/>
      <c r="C30" s="566">
        <v>850</v>
      </c>
      <c r="D30" s="102">
        <v>14256</v>
      </c>
      <c r="E30" s="102">
        <v>2918</v>
      </c>
      <c r="F30" s="441">
        <f t="shared" si="3"/>
        <v>20.468574635241303</v>
      </c>
      <c r="G30" s="566"/>
      <c r="H30" s="102"/>
      <c r="I30" s="102"/>
      <c r="J30" s="441"/>
      <c r="K30" s="566"/>
      <c r="L30" s="102">
        <v>1889</v>
      </c>
      <c r="M30" s="102">
        <v>1889</v>
      </c>
      <c r="N30" s="441">
        <f aca="true" t="shared" si="4" ref="N30:N35">M30/L30*100</f>
        <v>100</v>
      </c>
      <c r="O30" s="566">
        <v>-4838</v>
      </c>
      <c r="P30" s="102">
        <v>-4838</v>
      </c>
      <c r="Q30" s="102">
        <v>-4839</v>
      </c>
      <c r="R30" s="441">
        <f aca="true" t="shared" si="5" ref="R30:R38">Q30/P30*100</f>
        <v>100.0206696982224</v>
      </c>
      <c r="S30" s="566">
        <v>-7504</v>
      </c>
      <c r="T30" s="102">
        <v>-7290</v>
      </c>
      <c r="U30" s="102">
        <v>-7289</v>
      </c>
      <c r="V30" s="441">
        <f>U30/T30*100</f>
        <v>99.98628257887518</v>
      </c>
      <c r="W30" s="566"/>
      <c r="X30" s="102"/>
      <c r="Y30" s="102">
        <v>1264</v>
      </c>
      <c r="Z30" s="441"/>
      <c r="AA30" s="566"/>
      <c r="AB30" s="102"/>
      <c r="AC30" s="102">
        <v>1264</v>
      </c>
      <c r="AD30" s="441"/>
      <c r="AE30" s="293"/>
      <c r="AF30" s="573">
        <f t="shared" si="2"/>
        <v>-11492</v>
      </c>
      <c r="AG30" s="574">
        <f t="shared" si="1"/>
        <v>4017</v>
      </c>
      <c r="AH30" s="575">
        <f t="shared" si="1"/>
        <v>-4793</v>
      </c>
      <c r="AI30" s="77"/>
      <c r="AJ30" s="357"/>
      <c r="AL30" s="570"/>
    </row>
    <row r="31" spans="1:38" ht="16.5" customHeight="1">
      <c r="A31" s="72" t="s">
        <v>20</v>
      </c>
      <c r="B31" s="77"/>
      <c r="C31" s="566">
        <v>3049</v>
      </c>
      <c r="D31" s="102">
        <v>5555</v>
      </c>
      <c r="E31" s="102">
        <v>1127</v>
      </c>
      <c r="F31" s="441">
        <f t="shared" si="3"/>
        <v>20.288028802880287</v>
      </c>
      <c r="G31" s="566"/>
      <c r="H31" s="102"/>
      <c r="I31" s="102"/>
      <c r="J31" s="441"/>
      <c r="K31" s="566"/>
      <c r="L31" s="102"/>
      <c r="M31" s="102"/>
      <c r="N31" s="441"/>
      <c r="O31" s="566">
        <v>-11495</v>
      </c>
      <c r="P31" s="102">
        <f>-11495-9</f>
        <v>-11504</v>
      </c>
      <c r="Q31" s="102">
        <v>-11503</v>
      </c>
      <c r="R31" s="441">
        <f t="shared" si="5"/>
        <v>99.9913073713491</v>
      </c>
      <c r="S31" s="581">
        <v>-1080</v>
      </c>
      <c r="T31" s="102">
        <v>-1080</v>
      </c>
      <c r="U31" s="102">
        <v>-1080</v>
      </c>
      <c r="V31" s="441">
        <f>U31/T31*100</f>
        <v>100</v>
      </c>
      <c r="W31" s="566"/>
      <c r="X31" s="102"/>
      <c r="Y31" s="102"/>
      <c r="Z31" s="441"/>
      <c r="AA31" s="566"/>
      <c r="AB31" s="102"/>
      <c r="AC31" s="102"/>
      <c r="AD31" s="441"/>
      <c r="AE31" s="293"/>
      <c r="AF31" s="573">
        <f t="shared" si="2"/>
        <v>-9526</v>
      </c>
      <c r="AG31" s="574">
        <f t="shared" si="1"/>
        <v>-7029</v>
      </c>
      <c r="AH31" s="575">
        <f t="shared" si="1"/>
        <v>-11456</v>
      </c>
      <c r="AI31" s="77"/>
      <c r="AJ31" s="357"/>
      <c r="AL31" s="570"/>
    </row>
    <row r="32" spans="1:38" ht="16.5" customHeight="1">
      <c r="A32" s="72" t="s">
        <v>21</v>
      </c>
      <c r="B32" s="77"/>
      <c r="C32" s="566">
        <v>10981</v>
      </c>
      <c r="D32" s="102">
        <v>20682</v>
      </c>
      <c r="E32" s="102">
        <v>4291</v>
      </c>
      <c r="F32" s="441">
        <f t="shared" si="3"/>
        <v>20.747509912000776</v>
      </c>
      <c r="G32" s="566"/>
      <c r="H32" s="102">
        <v>1831</v>
      </c>
      <c r="I32" s="102">
        <v>1831</v>
      </c>
      <c r="J32" s="441">
        <f>I32/H32*100</f>
        <v>100</v>
      </c>
      <c r="K32" s="566"/>
      <c r="L32" s="102"/>
      <c r="M32" s="102"/>
      <c r="N32" s="441"/>
      <c r="O32" s="566">
        <v>-12696</v>
      </c>
      <c r="P32" s="102">
        <v>-12696</v>
      </c>
      <c r="Q32" s="102">
        <v>-12695</v>
      </c>
      <c r="R32" s="441">
        <f t="shared" si="5"/>
        <v>99.99212350346566</v>
      </c>
      <c r="S32" s="566"/>
      <c r="T32" s="102"/>
      <c r="U32" s="102"/>
      <c r="V32" s="441"/>
      <c r="W32" s="566"/>
      <c r="X32" s="102"/>
      <c r="Y32" s="102"/>
      <c r="Z32" s="441"/>
      <c r="AA32" s="566"/>
      <c r="AB32" s="102"/>
      <c r="AC32" s="102"/>
      <c r="AD32" s="441"/>
      <c r="AE32" s="293"/>
      <c r="AF32" s="573">
        <f t="shared" si="2"/>
        <v>-1715</v>
      </c>
      <c r="AG32" s="574">
        <f t="shared" si="2"/>
        <v>9817</v>
      </c>
      <c r="AH32" s="575">
        <f t="shared" si="2"/>
        <v>-6573</v>
      </c>
      <c r="AI32" s="77"/>
      <c r="AJ32" s="357"/>
      <c r="AL32" s="570"/>
    </row>
    <row r="33" spans="1:38" ht="16.5" customHeight="1">
      <c r="A33" s="72" t="s">
        <v>22</v>
      </c>
      <c r="B33" s="77"/>
      <c r="C33" s="566">
        <v>11432</v>
      </c>
      <c r="D33" s="102">
        <v>15876</v>
      </c>
      <c r="E33" s="102">
        <v>6696</v>
      </c>
      <c r="F33" s="441">
        <f t="shared" si="3"/>
        <v>42.17687074829932</v>
      </c>
      <c r="G33" s="566"/>
      <c r="H33" s="102"/>
      <c r="I33" s="102"/>
      <c r="J33" s="441"/>
      <c r="K33" s="566">
        <v>40000</v>
      </c>
      <c r="L33" s="102">
        <v>40000</v>
      </c>
      <c r="M33" s="102">
        <v>40000</v>
      </c>
      <c r="N33" s="441">
        <f t="shared" si="4"/>
        <v>100</v>
      </c>
      <c r="O33" s="566">
        <v>-2440</v>
      </c>
      <c r="P33" s="102">
        <v>-2440</v>
      </c>
      <c r="Q33" s="102">
        <v>-2439</v>
      </c>
      <c r="R33" s="441">
        <f t="shared" si="5"/>
        <v>99.95901639344262</v>
      </c>
      <c r="S33" s="581">
        <v>-4667</v>
      </c>
      <c r="T33" s="102">
        <v>-4667</v>
      </c>
      <c r="U33" s="102">
        <v>-4667</v>
      </c>
      <c r="V33" s="441">
        <f>U33/T33*100</f>
        <v>100</v>
      </c>
      <c r="W33" s="566"/>
      <c r="X33" s="102"/>
      <c r="Y33" s="102"/>
      <c r="Z33" s="441"/>
      <c r="AA33" s="566"/>
      <c r="AB33" s="102"/>
      <c r="AC33" s="102"/>
      <c r="AD33" s="441"/>
      <c r="AE33" s="293"/>
      <c r="AF33" s="573">
        <f t="shared" si="2"/>
        <v>44325</v>
      </c>
      <c r="AG33" s="574">
        <f t="shared" si="2"/>
        <v>48769</v>
      </c>
      <c r="AH33" s="575">
        <f t="shared" si="2"/>
        <v>39590</v>
      </c>
      <c r="AI33" s="77"/>
      <c r="AJ33" s="357"/>
      <c r="AL33" s="570"/>
    </row>
    <row r="34" spans="1:38" ht="16.5" customHeight="1">
      <c r="A34" s="72" t="s">
        <v>23</v>
      </c>
      <c r="B34" s="77"/>
      <c r="C34" s="566">
        <v>7855</v>
      </c>
      <c r="D34" s="102">
        <v>19280</v>
      </c>
      <c r="E34" s="102">
        <v>4422</v>
      </c>
      <c r="F34" s="441">
        <f t="shared" si="3"/>
        <v>22.935684647302903</v>
      </c>
      <c r="G34" s="566"/>
      <c r="H34" s="102"/>
      <c r="I34" s="102"/>
      <c r="J34" s="441"/>
      <c r="K34" s="566"/>
      <c r="L34" s="102"/>
      <c r="M34" s="102"/>
      <c r="N34" s="441"/>
      <c r="O34" s="566">
        <v>-6223</v>
      </c>
      <c r="P34" s="102">
        <v>-6223</v>
      </c>
      <c r="Q34" s="102">
        <v>-6223</v>
      </c>
      <c r="R34" s="441">
        <f t="shared" si="5"/>
        <v>100</v>
      </c>
      <c r="S34" s="566">
        <v>-9000</v>
      </c>
      <c r="T34" s="102">
        <v>-9000</v>
      </c>
      <c r="U34" s="102">
        <v>-9000</v>
      </c>
      <c r="V34" s="441">
        <f>U34/T34*100</f>
        <v>100</v>
      </c>
      <c r="W34" s="566"/>
      <c r="X34" s="102"/>
      <c r="Y34" s="102"/>
      <c r="Z34" s="441"/>
      <c r="AA34" s="566"/>
      <c r="AB34" s="102"/>
      <c r="AC34" s="102"/>
      <c r="AD34" s="441"/>
      <c r="AE34" s="293"/>
      <c r="AF34" s="573">
        <f t="shared" si="2"/>
        <v>-7368</v>
      </c>
      <c r="AG34" s="574">
        <f t="shared" si="2"/>
        <v>4057</v>
      </c>
      <c r="AH34" s="575">
        <f t="shared" si="2"/>
        <v>-10801</v>
      </c>
      <c r="AI34" s="77"/>
      <c r="AJ34" s="357"/>
      <c r="AL34" s="570"/>
    </row>
    <row r="35" spans="1:38" ht="16.5" customHeight="1">
      <c r="A35" s="72" t="s">
        <v>24</v>
      </c>
      <c r="B35" s="77"/>
      <c r="C35" s="566"/>
      <c r="D35" s="102">
        <v>799</v>
      </c>
      <c r="E35" s="102">
        <v>-2174</v>
      </c>
      <c r="F35" s="441">
        <f t="shared" si="3"/>
        <v>-272.090112640801</v>
      </c>
      <c r="G35" s="566"/>
      <c r="H35" s="102"/>
      <c r="I35" s="102"/>
      <c r="J35" s="441"/>
      <c r="K35" s="566"/>
      <c r="L35" s="102">
        <v>40700</v>
      </c>
      <c r="M35" s="102">
        <v>40399</v>
      </c>
      <c r="N35" s="441">
        <f t="shared" si="4"/>
        <v>99.26044226044226</v>
      </c>
      <c r="O35" s="566">
        <v>-3040</v>
      </c>
      <c r="P35" s="102">
        <v>-3040</v>
      </c>
      <c r="Q35" s="102">
        <v>-3040</v>
      </c>
      <c r="R35" s="441">
        <f t="shared" si="5"/>
        <v>100</v>
      </c>
      <c r="S35" s="582">
        <v>-2096</v>
      </c>
      <c r="T35" s="586">
        <v>-2096</v>
      </c>
      <c r="U35" s="102">
        <v>-2096</v>
      </c>
      <c r="V35" s="441">
        <f>U35/T35*100</f>
        <v>100</v>
      </c>
      <c r="W35" s="566"/>
      <c r="X35" s="102"/>
      <c r="Y35" s="102"/>
      <c r="Z35" s="441"/>
      <c r="AA35" s="566"/>
      <c r="AB35" s="102"/>
      <c r="AC35" s="102"/>
      <c r="AD35" s="441"/>
      <c r="AE35" s="293"/>
      <c r="AF35" s="573">
        <f t="shared" si="2"/>
        <v>-5136</v>
      </c>
      <c r="AG35" s="574">
        <f t="shared" si="2"/>
        <v>36363</v>
      </c>
      <c r="AH35" s="575">
        <f t="shared" si="2"/>
        <v>33089</v>
      </c>
      <c r="AI35" s="77"/>
      <c r="AJ35" s="357"/>
      <c r="AL35" s="570"/>
    </row>
    <row r="36" spans="1:38" ht="16.5" customHeight="1">
      <c r="A36" s="72" t="s">
        <v>25</v>
      </c>
      <c r="B36" s="77"/>
      <c r="C36" s="566"/>
      <c r="D36" s="102">
        <v>7459</v>
      </c>
      <c r="E36" s="102">
        <v>-644</v>
      </c>
      <c r="F36" s="441">
        <f t="shared" si="3"/>
        <v>-8.63386512937391</v>
      </c>
      <c r="G36" s="566"/>
      <c r="H36" s="102"/>
      <c r="I36" s="102"/>
      <c r="J36" s="441"/>
      <c r="K36" s="566"/>
      <c r="L36" s="102"/>
      <c r="M36" s="102"/>
      <c r="N36" s="441"/>
      <c r="O36" s="566"/>
      <c r="P36" s="102"/>
      <c r="Q36" s="102"/>
      <c r="R36" s="441"/>
      <c r="S36" s="566"/>
      <c r="T36" s="102"/>
      <c r="U36" s="102"/>
      <c r="V36" s="441"/>
      <c r="W36" s="566"/>
      <c r="X36" s="102"/>
      <c r="Y36" s="102"/>
      <c r="Z36" s="441"/>
      <c r="AA36" s="566"/>
      <c r="AB36" s="102"/>
      <c r="AC36" s="102"/>
      <c r="AD36" s="441"/>
      <c r="AE36" s="293"/>
      <c r="AF36" s="573">
        <f t="shared" si="2"/>
        <v>0</v>
      </c>
      <c r="AG36" s="574">
        <f t="shared" si="2"/>
        <v>7459</v>
      </c>
      <c r="AH36" s="575">
        <f t="shared" si="2"/>
        <v>-644</v>
      </c>
      <c r="AI36" s="77"/>
      <c r="AJ36" s="357"/>
      <c r="AL36" s="570"/>
    </row>
    <row r="37" spans="1:38" ht="16.5" customHeight="1">
      <c r="A37" s="72" t="s">
        <v>26</v>
      </c>
      <c r="B37" s="77"/>
      <c r="C37" s="566"/>
      <c r="D37" s="102">
        <v>2792</v>
      </c>
      <c r="E37" s="102">
        <v>-3480</v>
      </c>
      <c r="F37" s="441">
        <f t="shared" si="3"/>
        <v>-124.64183381088824</v>
      </c>
      <c r="G37" s="566"/>
      <c r="H37" s="102"/>
      <c r="I37" s="102"/>
      <c r="J37" s="441"/>
      <c r="K37" s="566"/>
      <c r="L37" s="102"/>
      <c r="M37" s="102"/>
      <c r="N37" s="441"/>
      <c r="O37" s="566">
        <v>-385</v>
      </c>
      <c r="P37" s="102">
        <v>-385</v>
      </c>
      <c r="Q37" s="102">
        <v>-385</v>
      </c>
      <c r="R37" s="441">
        <f t="shared" si="5"/>
        <v>100</v>
      </c>
      <c r="S37" s="566"/>
      <c r="T37" s="102"/>
      <c r="U37" s="102"/>
      <c r="V37" s="441"/>
      <c r="W37" s="566"/>
      <c r="X37" s="102"/>
      <c r="Y37" s="102"/>
      <c r="Z37" s="441"/>
      <c r="AA37" s="566"/>
      <c r="AB37" s="102"/>
      <c r="AC37" s="102"/>
      <c r="AD37" s="441"/>
      <c r="AE37" s="293"/>
      <c r="AF37" s="573">
        <f t="shared" si="2"/>
        <v>-385</v>
      </c>
      <c r="AG37" s="574">
        <f t="shared" si="2"/>
        <v>2407</v>
      </c>
      <c r="AH37" s="575">
        <f t="shared" si="2"/>
        <v>-3865</v>
      </c>
      <c r="AI37" s="77"/>
      <c r="AJ37" s="357"/>
      <c r="AL37" s="570"/>
    </row>
    <row r="38" spans="1:38" ht="16.5" customHeight="1">
      <c r="A38" s="72" t="s">
        <v>27</v>
      </c>
      <c r="B38" s="585"/>
      <c r="C38" s="566">
        <v>33974</v>
      </c>
      <c r="D38" s="102">
        <v>47944</v>
      </c>
      <c r="E38" s="102">
        <v>-1744</v>
      </c>
      <c r="F38" s="441">
        <f t="shared" si="3"/>
        <v>-3.6375771733689306</v>
      </c>
      <c r="G38" s="566"/>
      <c r="H38" s="102"/>
      <c r="I38" s="102"/>
      <c r="J38" s="441"/>
      <c r="K38" s="566"/>
      <c r="L38" s="102"/>
      <c r="M38" s="102"/>
      <c r="N38" s="441"/>
      <c r="O38" s="566">
        <v>-600</v>
      </c>
      <c r="P38" s="102">
        <v>-600</v>
      </c>
      <c r="Q38" s="102">
        <v>-600</v>
      </c>
      <c r="R38" s="441">
        <f t="shared" si="5"/>
        <v>100</v>
      </c>
      <c r="S38" s="566">
        <v>-4878</v>
      </c>
      <c r="T38" s="102">
        <v>-4878</v>
      </c>
      <c r="U38" s="102">
        <v>-4878</v>
      </c>
      <c r="V38" s="441">
        <f>U38/T38*100</f>
        <v>100</v>
      </c>
      <c r="W38" s="566"/>
      <c r="X38" s="102"/>
      <c r="Y38" s="102">
        <v>24778</v>
      </c>
      <c r="Z38" s="441"/>
      <c r="AA38" s="566"/>
      <c r="AB38" s="102"/>
      <c r="AC38" s="102"/>
      <c r="AD38" s="441"/>
      <c r="AE38" s="293"/>
      <c r="AF38" s="573">
        <f t="shared" si="2"/>
        <v>28496</v>
      </c>
      <c r="AG38" s="574">
        <f t="shared" si="2"/>
        <v>42466</v>
      </c>
      <c r="AH38" s="575">
        <f t="shared" si="2"/>
        <v>17556</v>
      </c>
      <c r="AI38" s="77"/>
      <c r="AJ38" s="357">
        <f>AH38+24778</f>
        <v>42334</v>
      </c>
      <c r="AL38" s="570"/>
    </row>
    <row r="39" spans="1:38" ht="16.5" customHeight="1">
      <c r="A39" s="72" t="s">
        <v>28</v>
      </c>
      <c r="B39" s="77"/>
      <c r="C39" s="566"/>
      <c r="D39" s="102">
        <v>3131</v>
      </c>
      <c r="E39" s="102">
        <v>2889</v>
      </c>
      <c r="F39" s="441">
        <f aca="true" t="shared" si="6" ref="F39:F44">E39/D39*100</f>
        <v>92.27083998722453</v>
      </c>
      <c r="G39" s="566"/>
      <c r="H39" s="102"/>
      <c r="I39" s="102"/>
      <c r="J39" s="441"/>
      <c r="K39" s="566"/>
      <c r="L39" s="102"/>
      <c r="M39" s="102"/>
      <c r="N39" s="441"/>
      <c r="O39" s="566"/>
      <c r="P39" s="102"/>
      <c r="Q39" s="102"/>
      <c r="R39" s="441"/>
      <c r="S39" s="566"/>
      <c r="T39" s="102"/>
      <c r="U39" s="102"/>
      <c r="V39" s="441"/>
      <c r="W39" s="566"/>
      <c r="X39" s="102"/>
      <c r="Y39" s="102"/>
      <c r="Z39" s="441"/>
      <c r="AA39" s="566"/>
      <c r="AB39" s="102"/>
      <c r="AC39" s="102"/>
      <c r="AD39" s="441"/>
      <c r="AE39" s="293"/>
      <c r="AF39" s="573">
        <f t="shared" si="2"/>
        <v>0</v>
      </c>
      <c r="AG39" s="574">
        <f t="shared" si="2"/>
        <v>3131</v>
      </c>
      <c r="AH39" s="575">
        <f t="shared" si="2"/>
        <v>2889</v>
      </c>
      <c r="AI39" s="77"/>
      <c r="AJ39" s="357"/>
      <c r="AL39" s="570"/>
    </row>
    <row r="40" spans="1:38" ht="16.5" customHeight="1">
      <c r="A40" s="72" t="s">
        <v>325</v>
      </c>
      <c r="B40" s="77"/>
      <c r="C40" s="566">
        <v>17150</v>
      </c>
      <c r="D40" s="102">
        <v>18278</v>
      </c>
      <c r="E40" s="102">
        <v>-2791</v>
      </c>
      <c r="F40" s="441">
        <f t="shared" si="6"/>
        <v>-15.269723164460006</v>
      </c>
      <c r="G40" s="566"/>
      <c r="H40" s="102"/>
      <c r="I40" s="102"/>
      <c r="J40" s="441"/>
      <c r="K40" s="566"/>
      <c r="L40" s="102"/>
      <c r="M40" s="102"/>
      <c r="N40" s="441"/>
      <c r="O40" s="566"/>
      <c r="P40" s="102"/>
      <c r="Q40" s="102"/>
      <c r="R40" s="441"/>
      <c r="S40" s="566"/>
      <c r="T40" s="102"/>
      <c r="U40" s="102"/>
      <c r="V40" s="441"/>
      <c r="W40" s="566"/>
      <c r="X40" s="102"/>
      <c r="Y40" s="102"/>
      <c r="Z40" s="441"/>
      <c r="AA40" s="566"/>
      <c r="AB40" s="102"/>
      <c r="AC40" s="102"/>
      <c r="AD40" s="441"/>
      <c r="AE40" s="293"/>
      <c r="AF40" s="573">
        <f t="shared" si="2"/>
        <v>17150</v>
      </c>
      <c r="AG40" s="574">
        <f t="shared" si="2"/>
        <v>18278</v>
      </c>
      <c r="AH40" s="575">
        <f t="shared" si="2"/>
        <v>-2791</v>
      </c>
      <c r="AI40" s="77"/>
      <c r="AJ40" s="357"/>
      <c r="AL40" s="570"/>
    </row>
    <row r="41" spans="1:38" ht="16.5" customHeight="1">
      <c r="A41" s="72" t="s">
        <v>29</v>
      </c>
      <c r="B41" s="77"/>
      <c r="C41" s="566"/>
      <c r="D41" s="102">
        <v>237</v>
      </c>
      <c r="E41" s="102">
        <v>-113</v>
      </c>
      <c r="F41" s="441">
        <f t="shared" si="6"/>
        <v>-47.67932489451477</v>
      </c>
      <c r="G41" s="566"/>
      <c r="H41" s="102"/>
      <c r="I41" s="102"/>
      <c r="J41" s="441"/>
      <c r="K41" s="566"/>
      <c r="L41" s="102"/>
      <c r="M41" s="102"/>
      <c r="N41" s="441"/>
      <c r="O41" s="566"/>
      <c r="P41" s="102"/>
      <c r="Q41" s="102"/>
      <c r="R41" s="441"/>
      <c r="S41" s="566"/>
      <c r="T41" s="102"/>
      <c r="U41" s="102"/>
      <c r="V41" s="441"/>
      <c r="W41" s="566"/>
      <c r="X41" s="102"/>
      <c r="Y41" s="102"/>
      <c r="Z41" s="441"/>
      <c r="AA41" s="566"/>
      <c r="AB41" s="102"/>
      <c r="AC41" s="102"/>
      <c r="AD41" s="441"/>
      <c r="AE41" s="293"/>
      <c r="AF41" s="573">
        <f t="shared" si="2"/>
        <v>0</v>
      </c>
      <c r="AG41" s="574">
        <f t="shared" si="2"/>
        <v>237</v>
      </c>
      <c r="AH41" s="575">
        <f t="shared" si="2"/>
        <v>-113</v>
      </c>
      <c r="AI41" s="77"/>
      <c r="AJ41" s="357"/>
      <c r="AL41" s="570"/>
    </row>
    <row r="42" spans="1:38" ht="16.5" customHeight="1">
      <c r="A42" s="72" t="s">
        <v>30</v>
      </c>
      <c r="B42" s="73"/>
      <c r="C42" s="566"/>
      <c r="D42" s="102">
        <v>187</v>
      </c>
      <c r="E42" s="102">
        <f>-1833-1</f>
        <v>-1834</v>
      </c>
      <c r="F42" s="441">
        <f t="shared" si="6"/>
        <v>-980.7486631016042</v>
      </c>
      <c r="G42" s="566"/>
      <c r="H42" s="102"/>
      <c r="I42" s="102"/>
      <c r="J42" s="441"/>
      <c r="K42" s="566"/>
      <c r="L42" s="102"/>
      <c r="M42" s="102"/>
      <c r="N42" s="441"/>
      <c r="O42" s="566"/>
      <c r="P42" s="102"/>
      <c r="Q42" s="102"/>
      <c r="R42" s="441"/>
      <c r="S42" s="566"/>
      <c r="T42" s="102"/>
      <c r="U42" s="102"/>
      <c r="V42" s="441"/>
      <c r="W42" s="566"/>
      <c r="X42" s="102"/>
      <c r="Y42" s="102"/>
      <c r="Z42" s="441"/>
      <c r="AA42" s="566"/>
      <c r="AB42" s="102"/>
      <c r="AC42" s="102"/>
      <c r="AD42" s="441"/>
      <c r="AE42" s="293"/>
      <c r="AF42" s="573">
        <f t="shared" si="2"/>
        <v>0</v>
      </c>
      <c r="AG42" s="574">
        <f t="shared" si="2"/>
        <v>187</v>
      </c>
      <c r="AH42" s="575">
        <f t="shared" si="2"/>
        <v>-1834</v>
      </c>
      <c r="AI42" s="73"/>
      <c r="AJ42" s="357"/>
      <c r="AL42" s="570"/>
    </row>
    <row r="43" spans="1:38" ht="15" customHeight="1">
      <c r="A43" s="72" t="s">
        <v>31</v>
      </c>
      <c r="B43" s="73"/>
      <c r="C43" s="587"/>
      <c r="D43" s="576">
        <v>659</v>
      </c>
      <c r="E43" s="102">
        <v>463</v>
      </c>
      <c r="F43" s="441">
        <f t="shared" si="6"/>
        <v>70.25796661608497</v>
      </c>
      <c r="G43" s="566"/>
      <c r="H43" s="102"/>
      <c r="I43" s="102"/>
      <c r="J43" s="441"/>
      <c r="K43" s="566"/>
      <c r="L43" s="102"/>
      <c r="M43" s="102"/>
      <c r="N43" s="441"/>
      <c r="O43" s="566"/>
      <c r="P43" s="102"/>
      <c r="Q43" s="576"/>
      <c r="R43" s="441"/>
      <c r="S43" s="566"/>
      <c r="T43" s="102"/>
      <c r="U43" s="102"/>
      <c r="V43" s="441"/>
      <c r="W43" s="566"/>
      <c r="X43" s="102"/>
      <c r="Y43" s="102"/>
      <c r="Z43" s="441"/>
      <c r="AA43" s="566"/>
      <c r="AB43" s="102"/>
      <c r="AC43" s="102"/>
      <c r="AD43" s="441"/>
      <c r="AE43" s="293"/>
      <c r="AF43" s="573">
        <f t="shared" si="2"/>
        <v>0</v>
      </c>
      <c r="AG43" s="574">
        <f t="shared" si="2"/>
        <v>659</v>
      </c>
      <c r="AH43" s="575">
        <f t="shared" si="2"/>
        <v>463</v>
      </c>
      <c r="AI43" s="73"/>
      <c r="AJ43" s="357"/>
      <c r="AL43" s="570"/>
    </row>
    <row r="44" spans="1:38" ht="15" customHeight="1">
      <c r="A44" s="448" t="s">
        <v>32</v>
      </c>
      <c r="B44" s="449"/>
      <c r="C44" s="587"/>
      <c r="D44" s="576">
        <v>483</v>
      </c>
      <c r="E44" s="102">
        <v>201</v>
      </c>
      <c r="F44" s="441">
        <f t="shared" si="6"/>
        <v>41.61490683229814</v>
      </c>
      <c r="G44" s="566"/>
      <c r="H44" s="102"/>
      <c r="I44" s="102"/>
      <c r="J44" s="441"/>
      <c r="K44" s="587"/>
      <c r="L44" s="102"/>
      <c r="M44" s="576"/>
      <c r="N44" s="441"/>
      <c r="O44" s="566"/>
      <c r="P44" s="102"/>
      <c r="Q44" s="576"/>
      <c r="R44" s="441"/>
      <c r="S44" s="566"/>
      <c r="T44" s="102"/>
      <c r="U44" s="102"/>
      <c r="V44" s="441"/>
      <c r="W44" s="566"/>
      <c r="X44" s="102"/>
      <c r="Y44" s="102"/>
      <c r="Z44" s="441"/>
      <c r="AA44" s="566"/>
      <c r="AB44" s="102"/>
      <c r="AC44" s="102"/>
      <c r="AD44" s="441"/>
      <c r="AE44" s="293"/>
      <c r="AF44" s="573">
        <f t="shared" si="2"/>
        <v>0</v>
      </c>
      <c r="AG44" s="574">
        <f t="shared" si="2"/>
        <v>483</v>
      </c>
      <c r="AH44" s="575">
        <f t="shared" si="2"/>
        <v>201</v>
      </c>
      <c r="AI44" s="449"/>
      <c r="AJ44" s="357"/>
      <c r="AL44" s="570"/>
    </row>
    <row r="45" spans="1:38" ht="15" customHeight="1" thickBot="1">
      <c r="A45" s="13"/>
      <c r="B45" s="223"/>
      <c r="C45" s="508"/>
      <c r="D45" s="509"/>
      <c r="E45" s="509"/>
      <c r="F45" s="452"/>
      <c r="G45" s="588"/>
      <c r="H45" s="579"/>
      <c r="I45" s="579"/>
      <c r="J45" s="452"/>
      <c r="K45" s="508"/>
      <c r="L45" s="82"/>
      <c r="M45" s="509"/>
      <c r="N45" s="452"/>
      <c r="O45" s="508"/>
      <c r="P45" s="509"/>
      <c r="Q45" s="509"/>
      <c r="R45" s="510"/>
      <c r="S45" s="583"/>
      <c r="T45" s="578"/>
      <c r="U45" s="578"/>
      <c r="V45" s="470"/>
      <c r="W45" s="80"/>
      <c r="X45" s="81"/>
      <c r="Y45" s="81"/>
      <c r="Z45" s="414"/>
      <c r="AA45" s="80"/>
      <c r="AB45" s="81"/>
      <c r="AC45" s="81"/>
      <c r="AD45" s="414"/>
      <c r="AE45" s="293"/>
      <c r="AF45" s="589">
        <f t="shared" si="2"/>
        <v>0</v>
      </c>
      <c r="AG45" s="590">
        <f t="shared" si="2"/>
        <v>0</v>
      </c>
      <c r="AH45" s="591">
        <f t="shared" si="2"/>
        <v>0</v>
      </c>
      <c r="AI45" s="14"/>
      <c r="AJ45" s="169"/>
      <c r="AK45" s="169"/>
      <c r="AL45" s="169"/>
    </row>
    <row r="46" spans="1:38" ht="16.5" customHeight="1" thickBot="1">
      <c r="A46" s="4"/>
      <c r="B46" s="4"/>
      <c r="C46" s="4"/>
      <c r="D46" s="4"/>
      <c r="E46" s="4"/>
      <c r="F46" s="7"/>
      <c r="G46" s="580"/>
      <c r="H46" s="580"/>
      <c r="I46" s="580"/>
      <c r="J46" s="4"/>
      <c r="K46" s="4"/>
      <c r="L46" s="4"/>
      <c r="M46" s="4"/>
      <c r="N46" s="7"/>
      <c r="O46" s="4"/>
      <c r="P46" s="4"/>
      <c r="Q46" s="4"/>
      <c r="R46" s="7"/>
      <c r="S46" s="7"/>
      <c r="T46" s="7"/>
      <c r="U46" s="7"/>
      <c r="V46" s="7"/>
      <c r="W46" s="84"/>
      <c r="X46" s="84"/>
      <c r="Y46" s="84"/>
      <c r="Z46" s="415"/>
      <c r="AA46" s="84"/>
      <c r="AB46" s="84"/>
      <c r="AC46" s="84"/>
      <c r="AD46" s="415"/>
      <c r="AE46" s="415"/>
      <c r="AF46" s="592">
        <f>SUM(AF16:AF45)</f>
        <v>66199</v>
      </c>
      <c r="AG46" s="593">
        <f>SUM(AG16:AG45)</f>
        <v>264140</v>
      </c>
      <c r="AH46" s="594">
        <f>SUM(AH16:AH45)</f>
        <v>-19668</v>
      </c>
      <c r="AI46" s="595">
        <f>SUM(AI16:AI45)</f>
        <v>0</v>
      </c>
      <c r="AJ46" s="169"/>
      <c r="AK46" s="169"/>
      <c r="AL46" s="169"/>
    </row>
    <row r="47" spans="1:38" ht="16.5" customHeight="1" thickBot="1">
      <c r="A47" s="4"/>
      <c r="B47" s="4"/>
      <c r="C47" s="4"/>
      <c r="D47" s="4"/>
      <c r="E47" s="4"/>
      <c r="F47" s="7"/>
      <c r="G47" s="580"/>
      <c r="H47" s="580"/>
      <c r="I47" s="580"/>
      <c r="J47" s="4"/>
      <c r="K47" s="4"/>
      <c r="L47" s="4"/>
      <c r="M47" s="4"/>
      <c r="N47" s="7"/>
      <c r="O47" s="4"/>
      <c r="P47" s="4"/>
      <c r="Q47" s="4"/>
      <c r="R47" s="7"/>
      <c r="S47" s="7"/>
      <c r="T47" s="7"/>
      <c r="U47" s="7"/>
      <c r="V47" s="7"/>
      <c r="W47" s="4"/>
      <c r="X47" s="4"/>
      <c r="Y47" s="4"/>
      <c r="Z47" s="415"/>
      <c r="AA47" s="4"/>
      <c r="AB47" s="4"/>
      <c r="AC47" s="4"/>
      <c r="AD47" s="415"/>
      <c r="AE47" s="415"/>
      <c r="AF47" s="900" t="s">
        <v>313</v>
      </c>
      <c r="AG47" s="901"/>
      <c r="AH47" s="902"/>
      <c r="AI47" s="14"/>
      <c r="AJ47" s="169"/>
      <c r="AK47" s="169"/>
      <c r="AL47" s="169"/>
    </row>
    <row r="48" spans="1:36" ht="18" customHeight="1" thickBot="1">
      <c r="A48" s="49" t="s">
        <v>33</v>
      </c>
      <c r="B48" s="4"/>
      <c r="C48" s="87">
        <f>SUM(C16:C44)</f>
        <v>156490</v>
      </c>
      <c r="D48" s="88">
        <f>SUM(D16:D44)</f>
        <v>295574</v>
      </c>
      <c r="E48" s="461">
        <f>SUM(E16:E44)</f>
        <v>-11056</v>
      </c>
      <c r="F48" s="596">
        <f>E48/D48*100</f>
        <v>-3.7405184488486807</v>
      </c>
      <c r="G48" s="87"/>
      <c r="H48" s="88">
        <f>SUM(H16:H44)</f>
        <v>13896</v>
      </c>
      <c r="I48" s="88">
        <f>SUM(I16:I44)</f>
        <v>9696</v>
      </c>
      <c r="J48" s="89">
        <f>I48/H48*100</f>
        <v>69.77547495682211</v>
      </c>
      <c r="K48" s="88">
        <f>SUM(K15:K44)</f>
        <v>40000</v>
      </c>
      <c r="L48" s="88">
        <f>SUM(L15:L44)</f>
        <v>82589</v>
      </c>
      <c r="M48" s="88">
        <f>SUM(M15:M44)</f>
        <v>82288</v>
      </c>
      <c r="N48" s="89">
        <f>M48/L48*100</f>
        <v>99.63554468512757</v>
      </c>
      <c r="O48" s="584">
        <f>SUM(O16:O44)</f>
        <v>-72700</v>
      </c>
      <c r="P48" s="461">
        <f>SUM(P16:P44)</f>
        <v>-70656</v>
      </c>
      <c r="Q48" s="461">
        <f>SUM(Q16:Q44)</f>
        <v>-70645</v>
      </c>
      <c r="R48" s="89">
        <f>Q48/P48*100</f>
        <v>99.98443161231883</v>
      </c>
      <c r="S48" s="584">
        <f>SUM(S16:S44)</f>
        <v>-58591</v>
      </c>
      <c r="T48" s="461">
        <f>SUM(T16:T44)</f>
        <v>-58191</v>
      </c>
      <c r="U48" s="461">
        <f>SUM(U16:U44)</f>
        <v>-58185</v>
      </c>
      <c r="V48" s="89">
        <f>U48/T48*100</f>
        <v>99.9896891271846</v>
      </c>
      <c r="W48" s="597">
        <f>SUM(W16:W44)</f>
        <v>1000</v>
      </c>
      <c r="X48" s="598">
        <f>SUM(X16:X44)</f>
        <v>928</v>
      </c>
      <c r="Y48" s="599">
        <f>SUM(Y16:Y44)</f>
        <v>26970</v>
      </c>
      <c r="Z48" s="89">
        <f>Y48/X48*100</f>
        <v>2906.25</v>
      </c>
      <c r="AA48" s="87">
        <f>SUM(AD16:AD44)</f>
        <v>0</v>
      </c>
      <c r="AB48" s="88"/>
      <c r="AC48" s="461">
        <f>SUM(AC16:AC44)</f>
        <v>1264</v>
      </c>
      <c r="AD48" s="89"/>
      <c r="AE48" s="293"/>
      <c r="AF48" s="600"/>
      <c r="AG48" s="601"/>
      <c r="AH48" s="602">
        <f>1288778-1264000</f>
        <v>24778</v>
      </c>
      <c r="AI48" s="603">
        <f>SUM(AI16:AI47)</f>
        <v>0</v>
      </c>
      <c r="AJ48" s="2">
        <f>914777886-890000000</f>
        <v>24777886</v>
      </c>
    </row>
    <row r="49" spans="21:35" ht="15.75" customHeight="1" thickBot="1">
      <c r="U49" s="195"/>
      <c r="Y49" s="12"/>
      <c r="AC49" s="12"/>
      <c r="AF49" s="608">
        <f>AF46+AF48</f>
        <v>66199</v>
      </c>
      <c r="AG49" s="608">
        <f>AG46+AG48</f>
        <v>264140</v>
      </c>
      <c r="AH49" s="608">
        <f>AH46+AH48</f>
        <v>5110</v>
      </c>
      <c r="AI49" s="608">
        <f>AI46+AI48</f>
        <v>0</v>
      </c>
    </row>
    <row r="50" spans="22:36" s="105" customFormat="1" ht="15.75" customHeight="1">
      <c r="V50" s="609"/>
      <c r="AE50" s="106"/>
      <c r="AF50" s="610"/>
      <c r="AG50" s="610"/>
      <c r="AH50" s="610"/>
      <c r="AI50" s="106"/>
      <c r="AJ50" s="106"/>
    </row>
    <row r="51" spans="1:36" ht="19.5" customHeight="1">
      <c r="A51" s="5"/>
      <c r="B51" s="5"/>
      <c r="C51" s="5"/>
      <c r="D51" s="301"/>
      <c r="E51" s="301"/>
      <c r="F51" s="5"/>
      <c r="G51" s="5"/>
      <c r="H51" s="5"/>
      <c r="J51" s="5"/>
      <c r="K51" s="5"/>
      <c r="L51" s="5"/>
      <c r="M51" s="5"/>
      <c r="N51" s="5"/>
      <c r="O51" s="5"/>
      <c r="P51" s="5"/>
      <c r="Q51" s="577"/>
      <c r="R51" s="5"/>
      <c r="Z51" s="100"/>
      <c r="AE51" s="106"/>
      <c r="AF51" s="6"/>
      <c r="AG51" s="6"/>
      <c r="AH51" s="6"/>
      <c r="AI51" s="106"/>
      <c r="AJ51" s="106"/>
    </row>
    <row r="52" spans="12:36" s="106" customFormat="1" ht="15.75" customHeight="1">
      <c r="L52" s="106">
        <f>L50-L48</f>
        <v>-82589</v>
      </c>
      <c r="AE52" s="2"/>
      <c r="AI52" s="2"/>
      <c r="AJ52" s="2"/>
    </row>
    <row r="53" spans="3:36" s="106" customFormat="1" ht="15.75" customHeight="1">
      <c r="C53" s="106">
        <v>156490</v>
      </c>
      <c r="D53" s="106">
        <v>295574</v>
      </c>
      <c r="E53" s="106">
        <v>-11055575</v>
      </c>
      <c r="H53" s="106">
        <v>10865</v>
      </c>
      <c r="I53" s="106">
        <v>9696000</v>
      </c>
      <c r="K53" s="106">
        <v>40</v>
      </c>
      <c r="L53" s="106">
        <v>82589</v>
      </c>
      <c r="M53" s="106">
        <v>82287940</v>
      </c>
      <c r="O53" s="106">
        <v>-72700</v>
      </c>
      <c r="P53" s="106">
        <v>-70656</v>
      </c>
      <c r="Q53" s="106">
        <v>-70645104</v>
      </c>
      <c r="S53" s="106">
        <v>-58591</v>
      </c>
      <c r="T53" s="106">
        <v>-58191</v>
      </c>
      <c r="U53" s="106">
        <v>-58185143</v>
      </c>
      <c r="W53" s="106">
        <v>1000</v>
      </c>
      <c r="X53" s="106">
        <v>928</v>
      </c>
      <c r="Y53" s="106">
        <v>928</v>
      </c>
      <c r="AE53" s="2"/>
      <c r="AF53" s="106">
        <v>66199</v>
      </c>
      <c r="AG53" s="106">
        <v>269123</v>
      </c>
      <c r="AH53" s="106">
        <v>-357524074</v>
      </c>
      <c r="AI53" s="2"/>
      <c r="AJ53" s="2"/>
    </row>
    <row r="54" spans="16:18" ht="15">
      <c r="P54" s="6"/>
      <c r="Q54" s="6"/>
      <c r="R54" s="6"/>
    </row>
    <row r="55" ht="15">
      <c r="AH55" s="106">
        <f>AH53/1000-AH49</f>
        <v>-362634.074</v>
      </c>
    </row>
    <row r="56" spans="6:9" ht="15">
      <c r="F56" s="903"/>
      <c r="G56" s="903"/>
      <c r="H56" s="903"/>
      <c r="I56" s="903"/>
    </row>
    <row r="57" spans="6:9" ht="15">
      <c r="F57" s="910"/>
      <c r="G57" s="910"/>
      <c r="H57" s="910"/>
      <c r="I57" s="910"/>
    </row>
    <row r="58" spans="6:9" ht="15">
      <c r="F58" s="903"/>
      <c r="G58" s="903"/>
      <c r="H58" s="903"/>
      <c r="I58" s="903"/>
    </row>
    <row r="71" ht="15">
      <c r="G71" s="2">
        <f>800+400+380+380</f>
        <v>1960</v>
      </c>
    </row>
    <row r="72" ht="15">
      <c r="G72" s="2">
        <v>500</v>
      </c>
    </row>
  </sheetData>
  <mergeCells count="27">
    <mergeCell ref="AF47:AH47"/>
    <mergeCell ref="F58:G58"/>
    <mergeCell ref="H58:I58"/>
    <mergeCell ref="AF9:AH9"/>
    <mergeCell ref="AF10:AH10"/>
    <mergeCell ref="F56:I56"/>
    <mergeCell ref="F57:G57"/>
    <mergeCell ref="H57:I57"/>
    <mergeCell ref="AA13:AD13"/>
    <mergeCell ref="C13:F13"/>
    <mergeCell ref="A2:AD2"/>
    <mergeCell ref="C9:F9"/>
    <mergeCell ref="G9:J9"/>
    <mergeCell ref="K9:N9"/>
    <mergeCell ref="O9:R9"/>
    <mergeCell ref="S9:V9"/>
    <mergeCell ref="AA8:AD8"/>
    <mergeCell ref="A3:AD3"/>
    <mergeCell ref="A4:AD4"/>
    <mergeCell ref="AA9:AD9"/>
    <mergeCell ref="W8:Z8"/>
    <mergeCell ref="W9:Z9"/>
    <mergeCell ref="W13:Z13"/>
    <mergeCell ref="G13:J13"/>
    <mergeCell ref="K13:N13"/>
    <mergeCell ref="O13:R13"/>
    <mergeCell ref="S13:V13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111"/>
  <sheetViews>
    <sheetView showZeros="0" workbookViewId="0" topLeftCell="A28">
      <pane xSplit="1" topLeftCell="N1" activePane="topRight" state="frozen"/>
      <selection pane="topLeft" activeCell="J27" sqref="J27"/>
      <selection pane="topRight" activeCell="S37" sqref="S37"/>
    </sheetView>
  </sheetViews>
  <sheetFormatPr defaultColWidth="9.796875" defaultRowHeight="15"/>
  <cols>
    <col min="1" max="1" width="9.796875" style="2" customWidth="1"/>
    <col min="2" max="5" width="11.796875" style="2" customWidth="1"/>
    <col min="6" max="6" width="10.19921875" style="2" hidden="1" customWidth="1"/>
    <col min="7" max="7" width="6.296875" style="2" hidden="1" customWidth="1"/>
    <col min="8" max="8" width="6.796875" style="2" customWidth="1"/>
    <col min="9" max="11" width="11.796875" style="2" customWidth="1"/>
    <col min="12" max="12" width="6.796875" style="2" customWidth="1"/>
    <col min="13" max="15" width="11.796875" style="2" customWidth="1"/>
    <col min="16" max="16" width="6.796875" style="2" customWidth="1"/>
    <col min="17" max="19" width="11.796875" style="2" customWidth="1"/>
    <col min="20" max="20" width="6.796875" style="2" customWidth="1"/>
    <col min="21" max="21" width="7.796875" style="2" customWidth="1"/>
    <col min="22" max="22" width="0" style="2" hidden="1" customWidth="1"/>
    <col min="23" max="25" width="9.796875" style="2" customWidth="1"/>
    <col min="26" max="26" width="10.796875" style="2" customWidth="1"/>
    <col min="27" max="29" width="9.796875" style="2" customWidth="1"/>
    <col min="30" max="30" width="10.796875" style="2" customWidth="1"/>
    <col min="31" max="33" width="9.796875" style="2" customWidth="1"/>
    <col min="34" max="34" width="10.796875" style="2" customWidth="1"/>
    <col min="35" max="37" width="9.796875" style="2" customWidth="1"/>
    <col min="38" max="38" width="10.796875" style="2" customWidth="1"/>
    <col min="39" max="16384" width="9.796875" style="2" customWidth="1"/>
  </cols>
  <sheetData>
    <row r="1" spans="1:21" ht="17.25" customHeight="1">
      <c r="A1" s="165"/>
      <c r="B1" s="4"/>
      <c r="C1" s="4"/>
      <c r="D1" s="4"/>
      <c r="E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4" customHeight="1">
      <c r="A2" s="824" t="s">
        <v>317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</row>
    <row r="3" spans="1:20" ht="15" customHeight="1">
      <c r="A3" s="4"/>
      <c r="B3" s="4"/>
      <c r="C3" s="4"/>
      <c r="D3" s="4"/>
      <c r="E3" s="4"/>
      <c r="H3" s="4"/>
      <c r="I3" s="7"/>
      <c r="J3" s="4"/>
      <c r="K3" s="4"/>
      <c r="L3" s="4"/>
      <c r="M3" s="4"/>
      <c r="N3" s="4"/>
      <c r="O3" s="4"/>
      <c r="P3" s="4"/>
      <c r="Q3" s="4" t="s">
        <v>43</v>
      </c>
      <c r="R3" s="4"/>
      <c r="S3" s="4"/>
      <c r="T3" s="4"/>
    </row>
    <row r="4" spans="1:20" ht="21" customHeight="1">
      <c r="A4" s="10" t="s">
        <v>54</v>
      </c>
      <c r="B4" s="1"/>
      <c r="C4" s="1"/>
      <c r="D4" s="1"/>
      <c r="E4" s="1"/>
      <c r="H4" s="1"/>
      <c r="I4" s="1"/>
      <c r="J4" s="8"/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22.5" customHeight="1">
      <c r="A5" s="3"/>
      <c r="B5" s="3"/>
      <c r="C5" s="3"/>
      <c r="D5" s="3"/>
      <c r="E5" s="3"/>
      <c r="H5" s="3"/>
      <c r="I5" s="3"/>
      <c r="J5" s="3"/>
      <c r="K5" s="16"/>
      <c r="L5" s="15"/>
      <c r="M5" s="3"/>
      <c r="N5" s="3"/>
      <c r="O5" s="3"/>
      <c r="P5" s="3"/>
      <c r="Q5" s="3"/>
      <c r="R5" s="3"/>
      <c r="S5" s="4"/>
      <c r="T5" s="775" t="s">
        <v>42</v>
      </c>
    </row>
    <row r="6" spans="1:20" ht="22.5" customHeight="1" thickBot="1">
      <c r="A6" s="3"/>
      <c r="B6" s="3"/>
      <c r="C6" s="3"/>
      <c r="D6" s="3"/>
      <c r="E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6" t="s">
        <v>44</v>
      </c>
      <c r="T6" s="777"/>
    </row>
    <row r="7" spans="1:20" ht="21.75" customHeight="1">
      <c r="A7" s="18"/>
      <c r="B7" s="19"/>
      <c r="C7" s="20" t="s">
        <v>51</v>
      </c>
      <c r="D7" s="22"/>
      <c r="E7" s="22"/>
      <c r="F7" s="22"/>
      <c r="G7" s="22"/>
      <c r="H7" s="50"/>
      <c r="I7" s="20" t="s">
        <v>53</v>
      </c>
      <c r="J7" s="134"/>
      <c r="K7" s="22"/>
      <c r="L7" s="50"/>
      <c r="M7" s="122" t="s">
        <v>55</v>
      </c>
      <c r="N7" s="21"/>
      <c r="O7" s="22"/>
      <c r="P7" s="22"/>
      <c r="Q7" s="20" t="s">
        <v>250</v>
      </c>
      <c r="R7" s="134"/>
      <c r="S7" s="22"/>
      <c r="T7" s="50"/>
    </row>
    <row r="8" spans="1:20" ht="18" customHeight="1">
      <c r="A8" s="25" t="s">
        <v>45</v>
      </c>
      <c r="B8" s="14"/>
      <c r="C8" s="135" t="s">
        <v>0</v>
      </c>
      <c r="D8" s="136" t="s">
        <v>4</v>
      </c>
      <c r="E8" s="136" t="s">
        <v>5</v>
      </c>
      <c r="F8" s="137" t="s">
        <v>277</v>
      </c>
      <c r="G8" s="137"/>
      <c r="H8" s="138" t="s">
        <v>2</v>
      </c>
      <c r="I8" s="135" t="s">
        <v>0</v>
      </c>
      <c r="J8" s="136" t="s">
        <v>4</v>
      </c>
      <c r="K8" s="136" t="s">
        <v>5</v>
      </c>
      <c r="L8" s="138" t="s">
        <v>2</v>
      </c>
      <c r="M8" s="135" t="s">
        <v>0</v>
      </c>
      <c r="N8" s="136" t="s">
        <v>4</v>
      </c>
      <c r="O8" s="136" t="s">
        <v>5</v>
      </c>
      <c r="P8" s="138" t="s">
        <v>2</v>
      </c>
      <c r="Q8" s="135" t="s">
        <v>0</v>
      </c>
      <c r="R8" s="136" t="s">
        <v>4</v>
      </c>
      <c r="S8" s="136" t="s">
        <v>5</v>
      </c>
      <c r="T8" s="139" t="s">
        <v>2</v>
      </c>
    </row>
    <row r="9" spans="1:20" ht="18" customHeight="1" thickBot="1">
      <c r="A9" s="13"/>
      <c r="B9" s="42" t="s">
        <v>46</v>
      </c>
      <c r="C9" s="43" t="s">
        <v>1</v>
      </c>
      <c r="D9" s="44" t="s">
        <v>1</v>
      </c>
      <c r="E9" s="45" t="s">
        <v>316</v>
      </c>
      <c r="F9" s="45" t="s">
        <v>276</v>
      </c>
      <c r="G9" s="45"/>
      <c r="H9" s="46" t="s">
        <v>48</v>
      </c>
      <c r="I9" s="43" t="s">
        <v>1</v>
      </c>
      <c r="J9" s="44" t="s">
        <v>1</v>
      </c>
      <c r="K9" s="45" t="s">
        <v>316</v>
      </c>
      <c r="L9" s="46" t="s">
        <v>48</v>
      </c>
      <c r="M9" s="43" t="s">
        <v>1</v>
      </c>
      <c r="N9" s="44" t="s">
        <v>1</v>
      </c>
      <c r="O9" s="45" t="s">
        <v>316</v>
      </c>
      <c r="P9" s="46" t="s">
        <v>48</v>
      </c>
      <c r="Q9" s="43" t="s">
        <v>1</v>
      </c>
      <c r="R9" s="44" t="s">
        <v>1</v>
      </c>
      <c r="S9" s="45" t="s">
        <v>316</v>
      </c>
      <c r="T9" s="46" t="s">
        <v>48</v>
      </c>
    </row>
    <row r="10" spans="1:20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6.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2" ht="16.5" customHeight="1">
      <c r="A12" s="65"/>
      <c r="B12" s="604"/>
      <c r="C12" s="374"/>
      <c r="D12" s="375"/>
      <c r="E12" s="375"/>
      <c r="F12" s="649"/>
      <c r="G12" s="649"/>
      <c r="H12" s="525"/>
      <c r="I12" s="413"/>
      <c r="J12" s="375"/>
      <c r="K12" s="375"/>
      <c r="L12" s="70"/>
      <c r="M12" s="413"/>
      <c r="N12" s="375"/>
      <c r="O12" s="375"/>
      <c r="P12" s="70"/>
      <c r="Q12" s="413"/>
      <c r="R12" s="375"/>
      <c r="S12" s="375"/>
      <c r="T12" s="70"/>
      <c r="V12" s="169"/>
    </row>
    <row r="13" spans="1:20" ht="16.5" customHeight="1">
      <c r="A13" s="72" t="s">
        <v>6</v>
      </c>
      <c r="B13" s="77"/>
      <c r="C13" s="376">
        <f>'Daňové příjmy'!C13+'Daňové příjmy'!G13++'Daňové příjmy'!K13+'Daňové příjmy'!O13+'Ost.daně=Místní popl.'!C14</f>
        <v>106170</v>
      </c>
      <c r="D13" s="377">
        <f>'Daňové příjmy'!D13+'Daňové příjmy'!H13++'Daňové příjmy'!L13+'Daňové příjmy'!P13+'Ost.daně=Místní popl.'!D14</f>
        <v>106243</v>
      </c>
      <c r="E13" s="377">
        <f>'Daňové příjmy'!E13+'Daňové příjmy'!I13+'Daňové příjmy'!M13+'Daňové příjmy'!Q13+'Ost.daně=Místní popl.'!E14</f>
        <v>98395</v>
      </c>
      <c r="F13" s="392">
        <v>98396060</v>
      </c>
      <c r="G13" s="650">
        <f>F13/1000-E13</f>
        <v>1.0599999999976717</v>
      </c>
      <c r="H13" s="526">
        <f aca="true" t="shared" si="0" ref="H13:H41">SUM(E13/D13*100)</f>
        <v>92.61316039644964</v>
      </c>
      <c r="I13" s="377">
        <f>'Nedaňové příjmy'!C15+'Nedaňové příjmy'!G15+'Nedaňové příjmy'!K15+'Nedaňové příjmy'!O15+'Nedaňové příjmy'!S15+'Nedaňové příjmy'!W15+'Jiné nedaň.příjmy'!C15</f>
        <v>14757</v>
      </c>
      <c r="J13" s="377">
        <f>'Nedaňové příjmy'!D15+'Nedaňové příjmy'!H15+'Nedaňové příjmy'!L15+'Nedaňové příjmy'!P15+'Nedaňové příjmy'!T15+'Nedaňové příjmy'!X15+'Jiné nedaň.příjmy'!D15</f>
        <v>39356</v>
      </c>
      <c r="K13" s="377">
        <f>'Nedaňové příjmy'!E15+'Nedaňové příjmy'!I15+'Nedaňové příjmy'!M15+'Nedaňové příjmy'!Q15+'Nedaňové příjmy'!U15+'Nedaňové příjmy'!Y15+'Jiné nedaň.příjmy'!E15</f>
        <v>37037</v>
      </c>
      <c r="L13" s="526">
        <f>SUM(K13/J13*100)</f>
        <v>94.1076328895213</v>
      </c>
      <c r="M13" s="377">
        <f>'Kapitálové příjmy'!C13+'Kapitálové příjmy'!G13</f>
        <v>0</v>
      </c>
      <c r="N13" s="377">
        <f>'Kapitálové příjmy'!D13+'Kapitálové příjmy'!H13</f>
        <v>0</v>
      </c>
      <c r="O13" s="527">
        <f>'Kapitálové příjmy'!E13+'Kapitálové příjmy'!I13</f>
        <v>0</v>
      </c>
      <c r="P13" s="526"/>
      <c r="Q13" s="377">
        <f>'Transfery neinvestiční 2.6'!C14+'Transfery neinvestiční 2.6'!G14+'Transfery neinvestiční 2.6'!K14+'Transfery neinvestiční 2.6'!O14+'Transfery neinvestiční 2.6'!S14+'Transfery nein.2.6a'!C15+'Transfery nein.2.6a'!O15+'Transfery nein.2.6a'!S15+'Transfery nein.2.6a'!W15+'Transfery investiční'!C14+'Transfery investiční'!G14+'Transfery investiční'!K14+'Transfery investiční'!O14+'Transfery investiční'!S14+'Transfery investiční'!W14+'Transfery investiční'!AA14+'Transfery nein.2.6a'!AA15</f>
        <v>220998</v>
      </c>
      <c r="R13" s="377">
        <f>'Transfery neinvestiční 2.6'!D14+'Transfery neinvestiční 2.6'!H14+'Transfery neinvestiční 2.6'!L14+'Transfery neinvestiční 2.6'!P14+'Transfery neinvestiční 2.6'!T14+'Transfery nein.2.6a'!D15+'Transfery nein.2.6a'!P15+'Transfery nein.2.6a'!T15+'Transfery nein.2.6a'!X15+'Transfery investiční'!D14+'Transfery investiční'!H14+'Transfery investiční'!L14+'Transfery investiční'!P14+'Transfery investiční'!T14+'Transfery investiční'!X14+'Transfery investiční'!AB14+'Transfery nein.2.6a'!AB15</f>
        <v>276412</v>
      </c>
      <c r="S13" s="377">
        <f>'Transfery neinvestiční 2.6'!E14+'Transfery neinvestiční 2.6'!I14+'Transfery neinvestiční 2.6'!M14+'Transfery neinvestiční 2.6'!Q14+'Transfery neinvestiční 2.6'!U14+'Transfery nein.2.6a'!E15+'Transfery nein.2.6a'!Q15+'Transfery nein.2.6a'!U15+'Transfery nein.2.6a'!Y15+'Transfery investiční'!E14+'Transfery investiční'!I14+'Transfery investiční'!M14+'Transfery investiční'!Q14+'Transfery investiční'!U14+'Transfery investiční'!Y14+'Transfery investiční'!AC14+'Transfery nein.2.6a'!AC15</f>
        <v>276177</v>
      </c>
      <c r="T13" s="526">
        <f>SUM(S13/R13*100)</f>
        <v>99.91498198341606</v>
      </c>
    </row>
    <row r="14" spans="1:23" ht="16.5" customHeight="1">
      <c r="A14" s="72" t="s">
        <v>7</v>
      </c>
      <c r="B14" s="77"/>
      <c r="C14" s="376">
        <f>'Daňové příjmy'!C14+'Daňové příjmy'!G14++'Daňové příjmy'!K14+'Daňové příjmy'!O14+'Ost.daně=Místní popl.'!C15</f>
        <v>5790</v>
      </c>
      <c r="D14" s="377">
        <f>'Daňové příjmy'!D14+'Daňové příjmy'!H14++'Daňové příjmy'!L14+'Daňové příjmy'!P14+'Ost.daně=Místní popl.'!D15</f>
        <v>6334</v>
      </c>
      <c r="E14" s="377">
        <f>'Daňové příjmy'!E14+'Daňové příjmy'!I14+'Daňové příjmy'!M14+'Daňové příjmy'!Q14+'Ost.daně=Místní popl.'!E15</f>
        <v>6623</v>
      </c>
      <c r="F14" s="392">
        <v>6622613</v>
      </c>
      <c r="G14" s="650">
        <f aca="true" t="shared" si="1" ref="G14:G41">F14/1000-E14</f>
        <v>-0.38699999999971624</v>
      </c>
      <c r="H14" s="526">
        <f t="shared" si="0"/>
        <v>104.56267761288285</v>
      </c>
      <c r="I14" s="377">
        <f>'Nedaňové příjmy'!C16+'Nedaňové příjmy'!G16+'Nedaňové příjmy'!K16+'Nedaňové příjmy'!O16+'Nedaňové příjmy'!S16+'Nedaňové příjmy'!W16+'Jiné nedaň.příjmy'!C16</f>
        <v>4796</v>
      </c>
      <c r="J14" s="377">
        <f>'Nedaňové příjmy'!D16+'Nedaňové příjmy'!H16+'Nedaňové příjmy'!L16+'Nedaňové příjmy'!P16+'Nedaňové příjmy'!T16+'Nedaňové příjmy'!X16+'Jiné nedaň.příjmy'!D16</f>
        <v>7770</v>
      </c>
      <c r="K14" s="377">
        <f>'Nedaňové příjmy'!E16+'Nedaňové příjmy'!I16+'Nedaňové příjmy'!M16+'Nedaňové příjmy'!Q16+'Nedaňové příjmy'!U16+'Nedaňové příjmy'!Y16+'Jiné nedaň.příjmy'!E16</f>
        <v>8158</v>
      </c>
      <c r="L14" s="526">
        <f aca="true" t="shared" si="2" ref="L14:L41">SUM(K14/J14*100)</f>
        <v>104.993564993565</v>
      </c>
      <c r="M14" s="377">
        <f>'Kapitálové příjmy'!C14+'Kapitálové příjmy'!G14</f>
        <v>0</v>
      </c>
      <c r="N14" s="377">
        <f>'Kapitálové příjmy'!D14+'Kapitálové příjmy'!H14</f>
        <v>0</v>
      </c>
      <c r="O14" s="528">
        <f>'Kapitálové příjmy'!E14+'Kapitálové příjmy'!I14</f>
        <v>0</v>
      </c>
      <c r="P14" s="526"/>
      <c r="Q14" s="377">
        <f>'Transfery neinvestiční 2.6'!C15+'Transfery neinvestiční 2.6'!G15+'Transfery neinvestiční 2.6'!K15+'Transfery neinvestiční 2.6'!O15+'Transfery neinvestiční 2.6'!S15+'Transfery nein.2.6a'!C16+'Transfery nein.2.6a'!O16+'Transfery nein.2.6a'!S16+'Transfery nein.2.6a'!W16+'Transfery investiční'!C15+'Transfery investiční'!G15+'Transfery investiční'!K15+'Transfery investiční'!O15+'Transfery investiční'!S15+'Transfery investiční'!W15+'Transfery investiční'!AA15+'Transfery nein.2.6a'!AA16</f>
        <v>33408</v>
      </c>
      <c r="R14" s="377">
        <f>'Transfery neinvestiční 2.6'!D15+'Transfery neinvestiční 2.6'!H15+'Transfery neinvestiční 2.6'!L15+'Transfery neinvestiční 2.6'!P15+'Transfery neinvestiční 2.6'!T15+'Transfery nein.2.6a'!D16+'Transfery nein.2.6a'!P16+'Transfery nein.2.6a'!T16+'Transfery nein.2.6a'!X16+'Transfery investiční'!D15+'Transfery investiční'!H15+'Transfery investiční'!L15+'Transfery investiční'!P15+'Transfery investiční'!T15+'Transfery investiční'!X15+'Transfery investiční'!AB15+'Transfery nein.2.6a'!AB16</f>
        <v>47796</v>
      </c>
      <c r="S14" s="377">
        <f>'Transfery neinvestiční 2.6'!E15+'Transfery neinvestiční 2.6'!I15+'Transfery neinvestiční 2.6'!M15+'Transfery neinvestiční 2.6'!Q15+'Transfery neinvestiční 2.6'!U15+'Transfery nein.2.6a'!E16+'Transfery nein.2.6a'!Q16+'Transfery nein.2.6a'!U16+'Transfery nein.2.6a'!Y16+'Transfery investiční'!E15+'Transfery investiční'!I15+'Transfery investiční'!M15+'Transfery investiční'!Q15+'Transfery investiční'!U15+'Transfery investiční'!Y15+'Transfery investiční'!AC15+'Transfery nein.2.6a'!AC16</f>
        <v>47796</v>
      </c>
      <c r="T14" s="526">
        <f aca="true" t="shared" si="3" ref="T14:T41">SUM(S14/R14*100)</f>
        <v>100</v>
      </c>
      <c r="V14" s="100"/>
      <c r="W14" s="100"/>
    </row>
    <row r="15" spans="1:20" ht="16.5" customHeight="1">
      <c r="A15" s="72" t="s">
        <v>8</v>
      </c>
      <c r="B15" s="77"/>
      <c r="C15" s="376">
        <f>'Daňové příjmy'!C15+'Daňové příjmy'!G15++'Daňové příjmy'!K15+'Daňové příjmy'!O15+'Ost.daně=Místní popl.'!C16</f>
        <v>4149</v>
      </c>
      <c r="D15" s="377">
        <f>'Daňové příjmy'!D15+'Daňové příjmy'!H15++'Daňové příjmy'!L15+'Daňové příjmy'!P15+'Ost.daně=Místní popl.'!D16</f>
        <v>9009</v>
      </c>
      <c r="E15" s="377">
        <f>'Daňové příjmy'!E15+'Daňové příjmy'!I15+'Daňové příjmy'!M15+'Daňové příjmy'!Q15+'Ost.daně=Místní popl.'!E16</f>
        <v>9301</v>
      </c>
      <c r="F15" s="392">
        <v>9301146</v>
      </c>
      <c r="G15" s="650">
        <f t="shared" si="1"/>
        <v>0.14600000000064028</v>
      </c>
      <c r="H15" s="526">
        <f t="shared" si="0"/>
        <v>103.24120324120325</v>
      </c>
      <c r="I15" s="377">
        <f>'Nedaňové příjmy'!C17+'Nedaňové příjmy'!G17+'Nedaňové příjmy'!K17+'Nedaňové příjmy'!O17+'Nedaňové příjmy'!S17+'Nedaňové příjmy'!W17+'Jiné nedaň.příjmy'!C17</f>
        <v>3034</v>
      </c>
      <c r="J15" s="377">
        <f>'Nedaňové příjmy'!D17+'Nedaňové příjmy'!H17+'Nedaňové příjmy'!L17+'Nedaňové příjmy'!P17+'Nedaňové příjmy'!T17+'Nedaňové příjmy'!X17+'Jiné nedaň.příjmy'!D17</f>
        <v>4624</v>
      </c>
      <c r="K15" s="377">
        <f>'Nedaňové příjmy'!E17+'Nedaňové příjmy'!I17+'Nedaňové příjmy'!M17+'Nedaňové příjmy'!Q17+'Nedaňové příjmy'!U17+'Nedaňové příjmy'!Y17+'Jiné nedaň.příjmy'!E17</f>
        <v>4648</v>
      </c>
      <c r="L15" s="526">
        <f t="shared" si="2"/>
        <v>100.51903114186851</v>
      </c>
      <c r="M15" s="377">
        <f>'Kapitálové příjmy'!C15+'Kapitálové příjmy'!G15</f>
        <v>0</v>
      </c>
      <c r="N15" s="377">
        <f>'Kapitálové příjmy'!D15+'Kapitálové příjmy'!H15</f>
        <v>0</v>
      </c>
      <c r="O15" s="528">
        <f>'Kapitálové příjmy'!E15+'Kapitálové příjmy'!I15</f>
        <v>0</v>
      </c>
      <c r="P15" s="526"/>
      <c r="Q15" s="377">
        <f>'Transfery neinvestiční 2.6'!C16+'Transfery neinvestiční 2.6'!G16+'Transfery neinvestiční 2.6'!K16+'Transfery neinvestiční 2.6'!O16+'Transfery neinvestiční 2.6'!S16+'Transfery nein.2.6a'!C17+'Transfery nein.2.6a'!O17+'Transfery nein.2.6a'!S17+'Transfery nein.2.6a'!W17+'Transfery investiční'!C16+'Transfery investiční'!G16+'Transfery investiční'!K16+'Transfery investiční'!O16+'Transfery investiční'!S16+'Transfery investiční'!W16+'Transfery investiční'!AA16+'Transfery nein.2.6a'!AA17</f>
        <v>55201</v>
      </c>
      <c r="R15" s="377">
        <f>'Transfery neinvestiční 2.6'!D16+'Transfery neinvestiční 2.6'!H16+'Transfery neinvestiční 2.6'!L16+'Transfery neinvestiční 2.6'!P16+'Transfery neinvestiční 2.6'!T16+'Transfery nein.2.6a'!D17+'Transfery nein.2.6a'!P17+'Transfery nein.2.6a'!T17+'Transfery nein.2.6a'!X17+'Transfery investiční'!D16+'Transfery investiční'!H16+'Transfery investiční'!L16+'Transfery investiční'!P16+'Transfery investiční'!T16+'Transfery investiční'!X16+'Transfery investiční'!AB16+'Transfery nein.2.6a'!AB17</f>
        <v>77109</v>
      </c>
      <c r="S15" s="377">
        <f>'Transfery neinvestiční 2.6'!E16+'Transfery neinvestiční 2.6'!I16+'Transfery neinvestiční 2.6'!M16+'Transfery neinvestiční 2.6'!Q16+'Transfery neinvestiční 2.6'!U16+'Transfery nein.2.6a'!E17+'Transfery nein.2.6a'!Q17+'Transfery nein.2.6a'!U17+'Transfery nein.2.6a'!Y17+'Transfery investiční'!E16+'Transfery investiční'!I16+'Transfery investiční'!M16+'Transfery investiční'!Q16+'Transfery investiční'!U16+'Transfery investiční'!Y16+'Transfery investiční'!AC16+'Transfery nein.2.6a'!AC17</f>
        <v>62614</v>
      </c>
      <c r="T15" s="526">
        <f t="shared" si="3"/>
        <v>81.20193492329041</v>
      </c>
    </row>
    <row r="16" spans="1:24" ht="16.5" customHeight="1">
      <c r="A16" s="72" t="s">
        <v>9</v>
      </c>
      <c r="B16" s="77"/>
      <c r="C16" s="376">
        <f>'Daňové příjmy'!C16+'Daňové příjmy'!G16++'Daňové příjmy'!K16+'Daňové příjmy'!O16+'Ost.daně=Místní popl.'!C17</f>
        <v>1200</v>
      </c>
      <c r="D16" s="377">
        <f>'Daňové příjmy'!D16+'Daňové příjmy'!H16++'Daňové příjmy'!L16+'Daňové příjmy'!P16+'Ost.daně=Místní popl.'!D17</f>
        <v>2297</v>
      </c>
      <c r="E16" s="377">
        <f>'Daňové příjmy'!E16+'Daňové příjmy'!I16+'Daňové příjmy'!M16+'Daňové příjmy'!Q16+'Ost.daně=Místní popl.'!E17</f>
        <v>2520</v>
      </c>
      <c r="F16" s="392">
        <v>2520246</v>
      </c>
      <c r="G16" s="650">
        <f t="shared" si="1"/>
        <v>0.2460000000000946</v>
      </c>
      <c r="H16" s="526">
        <f t="shared" si="0"/>
        <v>109.70831519373094</v>
      </c>
      <c r="I16" s="377">
        <f>'Nedaňové příjmy'!C18+'Nedaňové příjmy'!G18+'Nedaňové příjmy'!K18+'Nedaňové příjmy'!O18+'Nedaňové příjmy'!S18+'Nedaňové příjmy'!W18+'Jiné nedaň.příjmy'!C18</f>
        <v>2480</v>
      </c>
      <c r="J16" s="377">
        <f>'Nedaňové příjmy'!D18+'Nedaňové příjmy'!H18+'Nedaňové příjmy'!L18+'Nedaňové příjmy'!P18+'Nedaňové příjmy'!T18+'Nedaňové příjmy'!X18+'Jiné nedaň.příjmy'!D18</f>
        <v>5466</v>
      </c>
      <c r="K16" s="377">
        <f>'Nedaňové příjmy'!E18+'Nedaňové příjmy'!I18+'Nedaňové příjmy'!M18+'Nedaňové příjmy'!Q18+'Nedaňové příjmy'!U18+'Nedaňové příjmy'!Y18+'Jiné nedaň.příjmy'!E18</f>
        <v>5875</v>
      </c>
      <c r="L16" s="526">
        <f t="shared" si="2"/>
        <v>107.48261983168679</v>
      </c>
      <c r="M16" s="377">
        <f>'Kapitálové příjmy'!C16+'Kapitálové příjmy'!G16</f>
        <v>0</v>
      </c>
      <c r="N16" s="377">
        <f>'Kapitálové příjmy'!D16+'Kapitálové příjmy'!H16</f>
        <v>0</v>
      </c>
      <c r="O16" s="528">
        <f>'Kapitálové příjmy'!E16+'Kapitálové příjmy'!I16</f>
        <v>0</v>
      </c>
      <c r="P16" s="526"/>
      <c r="Q16" s="377">
        <f>'Transfery neinvestiční 2.6'!C17+'Transfery neinvestiční 2.6'!G17+'Transfery neinvestiční 2.6'!K17+'Transfery neinvestiční 2.6'!O17+'Transfery neinvestiční 2.6'!S17+'Transfery nein.2.6a'!C18+'Transfery nein.2.6a'!O18+'Transfery nein.2.6a'!S18+'Transfery nein.2.6a'!W18+'Transfery investiční'!C17+'Transfery investiční'!G17+'Transfery investiční'!K17+'Transfery investiční'!O17+'Transfery investiční'!S17+'Transfery investiční'!W17+'Transfery investiční'!AA17+'Transfery nein.2.6a'!AA18</f>
        <v>36960</v>
      </c>
      <c r="R16" s="377">
        <f>'Transfery neinvestiční 2.6'!D17+'Transfery neinvestiční 2.6'!H17+'Transfery neinvestiční 2.6'!L17+'Transfery neinvestiční 2.6'!P17+'Transfery neinvestiční 2.6'!T17+'Transfery nein.2.6a'!D18+'Transfery nein.2.6a'!P18+'Transfery nein.2.6a'!T18+'Transfery nein.2.6a'!X18+'Transfery investiční'!D17+'Transfery investiční'!H17+'Transfery investiční'!L17+'Transfery investiční'!P17+'Transfery investiční'!T17+'Transfery investiční'!X17+'Transfery investiční'!AB17+'Transfery nein.2.6a'!AB18</f>
        <v>46319</v>
      </c>
      <c r="S16" s="377">
        <f>'Transfery neinvestiční 2.6'!E17+'Transfery neinvestiční 2.6'!I17+'Transfery neinvestiční 2.6'!M17+'Transfery neinvestiční 2.6'!Q17+'Transfery neinvestiční 2.6'!U17+'Transfery nein.2.6a'!E18+'Transfery nein.2.6a'!Q18+'Transfery nein.2.6a'!U18+'Transfery nein.2.6a'!Y18+'Transfery investiční'!E17+'Transfery investiční'!I17+'Transfery investiční'!M17+'Transfery investiční'!Q17+'Transfery investiční'!U17+'Transfery investiční'!Y17+'Transfery investiční'!AC17+'Transfery nein.2.6a'!AC18</f>
        <v>50826</v>
      </c>
      <c r="T16" s="526">
        <f t="shared" si="3"/>
        <v>109.73034823722448</v>
      </c>
      <c r="W16" s="100"/>
      <c r="X16" s="100"/>
    </row>
    <row r="17" spans="1:20" ht="16.5" customHeight="1">
      <c r="A17" s="72" t="s">
        <v>10</v>
      </c>
      <c r="B17" s="77"/>
      <c r="C17" s="376">
        <f>'Daňové příjmy'!C17+'Daňové příjmy'!G17++'Daňové příjmy'!K17+'Daňové příjmy'!O17+'Ost.daně=Místní popl.'!C18</f>
        <v>3837</v>
      </c>
      <c r="D17" s="377">
        <f>'Daňové příjmy'!D17+'Daňové příjmy'!H17++'Daňové příjmy'!L17+'Daňové příjmy'!P17+'Ost.daně=Místní popl.'!D18</f>
        <v>5538</v>
      </c>
      <c r="E17" s="377">
        <f>'Daňové příjmy'!E17+'Daňové příjmy'!I17+'Daňové příjmy'!M17+'Daňové příjmy'!Q17+'Ost.daně=Místní popl.'!E18</f>
        <v>5664</v>
      </c>
      <c r="F17" s="392">
        <v>5663709</v>
      </c>
      <c r="G17" s="650">
        <f t="shared" si="1"/>
        <v>-0.29100000000016735</v>
      </c>
      <c r="H17" s="526">
        <f t="shared" si="0"/>
        <v>102.27518959913327</v>
      </c>
      <c r="I17" s="377">
        <f>'Nedaňové příjmy'!C19+'Nedaňové příjmy'!G19+'Nedaňové příjmy'!K19+'Nedaňové příjmy'!O19+'Nedaňové příjmy'!S19+'Nedaňové příjmy'!W19+'Jiné nedaň.příjmy'!C19</f>
        <v>2888</v>
      </c>
      <c r="J17" s="377">
        <f>'Nedaňové příjmy'!D19+'Nedaňové příjmy'!H19+'Nedaňové příjmy'!L19+'Nedaňové příjmy'!P19+'Nedaňové příjmy'!T19+'Nedaňové příjmy'!X19+'Jiné nedaň.příjmy'!D19</f>
        <v>5760</v>
      </c>
      <c r="K17" s="377">
        <f>'Nedaňové příjmy'!E19+'Nedaňové příjmy'!I19+'Nedaňové příjmy'!M19+'Nedaňové příjmy'!Q19+'Nedaňové příjmy'!U19+'Nedaňové příjmy'!Y19+'Jiné nedaň.příjmy'!E19</f>
        <v>6252</v>
      </c>
      <c r="L17" s="526">
        <f t="shared" si="2"/>
        <v>108.54166666666667</v>
      </c>
      <c r="M17" s="377">
        <f>'Kapitálové příjmy'!C17+'Kapitálové příjmy'!G17</f>
        <v>0</v>
      </c>
      <c r="N17" s="377">
        <f>'Kapitálové příjmy'!D17+'Kapitálové příjmy'!H17</f>
        <v>0</v>
      </c>
      <c r="O17" s="528">
        <f>'Kapitálové příjmy'!E17+'Kapitálové příjmy'!I17</f>
        <v>0</v>
      </c>
      <c r="P17" s="526"/>
      <c r="Q17" s="377">
        <f>'Transfery neinvestiční 2.6'!C18+'Transfery neinvestiční 2.6'!G18+'Transfery neinvestiční 2.6'!K18+'Transfery neinvestiční 2.6'!O18+'Transfery neinvestiční 2.6'!S18+'Transfery nein.2.6a'!C19+'Transfery nein.2.6a'!O19+'Transfery nein.2.6a'!S19+'Transfery nein.2.6a'!W19+'Transfery investiční'!C18+'Transfery investiční'!G18+'Transfery investiční'!K18+'Transfery investiční'!O18+'Transfery investiční'!S18+'Transfery investiční'!W18+'Transfery investiční'!AA18+'Transfery nein.2.6a'!AA19</f>
        <v>48917</v>
      </c>
      <c r="R17" s="377">
        <f>'Transfery neinvestiční 2.6'!D18+'Transfery neinvestiční 2.6'!H18+'Transfery neinvestiční 2.6'!L18+'Transfery neinvestiční 2.6'!P18+'Transfery neinvestiční 2.6'!T18+'Transfery nein.2.6a'!D19+'Transfery nein.2.6a'!P19+'Transfery nein.2.6a'!T19+'Transfery nein.2.6a'!X19+'Transfery investiční'!D18+'Transfery investiční'!H18+'Transfery investiční'!L18+'Transfery investiční'!P18+'Transfery investiční'!T18+'Transfery investiční'!X18+'Transfery investiční'!AB18+'Transfery nein.2.6a'!AB19</f>
        <v>58503</v>
      </c>
      <c r="S17" s="377">
        <f>'Transfery neinvestiční 2.6'!E18+'Transfery neinvestiční 2.6'!I18+'Transfery neinvestiční 2.6'!M18+'Transfery neinvestiční 2.6'!Q18+'Transfery neinvestiční 2.6'!U18+'Transfery nein.2.6a'!E19+'Transfery nein.2.6a'!Q19+'Transfery nein.2.6a'!U19+'Transfery nein.2.6a'!Y19+'Transfery investiční'!E18+'Transfery investiční'!I18+'Transfery investiční'!M18+'Transfery investiční'!Q18+'Transfery investiční'!U18+'Transfery investiční'!Y18+'Transfery investiční'!AC18+'Transfery nein.2.6a'!AC19</f>
        <v>58502</v>
      </c>
      <c r="T17" s="526">
        <f t="shared" si="3"/>
        <v>99.99829068594774</v>
      </c>
    </row>
    <row r="18" spans="1:20" ht="16.5" customHeight="1">
      <c r="A18" s="72" t="s">
        <v>11</v>
      </c>
      <c r="B18" s="77"/>
      <c r="C18" s="376">
        <f>'Daňové příjmy'!C18+'Daňové příjmy'!G18++'Daňové příjmy'!K18+'Daňové příjmy'!O18+'Ost.daně=Místní popl.'!C19</f>
        <v>1277</v>
      </c>
      <c r="D18" s="377">
        <f>'Daňové příjmy'!D18+'Daňové příjmy'!H18++'Daňové příjmy'!L18+'Daňové příjmy'!P18+'Ost.daně=Místní popl.'!D19</f>
        <v>1333</v>
      </c>
      <c r="E18" s="377">
        <f>'Daňové příjmy'!E18+'Daňové příjmy'!I18+'Daňové příjmy'!M18+'Daňové příjmy'!Q18+'Ost.daně=Místní popl.'!E19</f>
        <v>1434</v>
      </c>
      <c r="F18" s="392">
        <v>1433606</v>
      </c>
      <c r="G18" s="650">
        <f t="shared" si="1"/>
        <v>-0.39400000000000546</v>
      </c>
      <c r="H18" s="526">
        <f t="shared" si="0"/>
        <v>107.5768942235559</v>
      </c>
      <c r="I18" s="377">
        <f>'Nedaňové příjmy'!C20+'Nedaňové příjmy'!G20+'Nedaňové příjmy'!K20+'Nedaňové příjmy'!O20+'Nedaňové příjmy'!S20+'Nedaňové příjmy'!W20+'Jiné nedaň.příjmy'!C20</f>
        <v>3012</v>
      </c>
      <c r="J18" s="377">
        <f>'Nedaňové příjmy'!D20+'Nedaňové příjmy'!H20+'Nedaňové příjmy'!L20+'Nedaňové příjmy'!P20+'Nedaňové příjmy'!T20+'Nedaňové příjmy'!X20+'Jiné nedaň.příjmy'!D20</f>
        <v>3505</v>
      </c>
      <c r="K18" s="377">
        <f>'Nedaňové příjmy'!E20+'Nedaňové příjmy'!I20+'Nedaňové příjmy'!M20+'Nedaňové příjmy'!Q20+'Nedaňové příjmy'!U20+'Nedaňové příjmy'!Y20+'Jiné nedaň.příjmy'!E20</f>
        <v>3503</v>
      </c>
      <c r="L18" s="526">
        <f t="shared" si="2"/>
        <v>99.94293865905848</v>
      </c>
      <c r="M18" s="377">
        <f>'Kapitálové příjmy'!C18+'Kapitálové příjmy'!G18</f>
        <v>0</v>
      </c>
      <c r="N18" s="377">
        <f>'Kapitálové příjmy'!D18+'Kapitálové příjmy'!H18</f>
        <v>248</v>
      </c>
      <c r="O18" s="528">
        <f>'Kapitálové příjmy'!E18+'Kapitálové příjmy'!I18</f>
        <v>248</v>
      </c>
      <c r="P18" s="526">
        <f>SUM(O18/N18*100)</f>
        <v>100</v>
      </c>
      <c r="Q18" s="377">
        <f>'Transfery neinvestiční 2.6'!C19+'Transfery neinvestiční 2.6'!G19+'Transfery neinvestiční 2.6'!K19+'Transfery neinvestiční 2.6'!O19+'Transfery neinvestiční 2.6'!S19+'Transfery nein.2.6a'!C20+'Transfery nein.2.6a'!O20+'Transfery nein.2.6a'!S20+'Transfery nein.2.6a'!W20+'Transfery investiční'!C19+'Transfery investiční'!G19+'Transfery investiční'!K19+'Transfery investiční'!O19+'Transfery investiční'!S19+'Transfery investiční'!W19+'Transfery investiční'!AA19+'Transfery nein.2.6a'!AA20</f>
        <v>8734</v>
      </c>
      <c r="R18" s="377">
        <f>'Transfery neinvestiční 2.6'!D19+'Transfery neinvestiční 2.6'!H19+'Transfery neinvestiční 2.6'!L19+'Transfery neinvestiční 2.6'!P19+'Transfery neinvestiční 2.6'!T19+'Transfery nein.2.6a'!D20+'Transfery nein.2.6a'!P20+'Transfery nein.2.6a'!T20+'Transfery nein.2.6a'!X20+'Transfery investiční'!D19+'Transfery investiční'!H19+'Transfery investiční'!L19+'Transfery investiční'!P19+'Transfery investiční'!T19+'Transfery investiční'!X19+'Transfery investiční'!AB19+'Transfery nein.2.6a'!AB20</f>
        <v>10490</v>
      </c>
      <c r="S18" s="377">
        <f>'Transfery neinvestiční 2.6'!E19+'Transfery neinvestiční 2.6'!I19+'Transfery neinvestiční 2.6'!M19+'Transfery neinvestiční 2.6'!Q19+'Transfery neinvestiční 2.6'!U19+'Transfery nein.2.6a'!E20+'Transfery nein.2.6a'!Q20+'Transfery nein.2.6a'!U20+'Transfery nein.2.6a'!Y20+'Transfery investiční'!E19+'Transfery investiční'!I19+'Transfery investiční'!M19+'Transfery investiční'!Q19+'Transfery investiční'!U19+'Transfery investiční'!Y19+'Transfery investiční'!AC19+'Transfery nein.2.6a'!AC20</f>
        <v>10490</v>
      </c>
      <c r="T18" s="526">
        <f t="shared" si="3"/>
        <v>100</v>
      </c>
    </row>
    <row r="19" spans="1:20" ht="16.5" customHeight="1">
      <c r="A19" s="72" t="s">
        <v>242</v>
      </c>
      <c r="B19" s="77"/>
      <c r="C19" s="376">
        <f>'Daňové příjmy'!C19+'Daňové příjmy'!G19++'Daňové příjmy'!K19+'Daňové příjmy'!O19+'Ost.daně=Místní popl.'!C20</f>
        <v>10360</v>
      </c>
      <c r="D19" s="377">
        <f>'Daňové příjmy'!D19+'Daňové příjmy'!H19++'Daňové příjmy'!L19+'Daňové příjmy'!P19+'Ost.daně=Místní popl.'!D20</f>
        <v>10378</v>
      </c>
      <c r="E19" s="377">
        <f>'Daňové příjmy'!E19+'Daňové příjmy'!I19+'Daňové příjmy'!M19+'Daňové příjmy'!Q19+'Ost.daně=Místní popl.'!E20</f>
        <v>10667</v>
      </c>
      <c r="F19" s="392">
        <v>10666801</v>
      </c>
      <c r="G19" s="650">
        <f t="shared" si="1"/>
        <v>-0.19900000000052387</v>
      </c>
      <c r="H19" s="526">
        <f t="shared" si="0"/>
        <v>102.7847369435344</v>
      </c>
      <c r="I19" s="377">
        <f>'Nedaňové příjmy'!C21+'Nedaňové příjmy'!G21+'Nedaňové příjmy'!K21+'Nedaňové příjmy'!O21+'Nedaňové příjmy'!S21+'Nedaňové příjmy'!W21+'Jiné nedaň.příjmy'!C21</f>
        <v>18958</v>
      </c>
      <c r="J19" s="377">
        <f>'Nedaňové příjmy'!D21+'Nedaňové příjmy'!H21+'Nedaňové příjmy'!L21+'Nedaňové příjmy'!P21+'Nedaňové příjmy'!T21+'Nedaňové příjmy'!X21+'Jiné nedaň.příjmy'!D21</f>
        <v>17577</v>
      </c>
      <c r="K19" s="377">
        <f>'Nedaňové příjmy'!E21+'Nedaňové příjmy'!I21+'Nedaňové příjmy'!M21+'Nedaňové příjmy'!Q21+'Nedaňové příjmy'!U21+'Nedaňové příjmy'!Y21+'Jiné nedaň.příjmy'!E21</f>
        <v>16295</v>
      </c>
      <c r="L19" s="526">
        <f t="shared" si="2"/>
        <v>92.70637765261421</v>
      </c>
      <c r="M19" s="377">
        <f>'Kapitálové příjmy'!C19+'Kapitálové příjmy'!G19</f>
        <v>0</v>
      </c>
      <c r="N19" s="377">
        <f>'Kapitálové příjmy'!D19+'Kapitálové příjmy'!H19</f>
        <v>0</v>
      </c>
      <c r="O19" s="528">
        <f>'Kapitálové příjmy'!E19+'Kapitálové příjmy'!I19</f>
        <v>0</v>
      </c>
      <c r="P19" s="526"/>
      <c r="Q19" s="377">
        <f>'Transfery neinvestiční 2.6'!C20+'Transfery neinvestiční 2.6'!G20+'Transfery neinvestiční 2.6'!K20+'Transfery neinvestiční 2.6'!O20+'Transfery neinvestiční 2.6'!S20+'Transfery nein.2.6a'!C21+'Transfery nein.2.6a'!O21+'Transfery nein.2.6a'!S21+'Transfery nein.2.6a'!W21+'Transfery investiční'!C20+'Transfery investiční'!G20+'Transfery investiční'!K20+'Transfery investiční'!O20+'Transfery investiční'!S20+'Transfery investiční'!W20+'Transfery investiční'!AA20+'Transfery nein.2.6a'!AA21</f>
        <v>79675</v>
      </c>
      <c r="R19" s="377">
        <f>'Transfery neinvestiční 2.6'!D20+'Transfery neinvestiční 2.6'!H20+'Transfery neinvestiční 2.6'!L20+'Transfery neinvestiční 2.6'!P20+'Transfery neinvestiční 2.6'!T20+'Transfery nein.2.6a'!D21+'Transfery nein.2.6a'!P21+'Transfery nein.2.6a'!T21+'Transfery nein.2.6a'!X21+'Transfery investiční'!D20+'Transfery investiční'!H20+'Transfery investiční'!L20+'Transfery investiční'!P20+'Transfery investiční'!T20+'Transfery investiční'!X20+'Transfery investiční'!AB20+'Transfery nein.2.6a'!AB21</f>
        <v>121349</v>
      </c>
      <c r="S19" s="377">
        <f>'Transfery neinvestiční 2.6'!E20+'Transfery neinvestiční 2.6'!I20+'Transfery neinvestiční 2.6'!M20+'Transfery neinvestiční 2.6'!Q20+'Transfery neinvestiční 2.6'!U20+'Transfery nein.2.6a'!E21+'Transfery nein.2.6a'!Q21+'Transfery nein.2.6a'!U21+'Transfery nein.2.6a'!Y21+'Transfery investiční'!E20+'Transfery investiční'!I20+'Transfery investiční'!M20+'Transfery investiční'!Q20+'Transfery investiční'!U20+'Transfery investiční'!Y20+'Transfery investiční'!AC20+'Transfery nein.2.6a'!AC21</f>
        <v>119983</v>
      </c>
      <c r="T19" s="526">
        <f t="shared" si="3"/>
        <v>98.8743211728156</v>
      </c>
    </row>
    <row r="20" spans="1:20" ht="16.5" customHeight="1">
      <c r="A20" s="72" t="s">
        <v>13</v>
      </c>
      <c r="B20" s="77"/>
      <c r="C20" s="376">
        <f>'Daňové příjmy'!C20+'Daňové příjmy'!G20++'Daňové příjmy'!K20+'Daňové příjmy'!O20+'Ost.daně=Místní popl.'!C21</f>
        <v>4613</v>
      </c>
      <c r="D20" s="377">
        <f>'Daňové příjmy'!D20+'Daňové příjmy'!H20++'Daňové příjmy'!L20+'Daňové příjmy'!P20+'Ost.daně=Místní popl.'!D21</f>
        <v>8761</v>
      </c>
      <c r="E20" s="377">
        <f>'Daňové příjmy'!E20+'Daňové příjmy'!I20+'Daňové příjmy'!M20+'Daňové příjmy'!Q20+'Ost.daně=Místní popl.'!E21</f>
        <v>8847</v>
      </c>
      <c r="F20" s="392">
        <v>8846114</v>
      </c>
      <c r="G20" s="650">
        <f t="shared" si="1"/>
        <v>-0.886000000000422</v>
      </c>
      <c r="H20" s="526">
        <f t="shared" si="0"/>
        <v>100.98162310238557</v>
      </c>
      <c r="I20" s="377">
        <f>'Nedaňové příjmy'!C22+'Nedaňové příjmy'!G22+'Nedaňové příjmy'!K22+'Nedaňové příjmy'!O22+'Nedaňové příjmy'!S22+'Nedaňové příjmy'!W22+'Jiné nedaň.příjmy'!C22</f>
        <v>13978</v>
      </c>
      <c r="J20" s="377">
        <f>'Nedaňové příjmy'!D22+'Nedaňové příjmy'!H22+'Nedaňové příjmy'!L22+'Nedaňové příjmy'!P22+'Nedaňové příjmy'!T22+'Nedaňové příjmy'!X22+'Jiné nedaň.příjmy'!D22</f>
        <v>15466</v>
      </c>
      <c r="K20" s="377">
        <f>'Nedaňové příjmy'!E22+'Nedaňové příjmy'!I22+'Nedaňové příjmy'!M22+'Nedaňové příjmy'!Q22+'Nedaňové příjmy'!U22+'Nedaňové příjmy'!Y22+'Jiné nedaň.příjmy'!E22</f>
        <v>15667</v>
      </c>
      <c r="L20" s="526">
        <f t="shared" si="2"/>
        <v>101.29962498383551</v>
      </c>
      <c r="M20" s="377">
        <f>'Kapitálové příjmy'!C20+'Kapitálové příjmy'!G20</f>
        <v>0</v>
      </c>
      <c r="N20" s="377">
        <f>'Kapitálové příjmy'!D20+'Kapitálové příjmy'!H20</f>
        <v>53</v>
      </c>
      <c r="O20" s="528">
        <f>'Kapitálové příjmy'!E20+'Kapitálové příjmy'!I20</f>
        <v>53</v>
      </c>
      <c r="P20" s="526">
        <f>SUM(O20/N20*100)</f>
        <v>100</v>
      </c>
      <c r="Q20" s="377">
        <f>'Transfery neinvestiční 2.6'!C21+'Transfery neinvestiční 2.6'!G21+'Transfery neinvestiční 2.6'!K21+'Transfery neinvestiční 2.6'!O21+'Transfery neinvestiční 2.6'!S21+'Transfery nein.2.6a'!C22+'Transfery nein.2.6a'!O22+'Transfery nein.2.6a'!S22+'Transfery nein.2.6a'!W22+'Transfery investiční'!C21+'Transfery investiční'!G21+'Transfery investiční'!K21+'Transfery investiční'!O21+'Transfery investiční'!S21+'Transfery investiční'!W21+'Transfery investiční'!AA21+'Transfery nein.2.6a'!AA22</f>
        <v>102782</v>
      </c>
      <c r="R20" s="377">
        <f>'Transfery neinvestiční 2.6'!D21+'Transfery neinvestiční 2.6'!H21+'Transfery neinvestiční 2.6'!L21+'Transfery neinvestiční 2.6'!P21+'Transfery neinvestiční 2.6'!T21+'Transfery nein.2.6a'!D22+'Transfery nein.2.6a'!P22+'Transfery nein.2.6a'!T22+'Transfery nein.2.6a'!X22+'Transfery investiční'!D21+'Transfery investiční'!H21+'Transfery investiční'!L21+'Transfery investiční'!P21+'Transfery investiční'!T21+'Transfery investiční'!X21+'Transfery investiční'!AB21+'Transfery nein.2.6a'!AB22</f>
        <v>126821</v>
      </c>
      <c r="S20" s="377">
        <f>'Transfery neinvestiční 2.6'!E21+'Transfery neinvestiční 2.6'!I21+'Transfery neinvestiční 2.6'!M21+'Transfery neinvestiční 2.6'!Q21+'Transfery neinvestiční 2.6'!U21+'Transfery nein.2.6a'!E22+'Transfery nein.2.6a'!Q22+'Transfery nein.2.6a'!U22+'Transfery nein.2.6a'!Y22+'Transfery investiční'!E21+'Transfery investiční'!I21+'Transfery investiční'!M21+'Transfery investiční'!Q21+'Transfery investiční'!U21+'Transfery investiční'!Y21+'Transfery investiční'!AC21+'Transfery nein.2.6a'!AC22</f>
        <v>126768</v>
      </c>
      <c r="T20" s="526">
        <f t="shared" si="3"/>
        <v>99.95820881399769</v>
      </c>
    </row>
    <row r="21" spans="1:20" ht="16.5" customHeight="1">
      <c r="A21" s="72" t="s">
        <v>14</v>
      </c>
      <c r="B21" s="77"/>
      <c r="C21" s="376">
        <f>'Daňové příjmy'!C21+'Daňové příjmy'!G21++'Daňové příjmy'!K21+'Daňové příjmy'!O21+'Ost.daně=Místní popl.'!C22</f>
        <v>88</v>
      </c>
      <c r="D21" s="377">
        <f>'Daňové příjmy'!D21+'Daňové příjmy'!H21++'Daňové příjmy'!L21+'Daňové příjmy'!P21+'Ost.daně=Místní popl.'!D22</f>
        <v>141</v>
      </c>
      <c r="E21" s="377">
        <f>'Daňové příjmy'!E21+'Daňové příjmy'!I21+'Daňové příjmy'!M21+'Daňové příjmy'!Q21+'Ost.daně=Místní popl.'!E22</f>
        <v>135</v>
      </c>
      <c r="F21" s="392">
        <v>134272</v>
      </c>
      <c r="G21" s="650">
        <f t="shared" si="1"/>
        <v>-0.7280000000000086</v>
      </c>
      <c r="H21" s="526">
        <f t="shared" si="0"/>
        <v>95.74468085106383</v>
      </c>
      <c r="I21" s="377">
        <f>'Nedaňové příjmy'!C23+'Nedaňové příjmy'!G23+'Nedaňové příjmy'!K23+'Nedaňové příjmy'!O23+'Nedaňové příjmy'!S23+'Nedaňové příjmy'!W23+'Jiné nedaň.příjmy'!C23</f>
        <v>221</v>
      </c>
      <c r="J21" s="377">
        <f>'Nedaňové příjmy'!D23+'Nedaňové příjmy'!H23+'Nedaňové příjmy'!L23+'Nedaňové příjmy'!P23+'Nedaňové příjmy'!T23+'Nedaňové příjmy'!X23+'Jiné nedaň.příjmy'!D23</f>
        <v>899</v>
      </c>
      <c r="K21" s="377">
        <f>'Nedaňové příjmy'!E23+'Nedaňové příjmy'!I23+'Nedaňové příjmy'!M23+'Nedaňové příjmy'!Q23+'Nedaňové příjmy'!U23+'Nedaňové příjmy'!Y23+'Jiné nedaň.příjmy'!E23</f>
        <v>883</v>
      </c>
      <c r="L21" s="526">
        <f t="shared" si="2"/>
        <v>98.2202447163515</v>
      </c>
      <c r="M21" s="377">
        <f>'Kapitálové příjmy'!C21+'Kapitálové příjmy'!G21</f>
        <v>0</v>
      </c>
      <c r="N21" s="377">
        <f>'Kapitálové příjmy'!D21+'Kapitálové příjmy'!H21</f>
        <v>0</v>
      </c>
      <c r="O21" s="528">
        <f>'Kapitálové příjmy'!E21+'Kapitálové příjmy'!I21</f>
        <v>0</v>
      </c>
      <c r="P21" s="526"/>
      <c r="Q21" s="377">
        <f>'Transfery neinvestiční 2.6'!C22+'Transfery neinvestiční 2.6'!G22+'Transfery neinvestiční 2.6'!K22+'Transfery neinvestiční 2.6'!O22+'Transfery neinvestiční 2.6'!S22+'Transfery nein.2.6a'!C23+'Transfery nein.2.6a'!O23+'Transfery nein.2.6a'!S23+'Transfery nein.2.6a'!W23+'Transfery investiční'!C22+'Transfery investiční'!G22+'Transfery investiční'!K22+'Transfery investiční'!O22+'Transfery investiční'!S22+'Transfery investiční'!W22+'Transfery investiční'!AA22+'Transfery nein.2.6a'!AA23</f>
        <v>10233</v>
      </c>
      <c r="R21" s="377">
        <f>'Transfery neinvestiční 2.6'!D22+'Transfery neinvestiční 2.6'!H22+'Transfery neinvestiční 2.6'!L22+'Transfery neinvestiční 2.6'!P22+'Transfery neinvestiční 2.6'!T22+'Transfery nein.2.6a'!D23+'Transfery nein.2.6a'!P23+'Transfery nein.2.6a'!T23+'Transfery nein.2.6a'!X23+'Transfery investiční'!D22+'Transfery investiční'!H22+'Transfery investiční'!L22+'Transfery investiční'!P22+'Transfery investiční'!T22+'Transfery investiční'!X22+'Transfery investiční'!AB22+'Transfery nein.2.6a'!AB23</f>
        <v>10278</v>
      </c>
      <c r="S21" s="377">
        <f>'Transfery neinvestiční 2.6'!E22+'Transfery neinvestiční 2.6'!I22+'Transfery neinvestiční 2.6'!M22+'Transfery neinvestiční 2.6'!Q22+'Transfery neinvestiční 2.6'!U22+'Transfery nein.2.6a'!E23+'Transfery nein.2.6a'!Q23+'Transfery nein.2.6a'!U23+'Transfery nein.2.6a'!Y23+'Transfery investiční'!E22+'Transfery investiční'!I22+'Transfery investiční'!M22+'Transfery investiční'!Q22+'Transfery investiční'!U22+'Transfery investiční'!Y22+'Transfery investiční'!AC22+'Transfery nein.2.6a'!AC23</f>
        <v>10278</v>
      </c>
      <c r="T21" s="526">
        <f t="shared" si="3"/>
        <v>100</v>
      </c>
    </row>
    <row r="22" spans="1:20" ht="16.5" customHeight="1">
      <c r="A22" s="72" t="s">
        <v>15</v>
      </c>
      <c r="B22" s="77"/>
      <c r="C22" s="376">
        <f>'Daňové příjmy'!C22+'Daňové příjmy'!G22++'Daňové příjmy'!K22+'Daňové příjmy'!O22+'Ost.daně=Místní popl.'!C23</f>
        <v>1812</v>
      </c>
      <c r="D22" s="377">
        <f>'Daňové příjmy'!D22+'Daňové příjmy'!H22++'Daňové příjmy'!L22+'Daňové příjmy'!P22+'Ost.daně=Místní popl.'!D23</f>
        <v>2268</v>
      </c>
      <c r="E22" s="377">
        <f>'Daňové příjmy'!E22+'Daňové příjmy'!I22+'Daňové příjmy'!M22+'Daňové příjmy'!Q22+'Ost.daně=Místní popl.'!E23</f>
        <v>2245</v>
      </c>
      <c r="F22" s="392">
        <v>2245322</v>
      </c>
      <c r="G22" s="650">
        <f t="shared" si="1"/>
        <v>0.3220000000001164</v>
      </c>
      <c r="H22" s="526">
        <f t="shared" si="0"/>
        <v>98.98589065255732</v>
      </c>
      <c r="I22" s="377">
        <f>'Nedaňové příjmy'!C24+'Nedaňové příjmy'!G24+'Nedaňové příjmy'!K24+'Nedaňové příjmy'!O24+'Nedaňové příjmy'!S24+'Nedaňové příjmy'!W24+'Jiné nedaň.příjmy'!C24</f>
        <v>1870</v>
      </c>
      <c r="J22" s="377">
        <f>'Nedaňové příjmy'!D24+'Nedaňové příjmy'!H24+'Nedaňové příjmy'!L24+'Nedaňové příjmy'!P24+'Nedaňové příjmy'!T24+'Nedaňové příjmy'!X24+'Jiné nedaň.příjmy'!D24</f>
        <v>3270</v>
      </c>
      <c r="K22" s="377">
        <f>'Nedaňové příjmy'!E24+'Nedaňové příjmy'!I24+'Nedaňové příjmy'!M24+'Nedaňové příjmy'!Q24+'Nedaňové příjmy'!U24+'Nedaňové příjmy'!Y24+'Jiné nedaň.příjmy'!E24</f>
        <v>3269</v>
      </c>
      <c r="L22" s="526">
        <f t="shared" si="2"/>
        <v>99.96941896024465</v>
      </c>
      <c r="M22" s="377">
        <f>'Kapitálové příjmy'!C22+'Kapitálové příjmy'!G22</f>
        <v>0</v>
      </c>
      <c r="N22" s="377">
        <f>'Kapitálové příjmy'!D22+'Kapitálové příjmy'!H22</f>
        <v>80</v>
      </c>
      <c r="O22" s="528">
        <f>'Kapitálové příjmy'!E22+'Kapitálové příjmy'!I22</f>
        <v>80</v>
      </c>
      <c r="P22" s="526">
        <f>SUM(O22/N22*100)</f>
        <v>100</v>
      </c>
      <c r="Q22" s="377">
        <f>'Transfery neinvestiční 2.6'!C23+'Transfery neinvestiční 2.6'!G23+'Transfery neinvestiční 2.6'!K23+'Transfery neinvestiční 2.6'!O23+'Transfery neinvestiční 2.6'!S23+'Transfery nein.2.6a'!C24+'Transfery nein.2.6a'!O24+'Transfery nein.2.6a'!S24+'Transfery nein.2.6a'!W24+'Transfery investiční'!C23+'Transfery investiční'!G23+'Transfery investiční'!K23+'Transfery investiční'!O23+'Transfery investiční'!S23+'Transfery investiční'!W23+'Transfery investiční'!AA23+'Transfery nein.2.6a'!AA24</f>
        <v>21164</v>
      </c>
      <c r="R22" s="377">
        <f>'Transfery neinvestiční 2.6'!D23+'Transfery neinvestiční 2.6'!H23+'Transfery neinvestiční 2.6'!L23+'Transfery neinvestiční 2.6'!P23+'Transfery neinvestiční 2.6'!T23+'Transfery nein.2.6a'!D24+'Transfery nein.2.6a'!P24+'Transfery nein.2.6a'!T24+'Transfery nein.2.6a'!X24+'Transfery investiční'!D23+'Transfery investiční'!H23+'Transfery investiční'!L23+'Transfery investiční'!P23+'Transfery investiční'!T23+'Transfery investiční'!X23+'Transfery investiční'!AB23+'Transfery nein.2.6a'!AB24</f>
        <v>39685</v>
      </c>
      <c r="S22" s="377">
        <f>'Transfery neinvestiční 2.6'!E23+'Transfery neinvestiční 2.6'!I23+'Transfery neinvestiční 2.6'!M23+'Transfery neinvestiční 2.6'!Q23+'Transfery neinvestiční 2.6'!U23+'Transfery nein.2.6a'!E24+'Transfery nein.2.6a'!Q24+'Transfery nein.2.6a'!U24+'Transfery nein.2.6a'!Y24+'Transfery investiční'!E23+'Transfery investiční'!I23+'Transfery investiční'!M23+'Transfery investiční'!Q23+'Transfery investiční'!U23+'Transfery investiční'!Y23+'Transfery investiční'!AC23+'Transfery nein.2.6a'!AC24</f>
        <v>39630</v>
      </c>
      <c r="T22" s="526">
        <f t="shared" si="3"/>
        <v>99.86140859266726</v>
      </c>
    </row>
    <row r="23" spans="1:20" ht="16.5" customHeight="1">
      <c r="A23" s="72" t="s">
        <v>16</v>
      </c>
      <c r="B23" s="77"/>
      <c r="C23" s="376">
        <f>'Daňové příjmy'!C23+'Daňové příjmy'!G23++'Daňové příjmy'!K23+'Daňové příjmy'!O23+'Ost.daně=Místní popl.'!C24</f>
        <v>1829</v>
      </c>
      <c r="D23" s="377">
        <f>'Daňové příjmy'!D23+'Daňové příjmy'!H23++'Daňové příjmy'!L23+'Daňové příjmy'!P23+'Ost.daně=Místní popl.'!D24</f>
        <v>1823</v>
      </c>
      <c r="E23" s="377">
        <f>'Daňové příjmy'!E23+'Daňové příjmy'!I23+'Daňové příjmy'!M23+'Daňové příjmy'!Q23+'Ost.daně=Místní popl.'!E24</f>
        <v>1718</v>
      </c>
      <c r="F23" s="392">
        <v>1718817</v>
      </c>
      <c r="G23" s="650">
        <f t="shared" si="1"/>
        <v>0.8170000000000073</v>
      </c>
      <c r="H23" s="526">
        <f t="shared" si="0"/>
        <v>94.24026330224903</v>
      </c>
      <c r="I23" s="377">
        <f>'Nedaňové příjmy'!C25+'Nedaňové příjmy'!G25+'Nedaňové příjmy'!K25+'Nedaňové příjmy'!O25+'Nedaňové příjmy'!S25+'Nedaňové příjmy'!W25+'Jiné nedaň.příjmy'!C25</f>
        <v>1576</v>
      </c>
      <c r="J23" s="377">
        <f>'Nedaňové příjmy'!D25+'Nedaňové příjmy'!H25+'Nedaňové příjmy'!L25+'Nedaňové příjmy'!P25+'Nedaňové příjmy'!T25+'Nedaňové příjmy'!X25+'Jiné nedaň.příjmy'!D25</f>
        <v>2611</v>
      </c>
      <c r="K23" s="377">
        <f>'Nedaňové příjmy'!E25+'Nedaňové příjmy'!I25+'Nedaňové příjmy'!M25+'Nedaňové příjmy'!Q25+'Nedaňové příjmy'!U25+'Nedaňové příjmy'!Y25+'Jiné nedaň.příjmy'!E25</f>
        <v>2682</v>
      </c>
      <c r="L23" s="526">
        <f t="shared" si="2"/>
        <v>102.71926464955956</v>
      </c>
      <c r="M23" s="377">
        <f>'Kapitálové příjmy'!C23+'Kapitálové příjmy'!G23</f>
        <v>0</v>
      </c>
      <c r="N23" s="377">
        <f>'Kapitálové příjmy'!D23+'Kapitálové příjmy'!H23</f>
        <v>0</v>
      </c>
      <c r="O23" s="528">
        <f>'Kapitálové příjmy'!E23+'Kapitálové příjmy'!I23</f>
        <v>0</v>
      </c>
      <c r="P23" s="526"/>
      <c r="Q23" s="377">
        <f>'Transfery neinvestiční 2.6'!C24+'Transfery neinvestiční 2.6'!G24+'Transfery neinvestiční 2.6'!K24+'Transfery neinvestiční 2.6'!O24+'Transfery neinvestiční 2.6'!S24+'Transfery nein.2.6a'!C25+'Transfery nein.2.6a'!O25+'Transfery nein.2.6a'!S25+'Transfery nein.2.6a'!W25+'Transfery investiční'!C24+'Transfery investiční'!G24+'Transfery investiční'!K24+'Transfery investiční'!O24+'Transfery investiční'!S24+'Transfery investiční'!W24+'Transfery investiční'!AA24+'Transfery nein.2.6a'!AA25</f>
        <v>10437</v>
      </c>
      <c r="R23" s="377">
        <f>'Transfery neinvestiční 2.6'!D24+'Transfery neinvestiční 2.6'!H24+'Transfery neinvestiční 2.6'!L24+'Transfery neinvestiční 2.6'!P24+'Transfery neinvestiční 2.6'!T24+'Transfery nein.2.6a'!D25+'Transfery nein.2.6a'!P25+'Transfery nein.2.6a'!T25+'Transfery nein.2.6a'!X25+'Transfery investiční'!D24+'Transfery investiční'!H24+'Transfery investiční'!L24+'Transfery investiční'!P24+'Transfery investiční'!T24+'Transfery investiční'!X24+'Transfery investiční'!AB24+'Transfery nein.2.6a'!AB25</f>
        <v>46611</v>
      </c>
      <c r="S23" s="377">
        <f>'Transfery neinvestiční 2.6'!E24+'Transfery neinvestiční 2.6'!I24+'Transfery neinvestiční 2.6'!M24+'Transfery neinvestiční 2.6'!Q24+'Transfery neinvestiční 2.6'!U24+'Transfery nein.2.6a'!E25+'Transfery nein.2.6a'!Q25+'Transfery nein.2.6a'!U25+'Transfery nein.2.6a'!Y25+'Transfery investiční'!E24+'Transfery investiční'!I24+'Transfery investiční'!M24+'Transfery investiční'!Q24+'Transfery investiční'!U24+'Transfery investiční'!Y24+'Transfery investiční'!AC24+'Transfery nein.2.6a'!AC25</f>
        <v>45549</v>
      </c>
      <c r="T23" s="526">
        <f t="shared" si="3"/>
        <v>97.72156787024522</v>
      </c>
    </row>
    <row r="24" spans="1:20" ht="16.5" customHeight="1">
      <c r="A24" s="72" t="s">
        <v>244</v>
      </c>
      <c r="B24" s="77"/>
      <c r="C24" s="376">
        <f>'Daňové příjmy'!C24+'Daňové příjmy'!G24++'Daňové příjmy'!K24+'Daňové příjmy'!O24+'Ost.daně=Místní popl.'!C25</f>
        <v>768</v>
      </c>
      <c r="D24" s="377">
        <f>'Daňové příjmy'!D24+'Daňové příjmy'!H24++'Daňové příjmy'!L24+'Daňové příjmy'!P24+'Ost.daně=Místní popl.'!D25</f>
        <v>1359</v>
      </c>
      <c r="E24" s="377">
        <f>'Daňové příjmy'!E24+'Daňové příjmy'!I24+'Daňové příjmy'!M24+'Daňové příjmy'!Q24+'Ost.daně=Místní popl.'!E25</f>
        <v>1367</v>
      </c>
      <c r="F24" s="392">
        <v>1366691</v>
      </c>
      <c r="G24" s="650">
        <f t="shared" si="1"/>
        <v>-0.3089999999999691</v>
      </c>
      <c r="H24" s="526">
        <f t="shared" si="0"/>
        <v>100.58866813833703</v>
      </c>
      <c r="I24" s="377">
        <f>'Nedaňové příjmy'!C26+'Nedaňové příjmy'!G26+'Nedaňové příjmy'!K26+'Nedaňové příjmy'!O26+'Nedaňové příjmy'!S26+'Nedaňové příjmy'!W26+'Jiné nedaň.příjmy'!C26</f>
        <v>429</v>
      </c>
      <c r="J24" s="377">
        <f>'Nedaňové příjmy'!D26+'Nedaňové příjmy'!H26+'Nedaňové příjmy'!L26+'Nedaňové příjmy'!P26+'Nedaňové příjmy'!T26+'Nedaňové příjmy'!X26+'Jiné nedaň.příjmy'!D26</f>
        <v>1385</v>
      </c>
      <c r="K24" s="377">
        <f>'Nedaňové příjmy'!E26+'Nedaňové příjmy'!I26+'Nedaňové příjmy'!M26+'Nedaňové příjmy'!Q26+'Nedaňové příjmy'!U26+'Nedaňové příjmy'!Y26+'Jiné nedaň.příjmy'!E26</f>
        <v>1424</v>
      </c>
      <c r="L24" s="526">
        <f t="shared" si="2"/>
        <v>102.8158844765343</v>
      </c>
      <c r="M24" s="377">
        <f>'Kapitálové příjmy'!C24+'Kapitálové příjmy'!G24</f>
        <v>0</v>
      </c>
      <c r="N24" s="377">
        <f>'Kapitálové příjmy'!D24+'Kapitálové příjmy'!H24</f>
        <v>0</v>
      </c>
      <c r="O24" s="528">
        <f>'Kapitálové příjmy'!E24+'Kapitálové příjmy'!I24</f>
        <v>0</v>
      </c>
      <c r="P24" s="526"/>
      <c r="Q24" s="377">
        <f>'Transfery neinvestiční 2.6'!C25+'Transfery neinvestiční 2.6'!G25+'Transfery neinvestiční 2.6'!K25+'Transfery neinvestiční 2.6'!O25+'Transfery neinvestiční 2.6'!S25+'Transfery nein.2.6a'!C26+'Transfery nein.2.6a'!O26+'Transfery nein.2.6a'!S26+'Transfery nein.2.6a'!W26+'Transfery investiční'!C25+'Transfery investiční'!G25+'Transfery investiční'!K25+'Transfery investiční'!O25+'Transfery investiční'!S25+'Transfery investiční'!W25+'Transfery investiční'!AA25+'Transfery nein.2.6a'!AA26</f>
        <v>11504</v>
      </c>
      <c r="R24" s="377">
        <f>'Transfery neinvestiční 2.6'!D25+'Transfery neinvestiční 2.6'!H25+'Transfery neinvestiční 2.6'!L25+'Transfery neinvestiční 2.6'!P25+'Transfery neinvestiční 2.6'!T25+'Transfery nein.2.6a'!D26+'Transfery nein.2.6a'!P26+'Transfery nein.2.6a'!T26+'Transfery nein.2.6a'!X26+'Transfery investiční'!D25+'Transfery investiční'!H25+'Transfery investiční'!L25+'Transfery investiční'!P25+'Transfery investiční'!T25+'Transfery investiční'!X25+'Transfery investiční'!AB25+'Transfery nein.2.6a'!AB26</f>
        <v>14502</v>
      </c>
      <c r="S24" s="377">
        <f>'Transfery neinvestiční 2.6'!E25+'Transfery neinvestiční 2.6'!I25+'Transfery neinvestiční 2.6'!M25+'Transfery neinvestiční 2.6'!Q25+'Transfery neinvestiční 2.6'!U25+'Transfery nein.2.6a'!E26+'Transfery nein.2.6a'!Q26+'Transfery nein.2.6a'!U26+'Transfery nein.2.6a'!Y26+'Transfery investiční'!E25+'Transfery investiční'!I25+'Transfery investiční'!M25+'Transfery investiční'!Q25+'Transfery investiční'!U25+'Transfery investiční'!Y25+'Transfery investiční'!AC25+'Transfery nein.2.6a'!AC26</f>
        <v>14502</v>
      </c>
      <c r="T24" s="526">
        <f t="shared" si="3"/>
        <v>100</v>
      </c>
    </row>
    <row r="25" spans="1:20" ht="16.5" customHeight="1">
      <c r="A25" s="72" t="s">
        <v>18</v>
      </c>
      <c r="B25" s="77"/>
      <c r="C25" s="376">
        <f>'Daňové příjmy'!C25+'Daňové příjmy'!G25++'Daňové příjmy'!K25+'Daňové příjmy'!O25+'Ost.daně=Místní popl.'!C26</f>
        <v>13559</v>
      </c>
      <c r="D25" s="377">
        <f>'Daňové příjmy'!D25+'Daňové příjmy'!H25++'Daňové příjmy'!L25+'Daňové příjmy'!P25+'Ost.daně=Místní popl.'!D26</f>
        <v>26128</v>
      </c>
      <c r="E25" s="377">
        <f>'Daňové příjmy'!E25+'Daňové příjmy'!I25+'Daňové příjmy'!M25+'Daňové příjmy'!Q25+'Ost.daně=Místní popl.'!E26</f>
        <v>25953</v>
      </c>
      <c r="F25" s="392">
        <v>25952704</v>
      </c>
      <c r="G25" s="650">
        <f t="shared" si="1"/>
        <v>-0.2959999999984575</v>
      </c>
      <c r="H25" s="526">
        <f t="shared" si="0"/>
        <v>99.3302204531537</v>
      </c>
      <c r="I25" s="377">
        <f>'Nedaňové příjmy'!C27+'Nedaňové příjmy'!G27+'Nedaňové příjmy'!K27+'Nedaňové příjmy'!O27+'Nedaňové příjmy'!S27+'Nedaňové příjmy'!W27+'Jiné nedaň.příjmy'!C27</f>
        <v>10578</v>
      </c>
      <c r="J25" s="377">
        <f>'Nedaňové příjmy'!D27+'Nedaňové příjmy'!H27+'Nedaňové příjmy'!L27+'Nedaňové příjmy'!P27+'Nedaňové příjmy'!T27+'Nedaňové příjmy'!X27+'Jiné nedaň.příjmy'!D27</f>
        <v>16861</v>
      </c>
      <c r="K25" s="377">
        <f>'Nedaňové příjmy'!E27+'Nedaňové příjmy'!I27+'Nedaňové příjmy'!M27+'Nedaňové příjmy'!Q27+'Nedaňové příjmy'!U27+'Nedaňové příjmy'!Y27+'Jiné nedaň.příjmy'!E27</f>
        <v>18300</v>
      </c>
      <c r="L25" s="526">
        <f t="shared" si="2"/>
        <v>108.53448787141926</v>
      </c>
      <c r="M25" s="377">
        <f>'Kapitálové příjmy'!C25+'Kapitálové příjmy'!G25</f>
        <v>0</v>
      </c>
      <c r="N25" s="377">
        <f>'Kapitálové příjmy'!D25+'Kapitálové příjmy'!H25</f>
        <v>133</v>
      </c>
      <c r="O25" s="528">
        <f>'Kapitálové příjmy'!E25+'Kapitálové příjmy'!I25</f>
        <v>133</v>
      </c>
      <c r="P25" s="526">
        <f>SUM(O25/N25*100)</f>
        <v>100</v>
      </c>
      <c r="Q25" s="377">
        <f>'Transfery neinvestiční 2.6'!C26+'Transfery neinvestiční 2.6'!G26+'Transfery neinvestiční 2.6'!K26+'Transfery neinvestiční 2.6'!O26+'Transfery neinvestiční 2.6'!S26+'Transfery nein.2.6a'!C27+'Transfery nein.2.6a'!O27+'Transfery nein.2.6a'!S27+'Transfery nein.2.6a'!W27+'Transfery investiční'!C26+'Transfery investiční'!G26+'Transfery investiční'!K26+'Transfery investiční'!O26+'Transfery investiční'!S26+'Transfery investiční'!W26+'Transfery investiční'!AA26+'Transfery nein.2.6a'!AA27</f>
        <v>161291</v>
      </c>
      <c r="R25" s="377">
        <f>'Transfery neinvestiční 2.6'!D26+'Transfery neinvestiční 2.6'!H26+'Transfery neinvestiční 2.6'!L26+'Transfery neinvestiční 2.6'!P26+'Transfery neinvestiční 2.6'!T26+'Transfery nein.2.6a'!D27+'Transfery nein.2.6a'!P27+'Transfery nein.2.6a'!T27+'Transfery nein.2.6a'!X27+'Transfery investiční'!D26+'Transfery investiční'!H26+'Transfery investiční'!L26+'Transfery investiční'!P26+'Transfery investiční'!T26+'Transfery investiční'!X26+'Transfery investiční'!AB26+'Transfery nein.2.6a'!AB27</f>
        <v>257106</v>
      </c>
      <c r="S25" s="377">
        <f>'Transfery neinvestiční 2.6'!E26+'Transfery neinvestiční 2.6'!I26+'Transfery neinvestiční 2.6'!M26+'Transfery neinvestiční 2.6'!Q26+'Transfery neinvestiční 2.6'!U26+'Transfery nein.2.6a'!E27+'Transfery nein.2.6a'!Q27+'Transfery nein.2.6a'!U27+'Transfery nein.2.6a'!Y27+'Transfery investiční'!E26+'Transfery investiční'!I26+'Transfery investiční'!M26+'Transfery investiční'!Q26+'Transfery investiční'!U26+'Transfery investiční'!Y26+'Transfery investiční'!AC26+'Transfery nein.2.6a'!AC27</f>
        <v>256365</v>
      </c>
      <c r="T25" s="526">
        <f t="shared" si="3"/>
        <v>99.71179202352337</v>
      </c>
    </row>
    <row r="26" spans="1:20" ht="16.5" customHeight="1">
      <c r="A26" s="72" t="s">
        <v>58</v>
      </c>
      <c r="B26" s="77"/>
      <c r="C26" s="376">
        <f>'Daňové příjmy'!C26+'Daňové příjmy'!G26++'Daňové příjmy'!K26+'Daňové příjmy'!O26+'Ost.daně=Místní popl.'!C27</f>
        <v>1035</v>
      </c>
      <c r="D26" s="377">
        <f>'Daňové příjmy'!D26+'Daňové příjmy'!H26++'Daňové příjmy'!L26+'Daňové příjmy'!P26+'Ost.daně=Místní popl.'!D27</f>
        <v>1282</v>
      </c>
      <c r="E26" s="377">
        <f>'Daňové příjmy'!E26+'Daňové příjmy'!I26+'Daňové příjmy'!M26+'Daňové příjmy'!Q26+'Ost.daně=Místní popl.'!E27</f>
        <v>1449</v>
      </c>
      <c r="F26" s="392">
        <v>1449316</v>
      </c>
      <c r="G26" s="650">
        <f t="shared" si="1"/>
        <v>0.3160000000000309</v>
      </c>
      <c r="H26" s="526">
        <f t="shared" si="0"/>
        <v>113.02652106084243</v>
      </c>
      <c r="I26" s="377">
        <f>'Nedaňové příjmy'!C28+'Nedaňové příjmy'!G28+'Nedaňové příjmy'!K28+'Nedaňové příjmy'!O28+'Nedaňové příjmy'!S28+'Nedaňové příjmy'!W28+'Jiné nedaň.příjmy'!C28</f>
        <v>496</v>
      </c>
      <c r="J26" s="377">
        <f>'Nedaňové příjmy'!D28+'Nedaňové příjmy'!H28+'Nedaňové příjmy'!L28+'Nedaňové příjmy'!P28+'Nedaňové příjmy'!T28+'Nedaňové příjmy'!X28+'Jiné nedaň.příjmy'!D28</f>
        <v>1600</v>
      </c>
      <c r="K26" s="377">
        <f>'Nedaňové příjmy'!E28+'Nedaňové příjmy'!I28+'Nedaňové příjmy'!M28+'Nedaňové příjmy'!Q28+'Nedaňové příjmy'!U28+'Nedaňové příjmy'!Y28+'Jiné nedaň.příjmy'!E28</f>
        <v>1953</v>
      </c>
      <c r="L26" s="526">
        <f t="shared" si="2"/>
        <v>122.0625</v>
      </c>
      <c r="M26" s="377">
        <f>'Kapitálové příjmy'!C26+'Kapitálové příjmy'!G26</f>
        <v>0</v>
      </c>
      <c r="N26" s="377">
        <f>'Kapitálové příjmy'!D26+'Kapitálové příjmy'!H26</f>
        <v>0</v>
      </c>
      <c r="O26" s="528">
        <f>'Kapitálové příjmy'!E26+'Kapitálové příjmy'!I26</f>
        <v>0</v>
      </c>
      <c r="P26" s="526"/>
      <c r="Q26" s="377">
        <f>'Transfery neinvestiční 2.6'!C27+'Transfery neinvestiční 2.6'!G27+'Transfery neinvestiční 2.6'!K27+'Transfery neinvestiční 2.6'!O27+'Transfery neinvestiční 2.6'!S27+'Transfery nein.2.6a'!C28+'Transfery nein.2.6a'!O28+'Transfery nein.2.6a'!S28+'Transfery nein.2.6a'!W28+'Transfery investiční'!C27+'Transfery investiční'!G27+'Transfery investiční'!K27+'Transfery investiční'!O27+'Transfery investiční'!S27+'Transfery investiční'!W27+'Transfery investiční'!AA27+'Transfery nein.2.6a'!AA28</f>
        <v>21038</v>
      </c>
      <c r="R26" s="377">
        <f>'Transfery neinvestiční 2.6'!D27+'Transfery neinvestiční 2.6'!H27+'Transfery neinvestiční 2.6'!L27+'Transfery neinvestiční 2.6'!P27+'Transfery neinvestiční 2.6'!T27+'Transfery nein.2.6a'!D28+'Transfery nein.2.6a'!P28+'Transfery nein.2.6a'!T28+'Transfery nein.2.6a'!X28+'Transfery investiční'!D27+'Transfery investiční'!H27+'Transfery investiční'!L27+'Transfery investiční'!P27+'Transfery investiční'!T27+'Transfery investiční'!X27+'Transfery investiční'!AB27+'Transfery nein.2.6a'!AB28</f>
        <v>24061</v>
      </c>
      <c r="S26" s="377">
        <f>'Transfery neinvestiční 2.6'!E27+'Transfery neinvestiční 2.6'!I27+'Transfery neinvestiční 2.6'!M27+'Transfery neinvestiční 2.6'!Q27+'Transfery neinvestiční 2.6'!U27+'Transfery nein.2.6a'!E28+'Transfery nein.2.6a'!Q28+'Transfery nein.2.6a'!U28+'Transfery nein.2.6a'!Y28+'Transfery investiční'!E27+'Transfery investiční'!I27+'Transfery investiční'!M27+'Transfery investiční'!Q27+'Transfery investiční'!U27+'Transfery investiční'!Y27+'Transfery investiční'!AC27+'Transfery nein.2.6a'!AC28</f>
        <v>24426</v>
      </c>
      <c r="T26" s="526">
        <f t="shared" si="3"/>
        <v>101.5169776817256</v>
      </c>
    </row>
    <row r="27" spans="1:20" ht="16.5" customHeight="1">
      <c r="A27" s="72" t="s">
        <v>19</v>
      </c>
      <c r="B27" s="77"/>
      <c r="C27" s="376">
        <f>'Daňové příjmy'!C27+'Daňové příjmy'!G27++'Daňové příjmy'!K27+'Daňové příjmy'!O27+'Ost.daně=Místní popl.'!C28</f>
        <v>17175</v>
      </c>
      <c r="D27" s="377">
        <f>'Daňové příjmy'!D27+'Daňové příjmy'!H27++'Daňové příjmy'!L27+'Daňové příjmy'!P27+'Ost.daně=Místní popl.'!D28</f>
        <v>15771</v>
      </c>
      <c r="E27" s="377">
        <f>'Daňové příjmy'!E27+'Daňové příjmy'!I27+'Daňové příjmy'!M27+'Daňové příjmy'!Q27+'Ost.daně=Místní popl.'!E28</f>
        <v>15810</v>
      </c>
      <c r="F27" s="392">
        <v>15810255</v>
      </c>
      <c r="G27" s="650">
        <f t="shared" si="1"/>
        <v>0.25499999999919964</v>
      </c>
      <c r="H27" s="526">
        <f t="shared" si="0"/>
        <v>100.24728932851437</v>
      </c>
      <c r="I27" s="377">
        <f>'Nedaňové příjmy'!C29+'Nedaňové příjmy'!G29+'Nedaňové příjmy'!K29+'Nedaňové příjmy'!O29+'Nedaňové příjmy'!S29+'Nedaňové příjmy'!W29+'Jiné nedaň.příjmy'!C29</f>
        <v>6914</v>
      </c>
      <c r="J27" s="377">
        <f>'Nedaňové příjmy'!D29+'Nedaňové příjmy'!H29+'Nedaňové příjmy'!L29+'Nedaňové příjmy'!P29+'Nedaňové příjmy'!T29+'Nedaňové příjmy'!X29+'Jiné nedaň.příjmy'!D29</f>
        <v>11576</v>
      </c>
      <c r="K27" s="377">
        <f>'Nedaňové příjmy'!E29+'Nedaňové příjmy'!I29+'Nedaňové příjmy'!M29+'Nedaňové příjmy'!Q29+'Nedaňové příjmy'!U29+'Nedaňové příjmy'!Y29+'Jiné nedaň.příjmy'!E29</f>
        <v>12544</v>
      </c>
      <c r="L27" s="526">
        <f t="shared" si="2"/>
        <v>108.36212854181065</v>
      </c>
      <c r="M27" s="377">
        <f>'Kapitálové příjmy'!C27+'Kapitálové příjmy'!G27</f>
        <v>25</v>
      </c>
      <c r="N27" s="377">
        <f>'Kapitálové příjmy'!D27+'Kapitálové příjmy'!H27</f>
        <v>77</v>
      </c>
      <c r="O27" s="528">
        <f>'Kapitálové příjmy'!E27+'Kapitálové příjmy'!I27</f>
        <v>77</v>
      </c>
      <c r="P27" s="526">
        <f>SUM(O27/N27*100)</f>
        <v>100</v>
      </c>
      <c r="Q27" s="377">
        <f>'Transfery neinvestiční 2.6'!C28+'Transfery neinvestiční 2.6'!G28+'Transfery neinvestiční 2.6'!K28+'Transfery neinvestiční 2.6'!O28+'Transfery neinvestiční 2.6'!S28+'Transfery nein.2.6a'!C29+'Transfery nein.2.6a'!O29+'Transfery nein.2.6a'!S29+'Transfery nein.2.6a'!W29+'Transfery investiční'!C28+'Transfery investiční'!G28+'Transfery investiční'!K28+'Transfery investiční'!O28+'Transfery investiční'!S28+'Transfery investiční'!W28+'Transfery investiční'!AA28+'Transfery nein.2.6a'!AA29</f>
        <v>87526</v>
      </c>
      <c r="R27" s="377">
        <f>'Transfery neinvestiční 2.6'!D28+'Transfery neinvestiční 2.6'!H28+'Transfery neinvestiční 2.6'!L28+'Transfery neinvestiční 2.6'!P28+'Transfery neinvestiční 2.6'!T28+'Transfery nein.2.6a'!D29+'Transfery nein.2.6a'!P29+'Transfery nein.2.6a'!T29+'Transfery nein.2.6a'!X29+'Transfery investiční'!D28+'Transfery investiční'!H28+'Transfery investiční'!L28+'Transfery investiční'!P28+'Transfery investiční'!T28+'Transfery investiční'!X28+'Transfery investiční'!AB28+'Transfery nein.2.6a'!AB29</f>
        <v>110384</v>
      </c>
      <c r="S27" s="377">
        <f>'Transfery neinvestiční 2.6'!E28+'Transfery neinvestiční 2.6'!I28+'Transfery neinvestiční 2.6'!M28+'Transfery neinvestiční 2.6'!Q28+'Transfery neinvestiční 2.6'!U28+'Transfery nein.2.6a'!E29+'Transfery nein.2.6a'!Q29+'Transfery nein.2.6a'!U29+'Transfery nein.2.6a'!Y29+'Transfery investiční'!E28+'Transfery investiční'!I28+'Transfery investiční'!M28+'Transfery investiční'!Q28+'Transfery investiční'!U28+'Transfery investiční'!Y28+'Transfery investiční'!AC28+'Transfery nein.2.6a'!AC29</f>
        <v>110385</v>
      </c>
      <c r="T27" s="526">
        <f t="shared" si="3"/>
        <v>100.00090592839541</v>
      </c>
    </row>
    <row r="28" spans="1:20" ht="16.5" customHeight="1">
      <c r="A28" s="72" t="s">
        <v>20</v>
      </c>
      <c r="B28" s="77"/>
      <c r="C28" s="376">
        <f>'Daňové příjmy'!C28+'Daňové příjmy'!G28++'Daňové příjmy'!K28+'Daňové příjmy'!O28+'Ost.daně=Místní popl.'!C29</f>
        <v>2105</v>
      </c>
      <c r="D28" s="377">
        <f>'Daňové příjmy'!D28+'Daňové příjmy'!H28++'Daňové příjmy'!L28+'Daňové příjmy'!P28+'Ost.daně=Místní popl.'!D29</f>
        <v>3679</v>
      </c>
      <c r="E28" s="377">
        <f>'Daňové příjmy'!E28+'Daňové příjmy'!I28+'Daňové příjmy'!M28+'Daňové příjmy'!Q28+'Ost.daně=Místní popl.'!E29</f>
        <v>3764</v>
      </c>
      <c r="F28" s="392">
        <v>3764013</v>
      </c>
      <c r="G28" s="650">
        <f t="shared" si="1"/>
        <v>0.012999999999919964</v>
      </c>
      <c r="H28" s="526">
        <f t="shared" si="0"/>
        <v>102.31041043761893</v>
      </c>
      <c r="I28" s="377">
        <f>'Nedaňové příjmy'!C30+'Nedaňové příjmy'!G30+'Nedaňové příjmy'!K30+'Nedaňové příjmy'!O30+'Nedaňové příjmy'!S30+'Nedaňové příjmy'!W30+'Jiné nedaň.příjmy'!C30</f>
        <v>4664</v>
      </c>
      <c r="J28" s="377">
        <f>'Nedaňové příjmy'!D30+'Nedaňové příjmy'!H30+'Nedaňové příjmy'!L30+'Nedaňové příjmy'!P30+'Nedaňové příjmy'!T30+'Nedaňové příjmy'!X30+'Jiné nedaň.příjmy'!D30</f>
        <v>9455</v>
      </c>
      <c r="K28" s="377">
        <f>'Nedaňové příjmy'!E30+'Nedaňové příjmy'!I30+'Nedaňové příjmy'!M30+'Nedaňové příjmy'!Q30+'Nedaňové příjmy'!U30+'Nedaňové příjmy'!Y30+'Jiné nedaň.příjmy'!E30</f>
        <v>9866</v>
      </c>
      <c r="L28" s="526">
        <f t="shared" si="2"/>
        <v>104.34690639873084</v>
      </c>
      <c r="M28" s="377">
        <f>'Kapitálové příjmy'!C28+'Kapitálové příjmy'!G28</f>
        <v>0</v>
      </c>
      <c r="N28" s="377">
        <f>'Kapitálové příjmy'!D28+'Kapitálové příjmy'!H28</f>
        <v>0</v>
      </c>
      <c r="O28" s="528">
        <f>'Kapitálové příjmy'!E28+'Kapitálové příjmy'!I28</f>
        <v>0</v>
      </c>
      <c r="P28" s="526"/>
      <c r="Q28" s="377">
        <f>'Transfery neinvestiční 2.6'!C29+'Transfery neinvestiční 2.6'!G29+'Transfery neinvestiční 2.6'!K29+'Transfery neinvestiční 2.6'!O29+'Transfery neinvestiční 2.6'!S29+'Transfery nein.2.6a'!C30+'Transfery nein.2.6a'!O30+'Transfery nein.2.6a'!S30+'Transfery nein.2.6a'!W30+'Transfery investiční'!C29+'Transfery investiční'!G29+'Transfery investiční'!K29+'Transfery investiční'!O29+'Transfery investiční'!S29+'Transfery investiční'!W29+'Transfery investiční'!AA29+'Transfery nein.2.6a'!AA30</f>
        <v>35654</v>
      </c>
      <c r="R28" s="377">
        <f>'Transfery neinvestiční 2.6'!D29+'Transfery neinvestiční 2.6'!H29+'Transfery neinvestiční 2.6'!L29+'Transfery neinvestiční 2.6'!P29+'Transfery neinvestiční 2.6'!T29+'Transfery nein.2.6a'!D30+'Transfery nein.2.6a'!P30+'Transfery nein.2.6a'!T30+'Transfery nein.2.6a'!X30+'Transfery investiční'!D29+'Transfery investiční'!H29+'Transfery investiční'!L29+'Transfery investiční'!P29+'Transfery investiční'!T29+'Transfery investiční'!X29+'Transfery investiční'!AB29+'Transfery nein.2.6a'!AB30</f>
        <v>42047</v>
      </c>
      <c r="S28" s="377">
        <f>'Transfery neinvestiční 2.6'!E29+'Transfery neinvestiční 2.6'!I29+'Transfery neinvestiční 2.6'!M29+'Transfery neinvestiční 2.6'!Q29+'Transfery neinvestiční 2.6'!U29+'Transfery nein.2.6a'!E30+'Transfery nein.2.6a'!Q30+'Transfery nein.2.6a'!U30+'Transfery nein.2.6a'!Y30+'Transfery investiční'!E29+'Transfery investiční'!I29+'Transfery investiční'!M29+'Transfery investiční'!Q29+'Transfery investiční'!U29+'Transfery investiční'!Y29+'Transfery investiční'!AC29+'Transfery nein.2.6a'!AC30</f>
        <v>41995</v>
      </c>
      <c r="T28" s="526">
        <f t="shared" si="3"/>
        <v>99.87632887007396</v>
      </c>
    </row>
    <row r="29" spans="1:20" ht="16.5" customHeight="1">
      <c r="A29" s="72" t="s">
        <v>21</v>
      </c>
      <c r="B29" s="77"/>
      <c r="C29" s="376">
        <f>'Daňové příjmy'!C29+'Daňové příjmy'!G29++'Daňové příjmy'!K29+'Daňové příjmy'!O29+'Ost.daně=Místní popl.'!C30</f>
        <v>5392</v>
      </c>
      <c r="D29" s="377">
        <f>'Daňové příjmy'!D29+'Daňové příjmy'!H29++'Daňové příjmy'!L29+'Daňové příjmy'!P29+'Ost.daně=Místní popl.'!D30</f>
        <v>9569</v>
      </c>
      <c r="E29" s="377">
        <f>'Daňové příjmy'!E29+'Daňové příjmy'!I29+'Daňové příjmy'!M29+'Daňové příjmy'!Q29+'Ost.daně=Místní popl.'!E30</f>
        <v>9958</v>
      </c>
      <c r="F29" s="392">
        <v>9957374</v>
      </c>
      <c r="G29" s="650">
        <f t="shared" si="1"/>
        <v>-0.6260000000002037</v>
      </c>
      <c r="H29" s="526">
        <f t="shared" si="0"/>
        <v>104.06521057581774</v>
      </c>
      <c r="I29" s="377">
        <f>'Nedaňové příjmy'!C31+'Nedaňové příjmy'!G31+'Nedaňové příjmy'!K31+'Nedaňové příjmy'!O31+'Nedaňové příjmy'!S31+'Nedaňové příjmy'!W31+'Jiné nedaň.příjmy'!C31</f>
        <v>6735</v>
      </c>
      <c r="J29" s="377">
        <f>'Nedaňové příjmy'!D31+'Nedaňové příjmy'!H31+'Nedaňové příjmy'!L31+'Nedaňové příjmy'!P31+'Nedaňové příjmy'!T31+'Nedaňové příjmy'!X31+'Jiné nedaň.příjmy'!D31</f>
        <v>10475</v>
      </c>
      <c r="K29" s="377">
        <f>'Nedaňové příjmy'!E31+'Nedaňové příjmy'!I31+'Nedaňové příjmy'!M31+'Nedaňové příjmy'!Q31+'Nedaňové příjmy'!U31+'Nedaňové příjmy'!Y31+'Jiné nedaň.příjmy'!E31</f>
        <v>11228</v>
      </c>
      <c r="L29" s="526">
        <f t="shared" si="2"/>
        <v>107.18854415274464</v>
      </c>
      <c r="M29" s="377">
        <f>'Kapitálové příjmy'!C29+'Kapitálové příjmy'!G29</f>
        <v>0</v>
      </c>
      <c r="N29" s="377">
        <f>'Kapitálové příjmy'!D29+'Kapitálové příjmy'!H29</f>
        <v>0</v>
      </c>
      <c r="O29" s="528">
        <f>'Kapitálové příjmy'!E29+'Kapitálové příjmy'!I29</f>
        <v>0</v>
      </c>
      <c r="P29" s="526"/>
      <c r="Q29" s="377">
        <f>'Transfery neinvestiční 2.6'!C30+'Transfery neinvestiční 2.6'!G30+'Transfery neinvestiční 2.6'!K30+'Transfery neinvestiční 2.6'!O30+'Transfery neinvestiční 2.6'!S30+'Transfery nein.2.6a'!C31+'Transfery nein.2.6a'!O31+'Transfery nein.2.6a'!S31+'Transfery nein.2.6a'!W31+'Transfery investiční'!C30+'Transfery investiční'!G30+'Transfery investiční'!K30+'Transfery investiční'!O30+'Transfery investiční'!S30+'Transfery investiční'!W30+'Transfery investiční'!AA30+'Transfery nein.2.6a'!AA31</f>
        <v>41124</v>
      </c>
      <c r="R29" s="377">
        <f>'Transfery neinvestiční 2.6'!D30+'Transfery neinvestiční 2.6'!H30+'Transfery neinvestiční 2.6'!L30+'Transfery neinvestiční 2.6'!P30+'Transfery neinvestiční 2.6'!T30+'Transfery nein.2.6a'!D31+'Transfery nein.2.6a'!P31+'Transfery nein.2.6a'!T31+'Transfery nein.2.6a'!X31+'Transfery investiční'!D30+'Transfery investiční'!H30+'Transfery investiční'!L30+'Transfery investiční'!P30+'Transfery investiční'!T30+'Transfery investiční'!X30+'Transfery investiční'!AB30+'Transfery nein.2.6a'!AB31</f>
        <v>72195</v>
      </c>
      <c r="S29" s="377">
        <f>'Transfery neinvestiční 2.6'!E30+'Transfery neinvestiční 2.6'!I30+'Transfery neinvestiční 2.6'!M30+'Transfery neinvestiční 2.6'!Q30+'Transfery neinvestiční 2.6'!U30+'Transfery nein.2.6a'!E31+'Transfery nein.2.6a'!Q31+'Transfery nein.2.6a'!U31+'Transfery nein.2.6a'!Y31+'Transfery investiční'!E30+'Transfery investiční'!I30+'Transfery investiční'!M30+'Transfery investiční'!Q30+'Transfery investiční'!U30+'Transfery investiční'!Y30+'Transfery investiční'!AC30+'Transfery nein.2.6a'!AC31</f>
        <v>72591</v>
      </c>
      <c r="T29" s="526">
        <f t="shared" si="3"/>
        <v>100.54851444005817</v>
      </c>
    </row>
    <row r="30" spans="1:20" ht="16.5" customHeight="1">
      <c r="A30" s="72" t="s">
        <v>22</v>
      </c>
      <c r="B30" s="77"/>
      <c r="C30" s="376">
        <f>'Daňové příjmy'!C30+'Daňové příjmy'!G30++'Daňové příjmy'!K30+'Daňové příjmy'!O30+'Ost.daně=Místní popl.'!C31</f>
        <v>5360</v>
      </c>
      <c r="D30" s="377">
        <f>'Daňové příjmy'!D30+'Daňové příjmy'!H30++'Daňové příjmy'!L30+'Daňové příjmy'!P30+'Ost.daně=Místní popl.'!D31</f>
        <v>8433</v>
      </c>
      <c r="E30" s="377">
        <f>'Daňové příjmy'!E30+'Daňové příjmy'!I30+'Daňové příjmy'!M30+'Daňové příjmy'!Q30+'Ost.daně=Místní popl.'!E31</f>
        <v>8736</v>
      </c>
      <c r="F30" s="392">
        <v>8736441</v>
      </c>
      <c r="G30" s="650">
        <f t="shared" si="1"/>
        <v>0.44100000000071304</v>
      </c>
      <c r="H30" s="526">
        <f t="shared" si="0"/>
        <v>103.59302739238704</v>
      </c>
      <c r="I30" s="377">
        <f>'Nedaňové příjmy'!C32+'Nedaňové příjmy'!G32+'Nedaňové příjmy'!K32+'Nedaňové příjmy'!O32+'Nedaňové příjmy'!S32+'Nedaňové příjmy'!W32+'Jiné nedaň.příjmy'!C32</f>
        <v>7500</v>
      </c>
      <c r="J30" s="377">
        <f>'Nedaňové příjmy'!D32+'Nedaňové příjmy'!H32+'Nedaňové příjmy'!L32+'Nedaňové příjmy'!P32+'Nedaňové příjmy'!T32+'Nedaňové příjmy'!X32+'Jiné nedaň.příjmy'!D32</f>
        <v>9450</v>
      </c>
      <c r="K30" s="377">
        <f>'Nedaňové příjmy'!E32+'Nedaňové příjmy'!I32+'Nedaňové příjmy'!M32+'Nedaňové příjmy'!Q32+'Nedaňové příjmy'!U32+'Nedaňové příjmy'!Y32+'Jiné nedaň.příjmy'!E32</f>
        <v>9412</v>
      </c>
      <c r="L30" s="526">
        <f t="shared" si="2"/>
        <v>99.5978835978836</v>
      </c>
      <c r="M30" s="377">
        <f>'Kapitálové příjmy'!C30+'Kapitálové příjmy'!G30</f>
        <v>0</v>
      </c>
      <c r="N30" s="377">
        <f>'Kapitálové příjmy'!D30+'Kapitálové příjmy'!H30</f>
        <v>0</v>
      </c>
      <c r="O30" s="528">
        <f>'Kapitálové příjmy'!E30+'Kapitálové příjmy'!I30</f>
        <v>0</v>
      </c>
      <c r="P30" s="526"/>
      <c r="Q30" s="377">
        <f>'Transfery neinvestiční 2.6'!C31+'Transfery neinvestiční 2.6'!G31+'Transfery neinvestiční 2.6'!K31+'Transfery neinvestiční 2.6'!O31+'Transfery neinvestiční 2.6'!S31+'Transfery nein.2.6a'!C32+'Transfery nein.2.6a'!O32+'Transfery nein.2.6a'!S32+'Transfery nein.2.6a'!W32+'Transfery investiční'!C31+'Transfery investiční'!G31+'Transfery investiční'!K31+'Transfery investiční'!O31+'Transfery investiční'!S31+'Transfery investiční'!W31+'Transfery investiční'!AA31+'Transfery nein.2.6a'!AA32</f>
        <v>46015</v>
      </c>
      <c r="R30" s="377">
        <f>'Transfery neinvestiční 2.6'!D31+'Transfery neinvestiční 2.6'!H31+'Transfery neinvestiční 2.6'!L31+'Transfery neinvestiční 2.6'!P31+'Transfery neinvestiční 2.6'!T31+'Transfery nein.2.6a'!D32+'Transfery nein.2.6a'!P32+'Transfery nein.2.6a'!T32+'Transfery nein.2.6a'!X32+'Transfery investiční'!D31+'Transfery investiční'!H31+'Transfery investiční'!L31+'Transfery investiční'!P31+'Transfery investiční'!T31+'Transfery investiční'!X31+'Transfery investiční'!AB31+'Transfery nein.2.6a'!AB32</f>
        <v>83773</v>
      </c>
      <c r="S30" s="377">
        <f>'Transfery neinvestiční 2.6'!E31+'Transfery neinvestiční 2.6'!I31+'Transfery neinvestiční 2.6'!M31+'Transfery neinvestiční 2.6'!Q31+'Transfery neinvestiční 2.6'!U31+'Transfery nein.2.6a'!E32+'Transfery nein.2.6a'!Q32+'Transfery nein.2.6a'!U32+'Transfery nein.2.6a'!Y32+'Transfery investiční'!E31+'Transfery investiční'!I31+'Transfery investiční'!M31+'Transfery investiční'!Q31+'Transfery investiční'!U31+'Transfery investiční'!Y31+'Transfery investiční'!AC31+'Transfery nein.2.6a'!AC32</f>
        <v>84973</v>
      </c>
      <c r="T30" s="526">
        <f t="shared" si="3"/>
        <v>101.4324424337197</v>
      </c>
    </row>
    <row r="31" spans="1:20" ht="16.5" customHeight="1">
      <c r="A31" s="72" t="s">
        <v>23</v>
      </c>
      <c r="B31" s="77"/>
      <c r="C31" s="376">
        <f>'Daňové příjmy'!C31+'Daňové příjmy'!G31++'Daňové příjmy'!K31+'Daňové příjmy'!O31+'Ost.daně=Místní popl.'!C32</f>
        <v>11768</v>
      </c>
      <c r="D31" s="377">
        <f>'Daňové příjmy'!D31+'Daňové příjmy'!H31++'Daňové příjmy'!L31+'Daňové příjmy'!P31+'Ost.daně=Místní popl.'!D32</f>
        <v>12511</v>
      </c>
      <c r="E31" s="377">
        <f>'Daňové příjmy'!E31+'Daňové příjmy'!I31+'Daňové příjmy'!M31+'Daňové příjmy'!Q31+'Ost.daně=Místní popl.'!E32</f>
        <v>12780</v>
      </c>
      <c r="F31" s="392">
        <v>12780703</v>
      </c>
      <c r="G31" s="650">
        <f t="shared" si="1"/>
        <v>0.7029999999995198</v>
      </c>
      <c r="H31" s="526">
        <f t="shared" si="0"/>
        <v>102.15010790504355</v>
      </c>
      <c r="I31" s="377">
        <f>'Nedaňové příjmy'!C33+'Nedaňové příjmy'!G33+'Nedaňové příjmy'!K33+'Nedaňové příjmy'!O33+'Nedaňové příjmy'!S33+'Nedaňové příjmy'!W33+'Jiné nedaň.příjmy'!C33</f>
        <v>5375</v>
      </c>
      <c r="J31" s="377">
        <f>'Nedaňové příjmy'!D33+'Nedaňové příjmy'!H33+'Nedaňové příjmy'!L33+'Nedaňové příjmy'!P33+'Nedaňové příjmy'!T33+'Nedaňové příjmy'!X33+'Jiné nedaň.příjmy'!D33</f>
        <v>10116</v>
      </c>
      <c r="K31" s="377">
        <f>'Nedaňové příjmy'!E33+'Nedaňové příjmy'!I33+'Nedaňové příjmy'!M33+'Nedaňové příjmy'!Q33+'Nedaňové příjmy'!U33+'Nedaňové příjmy'!Y33+'Jiné nedaň.příjmy'!E33</f>
        <v>10539</v>
      </c>
      <c r="L31" s="526">
        <f t="shared" si="2"/>
        <v>104.1814946619217</v>
      </c>
      <c r="M31" s="377">
        <f>'Kapitálové příjmy'!C31+'Kapitálové příjmy'!G31</f>
        <v>0</v>
      </c>
      <c r="N31" s="377">
        <f>'Kapitálové příjmy'!D31+'Kapitálové příjmy'!H31</f>
        <v>0</v>
      </c>
      <c r="O31" s="528">
        <f>'Kapitálové příjmy'!E31+'Kapitálové příjmy'!I31</f>
        <v>0</v>
      </c>
      <c r="P31" s="526"/>
      <c r="Q31" s="377">
        <f>'Transfery neinvestiční 2.6'!C32+'Transfery neinvestiční 2.6'!G32+'Transfery neinvestiční 2.6'!K32+'Transfery neinvestiční 2.6'!O32+'Transfery neinvestiční 2.6'!S32+'Transfery nein.2.6a'!C33+'Transfery nein.2.6a'!O33+'Transfery nein.2.6a'!S33+'Transfery nein.2.6a'!W33+'Transfery investiční'!C32+'Transfery investiční'!G32+'Transfery investiční'!K32+'Transfery investiční'!O32+'Transfery investiční'!S32+'Transfery investiční'!W32+'Transfery investiční'!AA32+'Transfery nein.2.6a'!AA33</f>
        <v>101648</v>
      </c>
      <c r="R31" s="377">
        <f>'Transfery neinvestiční 2.6'!D32+'Transfery neinvestiční 2.6'!H32+'Transfery neinvestiční 2.6'!L32+'Transfery neinvestiční 2.6'!P32+'Transfery neinvestiční 2.6'!T32+'Transfery nein.2.6a'!D33+'Transfery nein.2.6a'!P33+'Transfery nein.2.6a'!T33+'Transfery nein.2.6a'!X33+'Transfery investiční'!D32+'Transfery investiční'!H32+'Transfery investiční'!L32+'Transfery investiční'!P32+'Transfery investiční'!T32+'Transfery investiční'!X32+'Transfery investiční'!AB32+'Transfery nein.2.6a'!AB33</f>
        <v>119149</v>
      </c>
      <c r="S31" s="377">
        <f>'Transfery neinvestiční 2.6'!E32+'Transfery neinvestiční 2.6'!I32+'Transfery neinvestiční 2.6'!M32+'Transfery neinvestiční 2.6'!Q32+'Transfery neinvestiční 2.6'!U32+'Transfery nein.2.6a'!E33+'Transfery nein.2.6a'!Q33+'Transfery nein.2.6a'!U33+'Transfery nein.2.6a'!Y33+'Transfery investiční'!E32+'Transfery investiční'!I32+'Transfery investiční'!M32+'Transfery investiční'!Q32+'Transfery investiční'!U32+'Transfery investiční'!Y32+'Transfery investiční'!AC32+'Transfery nein.2.6a'!AC33</f>
        <v>119141</v>
      </c>
      <c r="T31" s="526">
        <f t="shared" si="3"/>
        <v>99.99328571788266</v>
      </c>
    </row>
    <row r="32" spans="1:20" ht="16.5" customHeight="1">
      <c r="A32" s="72" t="s">
        <v>24</v>
      </c>
      <c r="B32" s="77"/>
      <c r="C32" s="376">
        <f>'Daňové příjmy'!C32+'Daňové příjmy'!G32++'Daňové příjmy'!K32+'Daňové příjmy'!O32+'Ost.daně=Místní popl.'!C33</f>
        <v>3978</v>
      </c>
      <c r="D32" s="377">
        <f>'Daňové příjmy'!D32+'Daňové příjmy'!H32++'Daňové příjmy'!L32+'Daňové příjmy'!P32+'Ost.daně=Místní popl.'!D33</f>
        <v>6359</v>
      </c>
      <c r="E32" s="377">
        <f>'Daňové příjmy'!E32+'Daňové příjmy'!I32+'Daňové příjmy'!M32+'Daňové příjmy'!Q32+'Ost.daně=Místní popl.'!E33</f>
        <v>6533</v>
      </c>
      <c r="F32" s="392">
        <v>6533959</v>
      </c>
      <c r="G32" s="650">
        <f t="shared" si="1"/>
        <v>0.9589999999998327</v>
      </c>
      <c r="H32" s="526">
        <f t="shared" si="0"/>
        <v>102.73627928919642</v>
      </c>
      <c r="I32" s="377">
        <f>'Nedaňové příjmy'!C34+'Nedaňové příjmy'!G34+'Nedaňové příjmy'!K34+'Nedaňové příjmy'!O34+'Nedaňové příjmy'!S34+'Nedaňové příjmy'!W34+'Jiné nedaň.příjmy'!C34</f>
        <v>2498</v>
      </c>
      <c r="J32" s="377">
        <f>'Nedaňové příjmy'!D34+'Nedaňové příjmy'!H34+'Nedaňové příjmy'!L34+'Nedaňové příjmy'!P34+'Nedaňové příjmy'!T34+'Nedaňové příjmy'!X34+'Jiné nedaň.příjmy'!D34</f>
        <v>5526</v>
      </c>
      <c r="K32" s="377">
        <f>'Nedaňové příjmy'!E34+'Nedaňové příjmy'!I34+'Nedaňové příjmy'!M34+'Nedaňové příjmy'!Q34+'Nedaňové příjmy'!U34+'Nedaňové příjmy'!Y34+'Jiné nedaň.příjmy'!E34</f>
        <v>5856</v>
      </c>
      <c r="L32" s="526">
        <f t="shared" si="2"/>
        <v>105.97176981541803</v>
      </c>
      <c r="M32" s="377">
        <f>'Kapitálové příjmy'!C32+'Kapitálové příjmy'!G32</f>
        <v>0</v>
      </c>
      <c r="N32" s="377">
        <f>'Kapitálové příjmy'!D32+'Kapitálové příjmy'!H32</f>
        <v>0</v>
      </c>
      <c r="O32" s="528">
        <f>'Kapitálové příjmy'!E32+'Kapitálové příjmy'!I32</f>
        <v>0</v>
      </c>
      <c r="P32" s="526"/>
      <c r="Q32" s="377">
        <f>'Transfery neinvestiční 2.6'!C33+'Transfery neinvestiční 2.6'!G33+'Transfery neinvestiční 2.6'!K33+'Transfery neinvestiční 2.6'!O33+'Transfery neinvestiční 2.6'!S33+'Transfery nein.2.6a'!C34+'Transfery nein.2.6a'!O34+'Transfery nein.2.6a'!S34+'Transfery nein.2.6a'!W34+'Transfery investiční'!C33+'Transfery investiční'!G33+'Transfery investiční'!K33+'Transfery investiční'!O33+'Transfery investiční'!S33+'Transfery investiční'!W33+'Transfery investiční'!AA33+'Transfery nein.2.6a'!AA34</f>
        <v>32808</v>
      </c>
      <c r="R32" s="377">
        <f>'Transfery neinvestiční 2.6'!D33+'Transfery neinvestiční 2.6'!H33+'Transfery neinvestiční 2.6'!L33+'Transfery neinvestiční 2.6'!P33+'Transfery neinvestiční 2.6'!T33+'Transfery nein.2.6a'!D34+'Transfery nein.2.6a'!P34+'Transfery nein.2.6a'!T34+'Transfery nein.2.6a'!X34+'Transfery investiční'!D33+'Transfery investiční'!H33+'Transfery investiční'!L33+'Transfery investiční'!P33+'Transfery investiční'!T33+'Transfery investiční'!X33+'Transfery investiční'!AB33+'Transfery nein.2.6a'!AB34</f>
        <v>57564</v>
      </c>
      <c r="S32" s="377">
        <f>'Transfery neinvestiční 2.6'!E33+'Transfery neinvestiční 2.6'!I33+'Transfery neinvestiční 2.6'!M33+'Transfery neinvestiční 2.6'!Q33+'Transfery neinvestiční 2.6'!U33+'Transfery nein.2.6a'!E34+'Transfery nein.2.6a'!Q34+'Transfery nein.2.6a'!U34+'Transfery nein.2.6a'!Y34+'Transfery investiční'!E33+'Transfery investiční'!I33+'Transfery investiční'!M33+'Transfery investiční'!Q33+'Transfery investiční'!U33+'Transfery investiční'!Y33+'Transfery investiční'!AC33+'Transfery nein.2.6a'!AC34</f>
        <v>56772</v>
      </c>
      <c r="T32" s="526">
        <f t="shared" si="3"/>
        <v>98.62414008755472</v>
      </c>
    </row>
    <row r="33" spans="1:20" ht="16.5" customHeight="1">
      <c r="A33" s="72" t="s">
        <v>25</v>
      </c>
      <c r="B33" s="77"/>
      <c r="C33" s="376">
        <f>'Daňové příjmy'!C33+'Daňové příjmy'!G33++'Daňové příjmy'!K33+'Daňové příjmy'!O33+'Ost.daně=Místní popl.'!C34</f>
        <v>968</v>
      </c>
      <c r="D33" s="377">
        <f>'Daňové příjmy'!D33+'Daňové příjmy'!H33++'Daňové příjmy'!L33+'Daňové příjmy'!P33+'Ost.daně=Místní popl.'!D34</f>
        <v>1644</v>
      </c>
      <c r="E33" s="377">
        <f>'Daňové příjmy'!E33+'Daňové příjmy'!I33+'Daňové příjmy'!M33+'Daňové příjmy'!Q33+'Ost.daně=Místní popl.'!E34</f>
        <v>1715</v>
      </c>
      <c r="F33" s="392">
        <v>1714353</v>
      </c>
      <c r="G33" s="650">
        <f t="shared" si="1"/>
        <v>-0.6469999999999345</v>
      </c>
      <c r="H33" s="526">
        <f t="shared" si="0"/>
        <v>104.31873479318735</v>
      </c>
      <c r="I33" s="377">
        <f>'Nedaňové příjmy'!C35+'Nedaňové příjmy'!G35+'Nedaňové příjmy'!K35+'Nedaňové příjmy'!O35+'Nedaňové příjmy'!S35+'Nedaňové příjmy'!W35+'Jiné nedaň.příjmy'!C35</f>
        <v>2490</v>
      </c>
      <c r="J33" s="377">
        <f>'Nedaňové příjmy'!D35+'Nedaňové příjmy'!H35+'Nedaňové příjmy'!L35+'Nedaňové příjmy'!P35+'Nedaňové příjmy'!T35+'Nedaňové příjmy'!X35+'Jiné nedaň.příjmy'!D35</f>
        <v>4250</v>
      </c>
      <c r="K33" s="377">
        <f>'Nedaňové příjmy'!E35+'Nedaňové příjmy'!I35+'Nedaňové příjmy'!M35+'Nedaňové příjmy'!Q35+'Nedaňové příjmy'!U35+'Nedaňové příjmy'!Y35+'Jiné nedaň.příjmy'!E35</f>
        <v>4347</v>
      </c>
      <c r="L33" s="526">
        <f t="shared" si="2"/>
        <v>102.28235294117647</v>
      </c>
      <c r="M33" s="377">
        <f>'Kapitálové příjmy'!C33+'Kapitálové příjmy'!G33</f>
        <v>0</v>
      </c>
      <c r="N33" s="377">
        <f>'Kapitálové příjmy'!D33+'Kapitálové příjmy'!H33</f>
        <v>0</v>
      </c>
      <c r="O33" s="528">
        <f>'Kapitálové příjmy'!E33+'Kapitálové příjmy'!I33</f>
        <v>0</v>
      </c>
      <c r="P33" s="526"/>
      <c r="Q33" s="377">
        <f>'Transfery neinvestiční 2.6'!C34+'Transfery neinvestiční 2.6'!G34+'Transfery neinvestiční 2.6'!K34+'Transfery neinvestiční 2.6'!O34+'Transfery neinvestiční 2.6'!S34+'Transfery nein.2.6a'!C35+'Transfery nein.2.6a'!O35+'Transfery nein.2.6a'!S35+'Transfery nein.2.6a'!W35+'Transfery investiční'!C34+'Transfery investiční'!G34+'Transfery investiční'!K34+'Transfery investiční'!O34+'Transfery investiční'!S34+'Transfery investiční'!W34+'Transfery investiční'!AA34+'Transfery nein.2.6a'!AA35</f>
        <v>22042</v>
      </c>
      <c r="R33" s="377">
        <f>'Transfery neinvestiční 2.6'!D34+'Transfery neinvestiční 2.6'!H34+'Transfery neinvestiční 2.6'!L34+'Transfery neinvestiční 2.6'!P34+'Transfery neinvestiční 2.6'!T34+'Transfery nein.2.6a'!D35+'Transfery nein.2.6a'!P35+'Transfery nein.2.6a'!T35+'Transfery nein.2.6a'!X35+'Transfery investiční'!D34+'Transfery investiční'!H34+'Transfery investiční'!L34+'Transfery investiční'!P34+'Transfery investiční'!T34+'Transfery investiční'!X34+'Transfery investiční'!AB34+'Transfery nein.2.6a'!AB35</f>
        <v>24381</v>
      </c>
      <c r="S33" s="377">
        <f>'Transfery neinvestiční 2.6'!E34+'Transfery neinvestiční 2.6'!I34+'Transfery neinvestiční 2.6'!M34+'Transfery neinvestiční 2.6'!Q34+'Transfery neinvestiční 2.6'!U34+'Transfery nein.2.6a'!E35+'Transfery nein.2.6a'!Q35+'Transfery nein.2.6a'!U35+'Transfery nein.2.6a'!Y35+'Transfery investiční'!E34+'Transfery investiční'!I34+'Transfery investiční'!M34+'Transfery investiční'!Q34+'Transfery investiční'!U34+'Transfery investiční'!Y34+'Transfery investiční'!AC34+'Transfery nein.2.6a'!AC35</f>
        <v>24290</v>
      </c>
      <c r="T33" s="526">
        <f t="shared" si="3"/>
        <v>99.62675854148722</v>
      </c>
    </row>
    <row r="34" spans="1:20" ht="16.5" customHeight="1">
      <c r="A34" s="72" t="s">
        <v>26</v>
      </c>
      <c r="B34" s="77"/>
      <c r="C34" s="376">
        <f>'Daňové příjmy'!C34+'Daňové příjmy'!G34++'Daňové příjmy'!K34+'Daňové příjmy'!O34+'Ost.daně=Místní popl.'!C35</f>
        <v>1010</v>
      </c>
      <c r="D34" s="377">
        <f>'Daňové příjmy'!D34+'Daňové příjmy'!H34++'Daňové příjmy'!L34+'Daňové příjmy'!P34+'Ost.daně=Místní popl.'!D35</f>
        <v>1286</v>
      </c>
      <c r="E34" s="377">
        <f>'Daňové příjmy'!E34+'Daňové příjmy'!I34+'Daňové příjmy'!M34+'Daňové příjmy'!Q34+'Ost.daně=Místní popl.'!E35</f>
        <v>1468</v>
      </c>
      <c r="F34" s="392">
        <v>1468649</v>
      </c>
      <c r="G34" s="650">
        <f t="shared" si="1"/>
        <v>0.6489999999998872</v>
      </c>
      <c r="H34" s="526">
        <f t="shared" si="0"/>
        <v>114.1524105754277</v>
      </c>
      <c r="I34" s="377">
        <f>'Nedaňové příjmy'!C36+'Nedaňové příjmy'!G36+'Nedaňové příjmy'!K36+'Nedaňové příjmy'!O36+'Nedaňové příjmy'!S36+'Nedaňové příjmy'!W36+'Jiné nedaň.příjmy'!C36</f>
        <v>660</v>
      </c>
      <c r="J34" s="377">
        <f>'Nedaňové příjmy'!D36+'Nedaňové příjmy'!H36+'Nedaňové příjmy'!L36+'Nedaňové příjmy'!P36+'Nedaňové příjmy'!T36+'Nedaňové příjmy'!X36+'Jiné nedaň.příjmy'!D36</f>
        <v>2016</v>
      </c>
      <c r="K34" s="377">
        <f>'Nedaňové příjmy'!E36+'Nedaňové příjmy'!I36+'Nedaňové příjmy'!M36+'Nedaňové příjmy'!Q36+'Nedaňové příjmy'!U36+'Nedaňové příjmy'!Y36+'Jiné nedaň.příjmy'!E36</f>
        <v>2186</v>
      </c>
      <c r="L34" s="526">
        <f t="shared" si="2"/>
        <v>108.43253968253967</v>
      </c>
      <c r="M34" s="377">
        <f>'Kapitálové příjmy'!C34+'Kapitálové příjmy'!G34</f>
        <v>0</v>
      </c>
      <c r="N34" s="377">
        <f>'Kapitálové příjmy'!D34+'Kapitálové příjmy'!H34</f>
        <v>0</v>
      </c>
      <c r="O34" s="528">
        <f>'Kapitálové příjmy'!E34+'Kapitálové příjmy'!I34</f>
        <v>0</v>
      </c>
      <c r="P34" s="526"/>
      <c r="Q34" s="377">
        <f>'Transfery neinvestiční 2.6'!C35+'Transfery neinvestiční 2.6'!G35+'Transfery neinvestiční 2.6'!K35+'Transfery neinvestiční 2.6'!O35+'Transfery neinvestiční 2.6'!S35+'Transfery nein.2.6a'!C36+'Transfery nein.2.6a'!O36+'Transfery nein.2.6a'!S36+'Transfery nein.2.6a'!W36+'Transfery investiční'!C35+'Transfery investiční'!G35+'Transfery investiční'!K35+'Transfery investiční'!O35+'Transfery investiční'!S35+'Transfery investiční'!W35+'Transfery investiční'!AA35+'Transfery nein.2.6a'!AA36</f>
        <v>12945</v>
      </c>
      <c r="R34" s="377">
        <f>'Transfery neinvestiční 2.6'!D35+'Transfery neinvestiční 2.6'!H35+'Transfery neinvestiční 2.6'!L35+'Transfery neinvestiční 2.6'!P35+'Transfery neinvestiční 2.6'!T35+'Transfery nein.2.6a'!D36+'Transfery nein.2.6a'!P36+'Transfery nein.2.6a'!T36+'Transfery nein.2.6a'!X36+'Transfery investiční'!D35+'Transfery investiční'!H35+'Transfery investiční'!L35+'Transfery investiční'!P35+'Transfery investiční'!T35+'Transfery investiční'!X35+'Transfery investiční'!AB35+'Transfery nein.2.6a'!AB36</f>
        <v>24436</v>
      </c>
      <c r="S34" s="377">
        <f>'Transfery neinvestiční 2.6'!E35+'Transfery neinvestiční 2.6'!I35+'Transfery neinvestiční 2.6'!M35+'Transfery neinvestiční 2.6'!Q35+'Transfery neinvestiční 2.6'!U35+'Transfery nein.2.6a'!E36+'Transfery nein.2.6a'!Q36+'Transfery nein.2.6a'!U36+'Transfery nein.2.6a'!Y36+'Transfery investiční'!E35+'Transfery investiční'!I35+'Transfery investiční'!M35+'Transfery investiční'!Q35+'Transfery investiční'!U35+'Transfery investiční'!Y35+'Transfery investiční'!AC35+'Transfery nein.2.6a'!AC36</f>
        <v>22435</v>
      </c>
      <c r="T34" s="526">
        <f t="shared" si="3"/>
        <v>91.81126207235226</v>
      </c>
    </row>
    <row r="35" spans="1:20" ht="16.5" customHeight="1">
      <c r="A35" s="72" t="s">
        <v>27</v>
      </c>
      <c r="B35" s="77"/>
      <c r="C35" s="376">
        <f>'Daňové příjmy'!C35+'Daňové příjmy'!G35++'Daňové příjmy'!K35+'Daňové příjmy'!O35+'Ost.daně=Místní popl.'!C36</f>
        <v>24992</v>
      </c>
      <c r="D35" s="377">
        <f>'Daňové příjmy'!D35+'Daňové příjmy'!H35++'Daňové příjmy'!L35+'Daňové příjmy'!P35+'Ost.daně=Místní popl.'!D36</f>
        <v>26360</v>
      </c>
      <c r="E35" s="377">
        <f>'Daňové příjmy'!E35+'Daňové příjmy'!I35+'Daňové příjmy'!M35+'Daňové příjmy'!Q35+'Ost.daně=Místní popl.'!E36</f>
        <v>27092</v>
      </c>
      <c r="F35" s="392">
        <v>27092028</v>
      </c>
      <c r="G35" s="650">
        <f t="shared" si="1"/>
        <v>0.027999999998428393</v>
      </c>
      <c r="H35" s="526">
        <f t="shared" si="0"/>
        <v>102.77693474962064</v>
      </c>
      <c r="I35" s="377">
        <f>'Nedaňové příjmy'!C37+'Nedaňové příjmy'!G37+'Nedaňové příjmy'!K37+'Nedaňové příjmy'!O37+'Nedaňové příjmy'!S37+'Nedaňové příjmy'!W37+'Jiné nedaň.příjmy'!C37</f>
        <v>10921</v>
      </c>
      <c r="J35" s="377">
        <f>'Nedaňové příjmy'!D37+'Nedaňové příjmy'!H37+'Nedaňové příjmy'!L37+'Nedaňové příjmy'!P37+'Nedaňové příjmy'!T37+'Nedaňové příjmy'!X37+'Jiné nedaň.příjmy'!D37</f>
        <v>23601</v>
      </c>
      <c r="K35" s="377">
        <f>'Nedaňové příjmy'!E37+'Nedaňové příjmy'!I37+'Nedaňové příjmy'!M37+'Nedaňové příjmy'!Q37+'Nedaňové příjmy'!U37+'Nedaňové příjmy'!Y37+'Jiné nedaň.příjmy'!E37</f>
        <v>23910</v>
      </c>
      <c r="L35" s="526">
        <f t="shared" si="2"/>
        <v>101.30926655650185</v>
      </c>
      <c r="M35" s="377">
        <f>'Kapitálové příjmy'!C35+'Kapitálové příjmy'!G35</f>
        <v>0</v>
      </c>
      <c r="N35" s="377">
        <f>'Kapitálové příjmy'!D35+'Kapitálové příjmy'!H35</f>
        <v>351</v>
      </c>
      <c r="O35" s="528">
        <f>'Kapitálové příjmy'!E35+'Kapitálové příjmy'!I35</f>
        <v>351</v>
      </c>
      <c r="P35" s="526">
        <f>SUM(O35/N35*100)</f>
        <v>100</v>
      </c>
      <c r="Q35" s="377">
        <f>'Transfery neinvestiční 2.6'!C36+'Transfery neinvestiční 2.6'!G36+'Transfery neinvestiční 2.6'!K36+'Transfery neinvestiční 2.6'!O36+'Transfery neinvestiční 2.6'!S36+'Transfery nein.2.6a'!C37+'Transfery nein.2.6a'!O37+'Transfery nein.2.6a'!S37+'Transfery nein.2.6a'!W37+'Transfery investiční'!C36+'Transfery investiční'!G36+'Transfery investiční'!K36+'Transfery investiční'!O36+'Transfery investiční'!S36+'Transfery investiční'!W36+'Transfery investiční'!AA36+'Transfery nein.2.6a'!AA37</f>
        <v>121493</v>
      </c>
      <c r="R35" s="377">
        <f>'Transfery neinvestiční 2.6'!D36+'Transfery neinvestiční 2.6'!H36+'Transfery neinvestiční 2.6'!L36+'Transfery neinvestiční 2.6'!P36+'Transfery neinvestiční 2.6'!T36+'Transfery nein.2.6a'!D37+'Transfery nein.2.6a'!P37+'Transfery nein.2.6a'!T37+'Transfery nein.2.6a'!X37+'Transfery investiční'!D36+'Transfery investiční'!H36+'Transfery investiční'!L36+'Transfery investiční'!P36+'Transfery investiční'!T36+'Transfery investiční'!X36+'Transfery investiční'!AB36+'Transfery nein.2.6a'!AB37</f>
        <v>167585</v>
      </c>
      <c r="S35" s="377">
        <f>'Transfery neinvestiční 2.6'!E36+'Transfery neinvestiční 2.6'!I36+'Transfery neinvestiční 2.6'!M36+'Transfery neinvestiční 2.6'!Q36+'Transfery neinvestiční 2.6'!U36+'Transfery nein.2.6a'!E37+'Transfery nein.2.6a'!Q37+'Transfery nein.2.6a'!U37+'Transfery nein.2.6a'!Y37+'Transfery investiční'!E36+'Transfery investiční'!I36+'Transfery investiční'!M36+'Transfery investiční'!Q36+'Transfery investiční'!U36+'Transfery investiční'!Y36+'Transfery investiční'!AC36+'Transfery nein.2.6a'!AC37</f>
        <v>167489</v>
      </c>
      <c r="T35" s="526">
        <f t="shared" si="3"/>
        <v>99.942715636841</v>
      </c>
    </row>
    <row r="36" spans="1:20" ht="16.5" customHeight="1">
      <c r="A36" s="72" t="s">
        <v>28</v>
      </c>
      <c r="B36" s="77"/>
      <c r="C36" s="376">
        <f>'Daňové příjmy'!C36+'Daňové příjmy'!G36++'Daňové příjmy'!K36+'Daňové příjmy'!O36+'Ost.daně=Místní popl.'!C37</f>
        <v>1040</v>
      </c>
      <c r="D36" s="377">
        <f>'Daňové příjmy'!D36+'Daňové příjmy'!H36++'Daňové příjmy'!L36+'Daňové příjmy'!P36+'Ost.daně=Místní popl.'!D37</f>
        <v>1150</v>
      </c>
      <c r="E36" s="377">
        <f>'Daňové příjmy'!E36+'Daňové příjmy'!I36+'Daňové příjmy'!M36+'Daňové příjmy'!Q36+'Ost.daně=Místní popl.'!E37</f>
        <v>1292</v>
      </c>
      <c r="F36" s="392">
        <v>1292502</v>
      </c>
      <c r="G36" s="650">
        <f t="shared" si="1"/>
        <v>0.5019999999999527</v>
      </c>
      <c r="H36" s="526">
        <f t="shared" si="0"/>
        <v>112.34782608695653</v>
      </c>
      <c r="I36" s="377">
        <f>'Nedaňové příjmy'!C38+'Nedaňové příjmy'!G38+'Nedaňové příjmy'!K38+'Nedaňové příjmy'!O38+'Nedaňové příjmy'!S38+'Nedaňové příjmy'!W38+'Jiné nedaň.příjmy'!C38</f>
        <v>770</v>
      </c>
      <c r="J36" s="377">
        <f>'Nedaňové příjmy'!D38+'Nedaňové příjmy'!H38+'Nedaňové příjmy'!L38+'Nedaňové příjmy'!P38+'Nedaňové příjmy'!T38+'Nedaňové příjmy'!X38+'Jiné nedaň.příjmy'!D38</f>
        <v>1391</v>
      </c>
      <c r="K36" s="377">
        <f>'Nedaňové příjmy'!E38+'Nedaňové příjmy'!I38+'Nedaňové příjmy'!M38+'Nedaňové příjmy'!Q38+'Nedaňové příjmy'!U38+'Nedaňové příjmy'!Y38+'Jiné nedaň.příjmy'!E38</f>
        <v>1617</v>
      </c>
      <c r="L36" s="526">
        <f t="shared" si="2"/>
        <v>116.2473040977714</v>
      </c>
      <c r="M36" s="377">
        <f>'Kapitálové příjmy'!C36+'Kapitálové příjmy'!G36</f>
        <v>0</v>
      </c>
      <c r="N36" s="377">
        <f>'Kapitálové příjmy'!D36+'Kapitálové příjmy'!H36</f>
        <v>0</v>
      </c>
      <c r="O36" s="528">
        <f>'Kapitálové příjmy'!E36+'Kapitálové příjmy'!I36</f>
        <v>0</v>
      </c>
      <c r="P36" s="526"/>
      <c r="Q36" s="377">
        <f>'Transfery neinvestiční 2.6'!C37+'Transfery neinvestiční 2.6'!G37+'Transfery neinvestiční 2.6'!K37+'Transfery neinvestiční 2.6'!O37+'Transfery neinvestiční 2.6'!S37+'Transfery nein.2.6a'!C38+'Transfery nein.2.6a'!O38+'Transfery nein.2.6a'!S38+'Transfery nein.2.6a'!W38+'Transfery investiční'!C37+'Transfery investiční'!G37+'Transfery investiční'!K37+'Transfery investiční'!O37+'Transfery investiční'!S37+'Transfery investiční'!W37+'Transfery investiční'!AA37+'Transfery nein.2.6a'!AA38</f>
        <v>11451</v>
      </c>
      <c r="R36" s="377">
        <f>'Transfery neinvestiční 2.6'!D37+'Transfery neinvestiční 2.6'!H37+'Transfery neinvestiční 2.6'!L37+'Transfery neinvestiční 2.6'!P37+'Transfery neinvestiční 2.6'!T37+'Transfery nein.2.6a'!D38+'Transfery nein.2.6a'!P38+'Transfery nein.2.6a'!T38+'Transfery nein.2.6a'!X38+'Transfery investiční'!D37+'Transfery investiční'!H37+'Transfery investiční'!L37+'Transfery investiční'!P37+'Transfery investiční'!T37+'Transfery investiční'!X37+'Transfery investiční'!AB37+'Transfery nein.2.6a'!AB38</f>
        <v>30020</v>
      </c>
      <c r="S36" s="377">
        <f>'Transfery neinvestiční 2.6'!E37+'Transfery neinvestiční 2.6'!I37+'Transfery neinvestiční 2.6'!M37+'Transfery neinvestiční 2.6'!Q37+'Transfery neinvestiční 2.6'!U37+'Transfery nein.2.6a'!E38+'Transfery nein.2.6a'!Q38+'Transfery nein.2.6a'!U38+'Transfery nein.2.6a'!Y38+'Transfery investiční'!E37+'Transfery investiční'!I37+'Transfery investiční'!M37+'Transfery investiční'!Q37+'Transfery investiční'!U37+'Transfery investiční'!Y37+'Transfery investiční'!AC37+'Transfery nein.2.6a'!AC38</f>
        <v>30020</v>
      </c>
      <c r="T36" s="526">
        <f t="shared" si="3"/>
        <v>100</v>
      </c>
    </row>
    <row r="37" spans="1:20" ht="16.5" customHeight="1">
      <c r="A37" s="72" t="s">
        <v>325</v>
      </c>
      <c r="B37" s="77"/>
      <c r="C37" s="376">
        <f>'Daňové příjmy'!C37+'Daňové příjmy'!G37++'Daňové příjmy'!K37+'Daňové příjmy'!O37+'Ost.daně=Místní popl.'!C38</f>
        <v>4745</v>
      </c>
      <c r="D37" s="377">
        <f>'Daňové příjmy'!D37+'Daňové příjmy'!H37++'Daňové příjmy'!L37+'Daňové příjmy'!P37+'Ost.daně=Místní popl.'!D38</f>
        <v>5041</v>
      </c>
      <c r="E37" s="377">
        <f>'Daňové příjmy'!E37+'Daňové příjmy'!I37+'Daňové příjmy'!M37+'Daňové příjmy'!Q37+'Ost.daně=Místní popl.'!E38</f>
        <v>5672</v>
      </c>
      <c r="F37" s="392">
        <v>5671082</v>
      </c>
      <c r="G37" s="650">
        <f t="shared" si="1"/>
        <v>-0.9179999999996653</v>
      </c>
      <c r="H37" s="526">
        <f t="shared" si="0"/>
        <v>112.51735766712953</v>
      </c>
      <c r="I37" s="377">
        <f>'Nedaňové příjmy'!C39+'Nedaňové příjmy'!G39+'Nedaňové příjmy'!K39+'Nedaňové příjmy'!O39+'Nedaňové příjmy'!S39+'Nedaňové příjmy'!W39+'Jiné nedaň.příjmy'!C39</f>
        <v>5400</v>
      </c>
      <c r="J37" s="377">
        <f>'Nedaňové příjmy'!D39+'Nedaňové příjmy'!H39+'Nedaňové příjmy'!L39+'Nedaňové příjmy'!P39+'Nedaňové příjmy'!T39+'Nedaňové příjmy'!X39+'Jiné nedaň.příjmy'!D39</f>
        <v>8442</v>
      </c>
      <c r="K37" s="377">
        <f>'Nedaňové příjmy'!E39+'Nedaňové příjmy'!I39+'Nedaňové příjmy'!M39+'Nedaňové příjmy'!Q39+'Nedaňové příjmy'!U39+'Nedaňové příjmy'!Y39+'Jiné nedaň.příjmy'!E39</f>
        <v>9656</v>
      </c>
      <c r="L37" s="526">
        <f t="shared" si="2"/>
        <v>114.38047855958304</v>
      </c>
      <c r="M37" s="377">
        <f>'Kapitálové příjmy'!C37+'Kapitálové příjmy'!G37</f>
        <v>70</v>
      </c>
      <c r="N37" s="377">
        <f>'Kapitálové příjmy'!D37+'Kapitálové příjmy'!H37</f>
        <v>70</v>
      </c>
      <c r="O37" s="528">
        <f>'Kapitálové příjmy'!E37+'Kapitálové příjmy'!I37</f>
        <v>75</v>
      </c>
      <c r="P37" s="526">
        <f>SUM(O37/N37*100)</f>
        <v>107.14285714285714</v>
      </c>
      <c r="Q37" s="377">
        <f>'Transfery neinvestiční 2.6'!C38+'Transfery neinvestiční 2.6'!G38+'Transfery neinvestiční 2.6'!K38+'Transfery neinvestiční 2.6'!O38+'Transfery neinvestiční 2.6'!S38+'Transfery nein.2.6a'!C39+'Transfery nein.2.6a'!O39+'Transfery nein.2.6a'!S39+'Transfery nein.2.6a'!W39+'Transfery investiční'!C38+'Transfery investiční'!G38+'Transfery investiční'!K38+'Transfery investiční'!O38+'Transfery investiční'!S38+'Transfery investiční'!W38+'Transfery investiční'!AA38+'Transfery nein.2.6a'!AA39</f>
        <v>46331</v>
      </c>
      <c r="R37" s="377">
        <f>'Transfery neinvestiční 2.6'!D38+'Transfery neinvestiční 2.6'!H38+'Transfery neinvestiční 2.6'!L38+'Transfery neinvestiční 2.6'!P38+'Transfery neinvestiční 2.6'!T38+'Transfery nein.2.6a'!D39+'Transfery nein.2.6a'!P39+'Transfery nein.2.6a'!T39+'Transfery nein.2.6a'!X39+'Transfery investiční'!D38+'Transfery investiční'!H38+'Transfery investiční'!L38+'Transfery investiční'!P38+'Transfery investiční'!T38+'Transfery investiční'!X38+'Transfery investiční'!AB38+'Transfery nein.2.6a'!AB39</f>
        <v>71659</v>
      </c>
      <c r="S37" s="377">
        <f>'Transfery neinvestiční 2.6'!E38+'Transfery neinvestiční 2.6'!I38+'Transfery neinvestiční 2.6'!M38+'Transfery neinvestiční 2.6'!Q38+'Transfery neinvestiční 2.6'!U38+'Transfery nein.2.6a'!E39+'Transfery nein.2.6a'!Q39+'Transfery nein.2.6a'!U39+'Transfery nein.2.6a'!Y39+'Transfery investiční'!E38+'Transfery investiční'!I38+'Transfery investiční'!M38+'Transfery investiční'!Q38+'Transfery investiční'!U38+'Transfery investiční'!Y38+'Transfery investiční'!AC38+'Transfery nein.2.6a'!AC39</f>
        <v>75510</v>
      </c>
      <c r="T37" s="526">
        <f t="shared" si="3"/>
        <v>105.37406327188489</v>
      </c>
    </row>
    <row r="38" spans="1:20" ht="16.5" customHeight="1">
      <c r="A38" s="72" t="s">
        <v>29</v>
      </c>
      <c r="B38" s="77"/>
      <c r="C38" s="376">
        <f>'Daňové příjmy'!C38+'Daňové příjmy'!G38++'Daňové příjmy'!K38+'Daňové příjmy'!O38+'Ost.daně=Místní popl.'!C39</f>
        <v>154</v>
      </c>
      <c r="D38" s="377">
        <f>'Daňové příjmy'!D38+'Daňové příjmy'!H38++'Daňové příjmy'!L38+'Daňové příjmy'!P38+'Ost.daně=Místní popl.'!D39</f>
        <v>300</v>
      </c>
      <c r="E38" s="377">
        <f>'Daňové příjmy'!E38+'Daňové příjmy'!I38+'Daňové příjmy'!M38+'Daňové příjmy'!Q38+'Ost.daně=Místní popl.'!E39</f>
        <v>298</v>
      </c>
      <c r="F38" s="392">
        <v>297808</v>
      </c>
      <c r="G38" s="650">
        <f t="shared" si="1"/>
        <v>-0.19200000000000728</v>
      </c>
      <c r="H38" s="526">
        <f t="shared" si="0"/>
        <v>99.33333333333333</v>
      </c>
      <c r="I38" s="377">
        <f>'Nedaňové příjmy'!C40+'Nedaňové příjmy'!G40+'Nedaňové příjmy'!K40+'Nedaňové příjmy'!O40+'Nedaňové příjmy'!S40+'Nedaňové příjmy'!W40+'Jiné nedaň.příjmy'!C40</f>
        <v>674</v>
      </c>
      <c r="J38" s="377">
        <f>'Nedaňové příjmy'!D40+'Nedaňové příjmy'!H40+'Nedaňové příjmy'!L40+'Nedaňové příjmy'!P40+'Nedaňové příjmy'!T40+'Nedaňové příjmy'!X40+'Jiné nedaň.příjmy'!D40</f>
        <v>1029</v>
      </c>
      <c r="K38" s="377">
        <f>'Nedaňové příjmy'!E40+'Nedaňové příjmy'!I40+'Nedaňové příjmy'!M40+'Nedaňové příjmy'!Q40+'Nedaňové příjmy'!U40+'Nedaňové příjmy'!Y40+'Jiné nedaň.příjmy'!E40</f>
        <v>863</v>
      </c>
      <c r="L38" s="526">
        <f t="shared" si="2"/>
        <v>83.86783284742468</v>
      </c>
      <c r="M38" s="377">
        <f>'Kapitálové příjmy'!C38+'Kapitálové příjmy'!G38</f>
        <v>0</v>
      </c>
      <c r="N38" s="377">
        <f>'Kapitálové příjmy'!D38+'Kapitálové příjmy'!H38</f>
        <v>0</v>
      </c>
      <c r="O38" s="528">
        <f>'Kapitálové příjmy'!E38+'Kapitálové příjmy'!I38</f>
        <v>0</v>
      </c>
      <c r="P38" s="526"/>
      <c r="Q38" s="377">
        <f>'Transfery neinvestiční 2.6'!C39+'Transfery neinvestiční 2.6'!G39+'Transfery neinvestiční 2.6'!K39+'Transfery neinvestiční 2.6'!O39+'Transfery neinvestiční 2.6'!S39+'Transfery nein.2.6a'!C40+'Transfery nein.2.6a'!O40+'Transfery nein.2.6a'!S40+'Transfery nein.2.6a'!W40+'Transfery investiční'!C39+'Transfery investiční'!G39+'Transfery investiční'!K39+'Transfery investiční'!O39+'Transfery investiční'!S39+'Transfery investiční'!W39+'Transfery investiční'!AA39+'Transfery nein.2.6a'!AA40</f>
        <v>3372</v>
      </c>
      <c r="R38" s="377">
        <f>'Transfery neinvestiční 2.6'!D39+'Transfery neinvestiční 2.6'!H39+'Transfery neinvestiční 2.6'!L39+'Transfery neinvestiční 2.6'!P39+'Transfery neinvestiční 2.6'!T39+'Transfery nein.2.6a'!D40+'Transfery nein.2.6a'!P40+'Transfery nein.2.6a'!T40+'Transfery nein.2.6a'!X40+'Transfery investiční'!D39+'Transfery investiční'!H39+'Transfery investiční'!L39+'Transfery investiční'!P39+'Transfery investiční'!T39+'Transfery investiční'!X39+'Transfery investiční'!AB39+'Transfery nein.2.6a'!AB40</f>
        <v>4359</v>
      </c>
      <c r="S38" s="377">
        <f>'Transfery neinvestiční 2.6'!E39+'Transfery neinvestiční 2.6'!I39+'Transfery neinvestiční 2.6'!M39+'Transfery neinvestiční 2.6'!Q39+'Transfery neinvestiční 2.6'!U39+'Transfery nein.2.6a'!E40+'Transfery nein.2.6a'!Q40+'Transfery nein.2.6a'!U40+'Transfery nein.2.6a'!Y40+'Transfery investiční'!E39+'Transfery investiční'!I39+'Transfery investiční'!M39+'Transfery investiční'!Q39+'Transfery investiční'!U39+'Transfery investiční'!Y39+'Transfery investiční'!AC39+'Transfery nein.2.6a'!AC40</f>
        <v>4359</v>
      </c>
      <c r="T38" s="526">
        <f t="shared" si="3"/>
        <v>100</v>
      </c>
    </row>
    <row r="39" spans="1:20" ht="16.5" customHeight="1">
      <c r="A39" s="72" t="s">
        <v>30</v>
      </c>
      <c r="B39" s="73"/>
      <c r="C39" s="376">
        <f>'Daňové příjmy'!C39+'Daňové příjmy'!G39++'Daňové příjmy'!K39+'Daňové příjmy'!O39+'Ost.daně=Místní popl.'!C40</f>
        <v>35</v>
      </c>
      <c r="D39" s="377">
        <f>'Daňové příjmy'!D39+'Daňové příjmy'!H39++'Daňové příjmy'!L39+'Daňové příjmy'!P39+'Ost.daně=Místní popl.'!D40</f>
        <v>94</v>
      </c>
      <c r="E39" s="377">
        <f>'Daňové příjmy'!E39+'Daňové příjmy'!I39+'Daňové příjmy'!M39+'Daňové příjmy'!Q39+'Ost.daně=Místní popl.'!E40</f>
        <v>90</v>
      </c>
      <c r="F39" s="392">
        <v>90077</v>
      </c>
      <c r="G39" s="650">
        <f t="shared" si="1"/>
        <v>0.07699999999999818</v>
      </c>
      <c r="H39" s="526">
        <f t="shared" si="0"/>
        <v>95.74468085106383</v>
      </c>
      <c r="I39" s="377">
        <f>'Nedaňové příjmy'!C41+'Nedaňové příjmy'!G41+'Nedaňové příjmy'!K41+'Nedaňové příjmy'!O41+'Nedaňové příjmy'!S41+'Nedaňové příjmy'!W41+'Jiné nedaň.příjmy'!C41</f>
        <v>300</v>
      </c>
      <c r="J39" s="377">
        <f>'Nedaňové příjmy'!D41+'Nedaňové příjmy'!H41+'Nedaňové příjmy'!L41+'Nedaňové příjmy'!P41+'Nedaňové příjmy'!T41+'Nedaňové příjmy'!X41+'Jiné nedaň.příjmy'!D41</f>
        <v>794</v>
      </c>
      <c r="K39" s="377">
        <f>'Nedaňové příjmy'!E41+'Nedaňové příjmy'!I41+'Nedaňové příjmy'!M41+'Nedaňové příjmy'!Q41+'Nedaňové příjmy'!U41+'Nedaňové příjmy'!Y41+'Jiné nedaň.příjmy'!E41</f>
        <v>776</v>
      </c>
      <c r="L39" s="526">
        <f t="shared" si="2"/>
        <v>97.73299748110831</v>
      </c>
      <c r="M39" s="377">
        <f>'Kapitálové příjmy'!C39+'Kapitálové příjmy'!G39</f>
        <v>0</v>
      </c>
      <c r="N39" s="377">
        <f>'Kapitálové příjmy'!D39+'Kapitálové příjmy'!H39</f>
        <v>0</v>
      </c>
      <c r="O39" s="528">
        <f>'Kapitálové příjmy'!E39+'Kapitálové příjmy'!I39</f>
        <v>0</v>
      </c>
      <c r="P39" s="526"/>
      <c r="Q39" s="377">
        <f>'Transfery neinvestiční 2.6'!C40+'Transfery neinvestiční 2.6'!G40+'Transfery neinvestiční 2.6'!K40+'Transfery neinvestiční 2.6'!O40+'Transfery neinvestiční 2.6'!S40+'Transfery nein.2.6a'!C41+'Transfery nein.2.6a'!O41+'Transfery nein.2.6a'!S41+'Transfery nein.2.6a'!W41+'Transfery investiční'!C40+'Transfery investiční'!G40+'Transfery investiční'!K40+'Transfery investiční'!O40+'Transfery investiční'!S40+'Transfery investiční'!W40+'Transfery investiční'!AA40+'Transfery nein.2.6a'!AA41</f>
        <v>4637</v>
      </c>
      <c r="R39" s="377">
        <f>'Transfery neinvestiční 2.6'!D40+'Transfery neinvestiční 2.6'!H40+'Transfery neinvestiční 2.6'!L40+'Transfery neinvestiční 2.6'!P40+'Transfery neinvestiční 2.6'!T40+'Transfery nein.2.6a'!D41+'Transfery nein.2.6a'!P41+'Transfery nein.2.6a'!T41+'Transfery nein.2.6a'!X41+'Transfery investiční'!D40+'Transfery investiční'!H40+'Transfery investiční'!L40+'Transfery investiční'!P40+'Transfery investiční'!T40+'Transfery investiční'!X40+'Transfery investiční'!AB40+'Transfery nein.2.6a'!AB41</f>
        <v>6743</v>
      </c>
      <c r="S39" s="377">
        <f>'Transfery neinvestiční 2.6'!E40+'Transfery neinvestiční 2.6'!I40+'Transfery neinvestiční 2.6'!M40+'Transfery neinvestiční 2.6'!Q40+'Transfery neinvestiční 2.6'!U40+'Transfery nein.2.6a'!E41+'Transfery nein.2.6a'!Q41+'Transfery nein.2.6a'!U41+'Transfery nein.2.6a'!Y41+'Transfery investiční'!E40+'Transfery investiční'!I40+'Transfery investiční'!M40+'Transfery investiční'!Q40+'Transfery investiční'!U40+'Transfery investiční'!Y40+'Transfery investiční'!AC40+'Transfery nein.2.6a'!AC41</f>
        <v>6743</v>
      </c>
      <c r="T39" s="526">
        <f t="shared" si="3"/>
        <v>100</v>
      </c>
    </row>
    <row r="40" spans="1:20" ht="16.5" customHeight="1">
      <c r="A40" s="72" t="s">
        <v>31</v>
      </c>
      <c r="B40" s="73"/>
      <c r="C40" s="376">
        <f>'Daňové příjmy'!C40+'Daňové příjmy'!G40++'Daňové příjmy'!K40+'Daňové příjmy'!O40+'Ost.daně=Místní popl.'!C41</f>
        <v>27</v>
      </c>
      <c r="D40" s="377">
        <f>'Daňové příjmy'!D40+'Daňové příjmy'!H40++'Daňové příjmy'!L40+'Daňové příjmy'!P40+'Ost.daně=Místní popl.'!D41</f>
        <v>338</v>
      </c>
      <c r="E40" s="377">
        <f>'Daňové příjmy'!E40+'Daňové příjmy'!I40+'Daňové příjmy'!M40+'Daňové příjmy'!Q40+'Ost.daně=Místní popl.'!E41</f>
        <v>336</v>
      </c>
      <c r="F40" s="392">
        <v>336416</v>
      </c>
      <c r="G40" s="650">
        <f t="shared" si="1"/>
        <v>0.4159999999999968</v>
      </c>
      <c r="H40" s="526">
        <f t="shared" si="0"/>
        <v>99.40828402366864</v>
      </c>
      <c r="I40" s="377">
        <f>'Nedaňové příjmy'!C42+'Nedaňové příjmy'!G42+'Nedaňové příjmy'!K42+'Nedaňové příjmy'!O42+'Nedaňové příjmy'!S42+'Nedaňové příjmy'!W42+'Jiné nedaň.příjmy'!C42</f>
        <v>57</v>
      </c>
      <c r="J40" s="377">
        <f>'Nedaňové příjmy'!D42+'Nedaňové příjmy'!H42+'Nedaňové příjmy'!L42+'Nedaňové příjmy'!P42+'Nedaňové příjmy'!T42+'Nedaňové příjmy'!X42+'Jiné nedaň.příjmy'!D42</f>
        <v>471</v>
      </c>
      <c r="K40" s="377">
        <f>'Nedaňové příjmy'!E42+'Nedaňové příjmy'!I42+'Nedaňové příjmy'!M42+'Nedaňové příjmy'!Q42+'Nedaňové příjmy'!U42+'Nedaňové příjmy'!Y42+'Jiné nedaň.příjmy'!E42</f>
        <v>280</v>
      </c>
      <c r="L40" s="526">
        <f t="shared" si="2"/>
        <v>59.447983014862</v>
      </c>
      <c r="M40" s="377">
        <f>'Kapitálové příjmy'!C40+'Kapitálové příjmy'!G40</f>
        <v>0</v>
      </c>
      <c r="N40" s="377">
        <f>'Kapitálové příjmy'!D40+'Kapitálové příjmy'!H40</f>
        <v>0</v>
      </c>
      <c r="O40" s="528">
        <f>'Kapitálové příjmy'!E40+'Kapitálové příjmy'!I40</f>
        <v>0</v>
      </c>
      <c r="P40" s="526"/>
      <c r="Q40" s="377">
        <f>'Transfery neinvestiční 2.6'!C41+'Transfery neinvestiční 2.6'!G41+'Transfery neinvestiční 2.6'!K41+'Transfery neinvestiční 2.6'!O41+'Transfery neinvestiční 2.6'!S41+'Transfery nein.2.6a'!C42+'Transfery nein.2.6a'!O42+'Transfery nein.2.6a'!S42+'Transfery nein.2.6a'!W42+'Transfery investiční'!C41+'Transfery investiční'!G41+'Transfery investiční'!K41+'Transfery investiční'!O41+'Transfery investiční'!S41+'Transfery investiční'!W41+'Transfery investiční'!AA41+'Transfery nein.2.6a'!AA42</f>
        <v>2471</v>
      </c>
      <c r="R40" s="377">
        <f>'Transfery neinvestiční 2.6'!D41+'Transfery neinvestiční 2.6'!H41+'Transfery neinvestiční 2.6'!L41+'Transfery neinvestiční 2.6'!P41+'Transfery neinvestiční 2.6'!T41+'Transfery nein.2.6a'!D42+'Transfery nein.2.6a'!P42+'Transfery nein.2.6a'!T42+'Transfery nein.2.6a'!X42+'Transfery investiční'!D41+'Transfery investiční'!H41+'Transfery investiční'!L41+'Transfery investiční'!P41+'Transfery investiční'!T41+'Transfery investiční'!X41+'Transfery investiční'!AB41+'Transfery nein.2.6a'!AB42</f>
        <v>2769</v>
      </c>
      <c r="S40" s="377">
        <f>'Transfery neinvestiční 2.6'!E41+'Transfery neinvestiční 2.6'!I41+'Transfery neinvestiční 2.6'!M41+'Transfery neinvestiční 2.6'!Q41+'Transfery neinvestiční 2.6'!U41+'Transfery nein.2.6a'!E42+'Transfery nein.2.6a'!Q42+'Transfery nein.2.6a'!U42+'Transfery nein.2.6a'!Y42+'Transfery investiční'!E41+'Transfery investiční'!I41+'Transfery investiční'!M41+'Transfery investiční'!Q41+'Transfery investiční'!U41+'Transfery investiční'!Y41+'Transfery investiční'!AC41+'Transfery nein.2.6a'!AC42</f>
        <v>2769</v>
      </c>
      <c r="T40" s="526">
        <f t="shared" si="3"/>
        <v>100</v>
      </c>
    </row>
    <row r="41" spans="1:20" ht="16.5" customHeight="1">
      <c r="A41" s="448" t="s">
        <v>32</v>
      </c>
      <c r="B41" s="449"/>
      <c r="C41" s="376">
        <f>'Daňové příjmy'!C41+'Daňové příjmy'!G41++'Daňové příjmy'!K41+'Daňové příjmy'!O41+'Ost.daně=Místní popl.'!C42</f>
        <v>51</v>
      </c>
      <c r="D41" s="377">
        <f>'Daňové příjmy'!D41+'Daňové příjmy'!H41++'Daňové příjmy'!L41+'Daňové příjmy'!P41+'Ost.daně=Místní popl.'!D42</f>
        <v>127</v>
      </c>
      <c r="E41" s="377">
        <f>'Daňové příjmy'!E41+'Daňové příjmy'!I41+'Daňové příjmy'!M41+'Daňové příjmy'!Q41+'Ost.daně=Místní popl.'!E42</f>
        <v>127</v>
      </c>
      <c r="F41" s="392">
        <v>125467</v>
      </c>
      <c r="G41" s="650">
        <f t="shared" si="1"/>
        <v>-1.5330000000000013</v>
      </c>
      <c r="H41" s="526">
        <f t="shared" si="0"/>
        <v>100</v>
      </c>
      <c r="I41" s="377">
        <f>'Nedaňové příjmy'!C43+'Nedaňové příjmy'!G43+'Nedaňové příjmy'!K43+'Nedaňové příjmy'!O43+'Nedaňové příjmy'!S43+'Nedaňové příjmy'!W43+'Jiné nedaň.příjmy'!C43</f>
        <v>182</v>
      </c>
      <c r="J41" s="377">
        <f>'Nedaňové příjmy'!D43+'Nedaňové příjmy'!H43+'Nedaňové příjmy'!L43+'Nedaňové příjmy'!P43+'Nedaňové příjmy'!T43+'Nedaňové příjmy'!X43+'Jiné nedaň.příjmy'!D43</f>
        <v>323</v>
      </c>
      <c r="K41" s="377">
        <f>'Nedaňové příjmy'!E43+'Nedaňové příjmy'!I43+'Nedaňové příjmy'!M43+'Nedaňové příjmy'!Q43+'Nedaňové příjmy'!U43+'Nedaňové příjmy'!Y43+'Jiné nedaň.příjmy'!E43</f>
        <v>319</v>
      </c>
      <c r="L41" s="526">
        <f t="shared" si="2"/>
        <v>98.76160990712074</v>
      </c>
      <c r="M41" s="377">
        <f>'Kapitálové příjmy'!C41+'Kapitálové příjmy'!G41</f>
        <v>0</v>
      </c>
      <c r="N41" s="377">
        <f>'Kapitálové příjmy'!D41+'Kapitálové příjmy'!H41</f>
        <v>0</v>
      </c>
      <c r="O41" s="528">
        <f>'Kapitálové příjmy'!E41+'Kapitálové příjmy'!I41</f>
        <v>0</v>
      </c>
      <c r="P41" s="526"/>
      <c r="Q41" s="377">
        <f>'Transfery neinvestiční 2.6'!C42+'Transfery neinvestiční 2.6'!G42+'Transfery neinvestiční 2.6'!K42+'Transfery neinvestiční 2.6'!O42+'Transfery neinvestiční 2.6'!S42+'Transfery nein.2.6a'!C43+'Transfery nein.2.6a'!O43+'Transfery nein.2.6a'!S43+'Transfery nein.2.6a'!W43+'Transfery investiční'!C42+'Transfery investiční'!G42+'Transfery investiční'!K42+'Transfery investiční'!O42+'Transfery investiční'!S42+'Transfery investiční'!W42+'Transfery investiční'!AA42+'Transfery nein.2.6a'!AA43</f>
        <v>2096</v>
      </c>
      <c r="R41" s="377">
        <f>'Transfery neinvestiční 2.6'!D42+'Transfery neinvestiční 2.6'!H42+'Transfery neinvestiční 2.6'!L42+'Transfery neinvestiční 2.6'!P42+'Transfery neinvestiční 2.6'!T42+'Transfery nein.2.6a'!D43+'Transfery nein.2.6a'!P43+'Transfery nein.2.6a'!T43+'Transfery nein.2.6a'!X43+'Transfery investiční'!D42+'Transfery investiční'!H42+'Transfery investiční'!L42+'Transfery investiční'!P42+'Transfery investiční'!T42+'Transfery investiční'!X42+'Transfery investiční'!AB42+'Transfery nein.2.6a'!AB43</f>
        <v>2552</v>
      </c>
      <c r="S41" s="377">
        <f>'Transfery neinvestiční 2.6'!E42+'Transfery neinvestiční 2.6'!I42+'Transfery neinvestiční 2.6'!M42+'Transfery neinvestiční 2.6'!Q42+'Transfery neinvestiční 2.6'!U42+'Transfery nein.2.6a'!E43+'Transfery nein.2.6a'!Q43+'Transfery nein.2.6a'!U43+'Transfery nein.2.6a'!Y43+'Transfery investiční'!E42+'Transfery investiční'!I42+'Transfery investiční'!M42+'Transfery investiční'!Q42+'Transfery investiční'!U42+'Transfery investiční'!Y42+'Transfery investiční'!AC42+'Transfery nein.2.6a'!AC43</f>
        <v>2552</v>
      </c>
      <c r="T41" s="526">
        <f t="shared" si="3"/>
        <v>100</v>
      </c>
    </row>
    <row r="42" spans="1:20" ht="15" customHeight="1" thickBot="1">
      <c r="A42" s="13"/>
      <c r="B42" s="223"/>
      <c r="C42" s="378"/>
      <c r="D42" s="379"/>
      <c r="E42" s="379"/>
      <c r="F42" s="651"/>
      <c r="G42" s="651"/>
      <c r="H42" s="529"/>
      <c r="I42" s="530"/>
      <c r="J42" s="531"/>
      <c r="K42" s="531"/>
      <c r="L42" s="529"/>
      <c r="M42" s="530"/>
      <c r="N42" s="531"/>
      <c r="O42" s="531"/>
      <c r="P42" s="532"/>
      <c r="Q42" s="530"/>
      <c r="R42" s="531"/>
      <c r="S42" s="531"/>
      <c r="T42" s="532"/>
    </row>
    <row r="43" spans="1:20" ht="15" customHeight="1">
      <c r="A43" s="4"/>
      <c r="B43" s="4"/>
      <c r="C43" s="380"/>
      <c r="D43" s="380"/>
      <c r="E43" s="380"/>
      <c r="F43" s="380"/>
      <c r="G43" s="380"/>
      <c r="H43" s="4"/>
      <c r="I43" s="533"/>
      <c r="J43" s="533"/>
      <c r="K43" s="533"/>
      <c r="L43" s="534"/>
      <c r="M43" s="533"/>
      <c r="N43" s="533"/>
      <c r="O43" s="533"/>
      <c r="P43" s="534"/>
      <c r="Q43" s="533"/>
      <c r="R43" s="533"/>
      <c r="S43" s="533"/>
      <c r="T43" s="534"/>
    </row>
    <row r="44" spans="1:20" ht="15" customHeight="1" thickBot="1">
      <c r="A44" s="4"/>
      <c r="B44" s="4"/>
      <c r="C44" s="380"/>
      <c r="D44" s="380"/>
      <c r="E44" s="380"/>
      <c r="F44" s="380"/>
      <c r="G44" s="380"/>
      <c r="H44" s="4"/>
      <c r="I44" s="533"/>
      <c r="J44" s="533"/>
      <c r="K44" s="533"/>
      <c r="L44" s="534"/>
      <c r="M44" s="533"/>
      <c r="N44" s="533"/>
      <c r="O44" s="533"/>
      <c r="P44" s="534"/>
      <c r="Q44" s="533"/>
      <c r="R44" s="533"/>
      <c r="S44" s="533"/>
      <c r="T44" s="534"/>
    </row>
    <row r="45" spans="1:20" ht="20.25" customHeight="1" thickBot="1">
      <c r="A45" s="49" t="s">
        <v>33</v>
      </c>
      <c r="B45" s="4"/>
      <c r="C45" s="381">
        <f>SUM(C13:C41)</f>
        <v>235287</v>
      </c>
      <c r="D45" s="382">
        <f>SUM(D13:D41)</f>
        <v>275556</v>
      </c>
      <c r="E45" s="382">
        <f>SUM(E13:E41)</f>
        <v>271989</v>
      </c>
      <c r="F45" s="382">
        <f>SUM(F13:F41)</f>
        <v>271988544</v>
      </c>
      <c r="G45" s="652"/>
      <c r="H45" s="89">
        <f>SUM(E45/D45*100)</f>
        <v>98.70552628140923</v>
      </c>
      <c r="I45" s="381">
        <f>SUM(I13:I41)</f>
        <v>134213</v>
      </c>
      <c r="J45" s="382">
        <f>SUM(J13:J41)</f>
        <v>225065</v>
      </c>
      <c r="K45" s="382">
        <f>SUM(K13:K41)</f>
        <v>229345</v>
      </c>
      <c r="L45" s="89">
        <f>SUM(K45/J45*100)</f>
        <v>101.90167285006552</v>
      </c>
      <c r="M45" s="381">
        <f>SUM(M13:M41)</f>
        <v>95</v>
      </c>
      <c r="N45" s="382">
        <f>SUM(N13:N41)</f>
        <v>1012</v>
      </c>
      <c r="O45" s="382">
        <f>SUM(O13:O41)</f>
        <v>1017</v>
      </c>
      <c r="P45" s="89">
        <f>SUM(O45/N45*100)</f>
        <v>100.49407114624506</v>
      </c>
      <c r="Q45" s="381">
        <f>SUM(Q13:Q41)</f>
        <v>1393955</v>
      </c>
      <c r="R45" s="382">
        <f>SUM(R13:R41)</f>
        <v>1976658</v>
      </c>
      <c r="S45" s="382">
        <f>SUM(S13:S41)</f>
        <v>1965930</v>
      </c>
      <c r="T45" s="89">
        <f>SUM(S45/R45*100)</f>
        <v>99.45726574855134</v>
      </c>
    </row>
    <row r="46" spans="3:20" ht="15.75">
      <c r="C46" s="383"/>
      <c r="D46" s="383"/>
      <c r="E46" s="383"/>
      <c r="F46" s="383"/>
      <c r="G46" s="383"/>
      <c r="H46" s="251"/>
      <c r="I46" s="383"/>
      <c r="J46" s="383"/>
      <c r="K46" s="653"/>
      <c r="O46" s="383"/>
      <c r="P46" s="303"/>
      <c r="Q46" s="383"/>
      <c r="R46" s="383"/>
      <c r="S46" s="383"/>
      <c r="T46" s="303"/>
    </row>
    <row r="47" spans="16:20" s="106" customFormat="1" ht="12.75">
      <c r="P47" s="654"/>
      <c r="T47" s="654"/>
    </row>
    <row r="48" spans="8:20" ht="15.75">
      <c r="H48" s="251"/>
      <c r="P48" s="303"/>
      <c r="T48" s="303"/>
    </row>
    <row r="49" spans="1:20" ht="15.75" customHeight="1">
      <c r="A49" s="197"/>
      <c r="B49" s="2" t="s">
        <v>281</v>
      </c>
      <c r="C49" s="6">
        <v>235287</v>
      </c>
      <c r="D49" s="6">
        <v>275556</v>
      </c>
      <c r="E49" s="427">
        <v>271989</v>
      </c>
      <c r="H49" s="6"/>
      <c r="I49" s="6">
        <v>134213</v>
      </c>
      <c r="J49" s="6">
        <v>225065</v>
      </c>
      <c r="K49" s="6">
        <v>229345</v>
      </c>
      <c r="L49" s="6"/>
      <c r="M49" s="6">
        <v>95</v>
      </c>
      <c r="N49" s="6">
        <v>1012</v>
      </c>
      <c r="O49" s="6">
        <v>1017</v>
      </c>
      <c r="P49" s="6"/>
      <c r="Q49" s="6">
        <v>1393955</v>
      </c>
      <c r="R49" s="6">
        <v>1976658</v>
      </c>
      <c r="S49" s="6">
        <v>1965930</v>
      </c>
      <c r="T49" s="655"/>
    </row>
    <row r="50" spans="8:19" ht="18">
      <c r="H50" s="192"/>
      <c r="S50" s="105">
        <f>4870043917-2904113563</f>
        <v>1965930354</v>
      </c>
    </row>
    <row r="51" spans="9:19" ht="15.75">
      <c r="I51" s="303"/>
      <c r="S51" s="6"/>
    </row>
    <row r="52" ht="15.75">
      <c r="I52" s="303"/>
    </row>
    <row r="53" ht="15.75" customHeight="1"/>
    <row r="54" ht="15.75" customHeight="1"/>
    <row r="55" ht="15.75" customHeight="1"/>
    <row r="56" ht="15.75" customHeight="1"/>
    <row r="57" ht="15.75" customHeight="1"/>
    <row r="58" ht="18" customHeight="1"/>
    <row r="59" ht="18" customHeight="1"/>
    <row r="60" ht="13.5" customHeight="1"/>
    <row r="62" ht="18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spans="6:22" ht="15.75">
      <c r="F111" s="383"/>
      <c r="G111" s="383"/>
      <c r="Q111" s="303"/>
      <c r="R111" s="383"/>
      <c r="S111" s="383"/>
      <c r="T111" s="383"/>
      <c r="V111" s="383"/>
    </row>
  </sheetData>
  <mergeCells count="1">
    <mergeCell ref="A2:U2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A50"/>
  <sheetViews>
    <sheetView showZeros="0" workbookViewId="0" topLeftCell="L5">
      <selection activeCell="T5" sqref="T5"/>
    </sheetView>
  </sheetViews>
  <sheetFormatPr defaultColWidth="9.796875" defaultRowHeight="15"/>
  <cols>
    <col min="1" max="1" width="9.796875" style="2" customWidth="1"/>
    <col min="2" max="2" width="16.69921875" style="2" customWidth="1"/>
    <col min="3" max="9" width="10.69921875" style="2" customWidth="1"/>
    <col min="10" max="10" width="10.796875" style="2" customWidth="1"/>
    <col min="11" max="18" width="9.796875" style="2" customWidth="1"/>
    <col min="19" max="20" width="9.296875" style="2" customWidth="1"/>
    <col min="21" max="21" width="11.296875" style="166" bestFit="1" customWidth="1"/>
    <col min="22" max="23" width="9.796875" style="166" customWidth="1"/>
    <col min="24" max="24" width="1" style="166" customWidth="1"/>
    <col min="25" max="25" width="11.296875" style="166" bestFit="1" customWidth="1"/>
    <col min="26" max="26" width="11.296875" style="166" customWidth="1"/>
    <col min="27" max="27" width="9.796875" style="166" customWidth="1"/>
    <col min="28" max="28" width="6.59765625" style="2" customWidth="1"/>
    <col min="29" max="32" width="7.796875" style="2" customWidth="1"/>
    <col min="33" max="35" width="8.796875" style="2" customWidth="1"/>
    <col min="36" max="39" width="7.796875" style="2" customWidth="1"/>
    <col min="40" max="40" width="6.796875" style="2" customWidth="1"/>
    <col min="41" max="43" width="8.796875" style="2" customWidth="1"/>
    <col min="44" max="47" width="7.796875" style="2" customWidth="1"/>
    <col min="48" max="48" width="6.796875" style="2" customWidth="1"/>
    <col min="49" max="53" width="7.796875" style="2" customWidth="1"/>
    <col min="54" max="54" width="5.796875" style="2" customWidth="1"/>
    <col min="55" max="55" width="9.796875" style="2" customWidth="1"/>
    <col min="56" max="56" width="6.796875" style="2" customWidth="1"/>
    <col min="57" max="59" width="9.796875" style="2" customWidth="1"/>
    <col min="60" max="60" width="4.796875" style="2" customWidth="1"/>
    <col min="61" max="61" width="0" style="2" hidden="1" customWidth="1"/>
    <col min="62" max="16384" width="9.796875" style="2" customWidth="1"/>
  </cols>
  <sheetData>
    <row r="1" spans="1:18" ht="17.25" customHeight="1">
      <c r="A1" s="16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4" customHeight="1">
      <c r="A2" s="824" t="s">
        <v>315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</row>
    <row r="3" spans="1:18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837" t="s">
        <v>64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</row>
    <row r="5" spans="1:25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1"/>
      <c r="O5" s="168"/>
      <c r="P5" s="168"/>
      <c r="Q5" s="168"/>
      <c r="R5" s="776" t="s">
        <v>65</v>
      </c>
      <c r="S5" s="169"/>
      <c r="T5" s="169"/>
      <c r="U5" s="170"/>
      <c r="V5" s="170"/>
      <c r="W5" s="170"/>
      <c r="X5" s="170"/>
      <c r="Y5" s="170"/>
    </row>
    <row r="6" spans="1:25" ht="22.5" customHeight="1" thickBot="1">
      <c r="A6" s="4"/>
      <c r="B6" s="4"/>
      <c r="C6" s="171"/>
      <c r="D6" s="172"/>
      <c r="E6" s="171"/>
      <c r="F6" s="171"/>
      <c r="G6" s="171"/>
      <c r="H6" s="172"/>
      <c r="I6" s="16"/>
      <c r="J6" s="4"/>
      <c r="K6" s="171"/>
      <c r="L6" s="172"/>
      <c r="M6" s="16"/>
      <c r="O6" s="16"/>
      <c r="P6" s="16"/>
      <c r="Q6" s="16"/>
      <c r="R6" s="775" t="s">
        <v>3</v>
      </c>
      <c r="S6" s="173"/>
      <c r="T6" s="173"/>
      <c r="U6" s="174"/>
      <c r="V6" s="174"/>
      <c r="W6" s="174"/>
      <c r="X6" s="174"/>
      <c r="Y6" s="175"/>
    </row>
    <row r="7" spans="1:25" ht="22.5" customHeight="1">
      <c r="A7" s="176"/>
      <c r="B7" s="177"/>
      <c r="C7" s="20" t="s">
        <v>66</v>
      </c>
      <c r="D7" s="22"/>
      <c r="E7" s="22"/>
      <c r="F7" s="50"/>
      <c r="G7" s="834" t="s">
        <v>67</v>
      </c>
      <c r="H7" s="834"/>
      <c r="I7" s="834"/>
      <c r="J7" s="834"/>
      <c r="K7" s="20" t="s">
        <v>68</v>
      </c>
      <c r="L7" s="179"/>
      <c r="M7" s="22"/>
      <c r="N7" s="50"/>
      <c r="O7" s="835" t="s">
        <v>69</v>
      </c>
      <c r="P7" s="834"/>
      <c r="Q7" s="834"/>
      <c r="R7" s="836"/>
      <c r="S7" s="169"/>
      <c r="T7" s="169"/>
      <c r="U7" s="170"/>
      <c r="V7" s="170"/>
      <c r="W7" s="170"/>
      <c r="X7" s="170"/>
      <c r="Y7" s="170"/>
    </row>
    <row r="8" spans="1:25" ht="18" customHeight="1">
      <c r="A8" s="25" t="s">
        <v>70</v>
      </c>
      <c r="B8" s="14"/>
      <c r="C8" s="180" t="s">
        <v>71</v>
      </c>
      <c r="D8" s="181"/>
      <c r="E8" s="136" t="s">
        <v>5</v>
      </c>
      <c r="F8" s="138" t="s">
        <v>2</v>
      </c>
      <c r="G8" s="180" t="s">
        <v>71</v>
      </c>
      <c r="H8" s="181"/>
      <c r="I8" s="136" t="s">
        <v>5</v>
      </c>
      <c r="J8" s="138" t="s">
        <v>2</v>
      </c>
      <c r="K8" s="182" t="s">
        <v>71</v>
      </c>
      <c r="L8" s="183"/>
      <c r="M8" s="136" t="s">
        <v>5</v>
      </c>
      <c r="N8" s="138" t="s">
        <v>2</v>
      </c>
      <c r="O8" s="182" t="s">
        <v>71</v>
      </c>
      <c r="P8" s="183"/>
      <c r="Q8" s="136" t="s">
        <v>5</v>
      </c>
      <c r="R8" s="138" t="s">
        <v>2</v>
      </c>
      <c r="S8" s="169"/>
      <c r="T8" s="169"/>
      <c r="U8" s="184"/>
      <c r="V8" s="170"/>
      <c r="W8" s="184"/>
      <c r="X8" s="184"/>
      <c r="Y8" s="170"/>
    </row>
    <row r="9" spans="1:25" ht="18" customHeight="1" thickBot="1">
      <c r="A9" s="13"/>
      <c r="B9" s="42" t="s">
        <v>73</v>
      </c>
      <c r="C9" s="43" t="s">
        <v>74</v>
      </c>
      <c r="D9" s="44" t="s">
        <v>75</v>
      </c>
      <c r="E9" s="45" t="s">
        <v>316</v>
      </c>
      <c r="F9" s="46" t="s">
        <v>48</v>
      </c>
      <c r="G9" s="43" t="s">
        <v>74</v>
      </c>
      <c r="H9" s="44" t="s">
        <v>75</v>
      </c>
      <c r="I9" s="45" t="s">
        <v>316</v>
      </c>
      <c r="J9" s="46" t="s">
        <v>48</v>
      </c>
      <c r="K9" s="185" t="s">
        <v>74</v>
      </c>
      <c r="L9" s="45" t="s">
        <v>75</v>
      </c>
      <c r="M9" s="45" t="s">
        <v>316</v>
      </c>
      <c r="N9" s="46" t="s">
        <v>48</v>
      </c>
      <c r="O9" s="185" t="s">
        <v>74</v>
      </c>
      <c r="P9" s="45" t="s">
        <v>75</v>
      </c>
      <c r="Q9" s="45" t="s">
        <v>316</v>
      </c>
      <c r="R9" s="186" t="s">
        <v>48</v>
      </c>
      <c r="S9" s="169"/>
      <c r="T9" s="169"/>
      <c r="U9" s="184"/>
      <c r="V9" s="170"/>
      <c r="W9" s="184"/>
      <c r="X9" s="184"/>
      <c r="Y9" s="170"/>
    </row>
    <row r="10" spans="1:25" ht="15.75" customHeight="1">
      <c r="A10" s="4"/>
      <c r="B10" s="4"/>
      <c r="C10" s="832" t="s">
        <v>76</v>
      </c>
      <c r="D10" s="832"/>
      <c r="E10" s="832"/>
      <c r="F10" s="832"/>
      <c r="G10" s="832" t="s">
        <v>77</v>
      </c>
      <c r="H10" s="832"/>
      <c r="I10" s="832"/>
      <c r="J10" s="832"/>
      <c r="K10" s="832" t="s">
        <v>78</v>
      </c>
      <c r="L10" s="832"/>
      <c r="M10" s="832"/>
      <c r="N10" s="832"/>
      <c r="O10" s="832" t="s">
        <v>79</v>
      </c>
      <c r="P10" s="832"/>
      <c r="Q10" s="832"/>
      <c r="R10" s="833"/>
      <c r="S10" s="169"/>
      <c r="T10" s="169"/>
      <c r="U10" s="170"/>
      <c r="V10" s="170"/>
      <c r="W10" s="170"/>
      <c r="X10" s="170"/>
      <c r="Y10" s="170"/>
    </row>
    <row r="11" spans="1:27" ht="15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58"/>
      <c r="S11" s="169"/>
      <c r="T11" s="169"/>
      <c r="U11" s="828" t="s">
        <v>302</v>
      </c>
      <c r="V11" s="828"/>
      <c r="W11" s="828"/>
      <c r="X11" s="170"/>
      <c r="Y11" s="829" t="s">
        <v>303</v>
      </c>
      <c r="Z11" s="830"/>
      <c r="AA11" s="831"/>
    </row>
    <row r="12" spans="1:27" ht="16.5" customHeight="1">
      <c r="A12" s="65"/>
      <c r="B12" s="66"/>
      <c r="C12" s="67"/>
      <c r="D12" s="68"/>
      <c r="E12" s="68"/>
      <c r="F12" s="69"/>
      <c r="G12" s="67"/>
      <c r="H12" s="68"/>
      <c r="I12" s="68"/>
      <c r="J12" s="69"/>
      <c r="K12" s="67"/>
      <c r="L12" s="68"/>
      <c r="M12" s="68"/>
      <c r="N12" s="69"/>
      <c r="O12" s="67"/>
      <c r="P12" s="68"/>
      <c r="Q12" s="68"/>
      <c r="R12" s="468"/>
      <c r="S12" s="169"/>
      <c r="T12" s="169"/>
      <c r="U12" s="659" t="s">
        <v>49</v>
      </c>
      <c r="V12" s="659" t="s">
        <v>50</v>
      </c>
      <c r="W12" s="659" t="s">
        <v>259</v>
      </c>
      <c r="X12" s="170"/>
      <c r="Y12" s="659" t="s">
        <v>49</v>
      </c>
      <c r="Z12" s="659" t="s">
        <v>50</v>
      </c>
      <c r="AA12" s="659" t="s">
        <v>259</v>
      </c>
    </row>
    <row r="13" spans="1:27" ht="15.75" customHeight="1">
      <c r="A13" s="72" t="s">
        <v>80</v>
      </c>
      <c r="B13" s="73"/>
      <c r="C13" s="74">
        <v>5500</v>
      </c>
      <c r="D13" s="75">
        <v>2010</v>
      </c>
      <c r="E13" s="75">
        <v>2010</v>
      </c>
      <c r="F13" s="76">
        <f aca="true" t="shared" si="0" ref="F13:F41">SUM(E13/D13*100)</f>
        <v>100</v>
      </c>
      <c r="G13" s="74"/>
      <c r="H13" s="75">
        <v>10</v>
      </c>
      <c r="I13" s="75">
        <v>5</v>
      </c>
      <c r="J13" s="76">
        <f>SUM(I13/H13*100)</f>
        <v>50</v>
      </c>
      <c r="K13" s="74">
        <v>12000</v>
      </c>
      <c r="L13" s="75">
        <v>13257</v>
      </c>
      <c r="M13" s="75">
        <v>13257</v>
      </c>
      <c r="N13" s="76">
        <f aca="true" t="shared" si="1" ref="N13:N20">SUM(M13/L13*100)</f>
        <v>100</v>
      </c>
      <c r="O13" s="74">
        <v>26800</v>
      </c>
      <c r="P13" s="75">
        <v>26800</v>
      </c>
      <c r="Q13" s="355">
        <v>19178</v>
      </c>
      <c r="R13" s="356">
        <f aca="true" t="shared" si="2" ref="R13:R21">SUM(Q13/P13*100)</f>
        <v>71.55970149253731</v>
      </c>
      <c r="S13" s="357"/>
      <c r="T13" s="357"/>
      <c r="U13" s="358">
        <v>1500</v>
      </c>
      <c r="V13" s="359">
        <v>2010</v>
      </c>
      <c r="W13" s="360">
        <v>2010</v>
      </c>
      <c r="X13" s="361"/>
      <c r="Y13" s="362">
        <f>C13-U13</f>
        <v>4000</v>
      </c>
      <c r="Z13" s="362">
        <f aca="true" t="shared" si="3" ref="Z13:AA28">D13-V13</f>
        <v>0</v>
      </c>
      <c r="AA13" s="362">
        <f t="shared" si="3"/>
        <v>0</v>
      </c>
    </row>
    <row r="14" spans="1:27" ht="16.5" customHeight="1">
      <c r="A14" s="72" t="s">
        <v>7</v>
      </c>
      <c r="B14" s="77"/>
      <c r="C14" s="74">
        <v>910</v>
      </c>
      <c r="D14" s="75">
        <v>1017</v>
      </c>
      <c r="E14" s="75">
        <v>1017</v>
      </c>
      <c r="F14" s="76">
        <f t="shared" si="0"/>
        <v>100</v>
      </c>
      <c r="G14" s="74"/>
      <c r="H14" s="75"/>
      <c r="I14" s="75"/>
      <c r="J14" s="76"/>
      <c r="K14" s="74">
        <v>950</v>
      </c>
      <c r="L14" s="75">
        <v>1002</v>
      </c>
      <c r="M14" s="75">
        <v>1003</v>
      </c>
      <c r="N14" s="76">
        <f t="shared" si="1"/>
        <v>100.09980039920158</v>
      </c>
      <c r="O14" s="74">
        <v>1200</v>
      </c>
      <c r="P14" s="75">
        <v>1400</v>
      </c>
      <c r="Q14" s="355">
        <v>1599</v>
      </c>
      <c r="R14" s="356">
        <f t="shared" si="2"/>
        <v>114.21428571428571</v>
      </c>
      <c r="S14" s="357"/>
      <c r="T14" s="357"/>
      <c r="U14" s="358">
        <v>880</v>
      </c>
      <c r="V14" s="359">
        <v>1017</v>
      </c>
      <c r="W14" s="360">
        <v>1017</v>
      </c>
      <c r="X14" s="361"/>
      <c r="Y14" s="362">
        <f aca="true" t="shared" si="4" ref="Y14:AA44">C14-U14</f>
        <v>30</v>
      </c>
      <c r="Z14" s="362">
        <f t="shared" si="3"/>
        <v>0</v>
      </c>
      <c r="AA14" s="362">
        <f t="shared" si="3"/>
        <v>0</v>
      </c>
    </row>
    <row r="15" spans="1:27" ht="16.5" customHeight="1">
      <c r="A15" s="72" t="s">
        <v>8</v>
      </c>
      <c r="B15" s="77"/>
      <c r="C15" s="74">
        <v>1000</v>
      </c>
      <c r="D15" s="75">
        <v>5407</v>
      </c>
      <c r="E15" s="75">
        <v>5407</v>
      </c>
      <c r="F15" s="76">
        <f t="shared" si="0"/>
        <v>100</v>
      </c>
      <c r="G15" s="74"/>
      <c r="H15" s="75"/>
      <c r="I15" s="75"/>
      <c r="J15" s="76"/>
      <c r="K15" s="74">
        <v>370</v>
      </c>
      <c r="L15" s="75">
        <v>422</v>
      </c>
      <c r="M15" s="75">
        <v>421</v>
      </c>
      <c r="N15" s="76">
        <f t="shared" si="1"/>
        <v>99.76303317535546</v>
      </c>
      <c r="O15" s="74">
        <v>660</v>
      </c>
      <c r="P15" s="75">
        <v>660</v>
      </c>
      <c r="Q15" s="355">
        <v>796</v>
      </c>
      <c r="R15" s="356">
        <f t="shared" si="2"/>
        <v>120.60606060606061</v>
      </c>
      <c r="S15" s="357"/>
      <c r="T15" s="357"/>
      <c r="U15" s="358"/>
      <c r="V15" s="359">
        <v>944</v>
      </c>
      <c r="W15" s="360">
        <v>944</v>
      </c>
      <c r="X15" s="361"/>
      <c r="Y15" s="362">
        <f t="shared" si="4"/>
        <v>1000</v>
      </c>
      <c r="Z15" s="362">
        <f t="shared" si="3"/>
        <v>4463</v>
      </c>
      <c r="AA15" s="362">
        <f t="shared" si="3"/>
        <v>4463</v>
      </c>
    </row>
    <row r="16" spans="1:27" ht="16.5" customHeight="1">
      <c r="A16" s="72" t="s">
        <v>9</v>
      </c>
      <c r="B16" s="77"/>
      <c r="C16" s="74"/>
      <c r="D16" s="75">
        <v>1097</v>
      </c>
      <c r="E16" s="75">
        <v>1097</v>
      </c>
      <c r="F16" s="76">
        <f t="shared" si="0"/>
        <v>100</v>
      </c>
      <c r="G16" s="74"/>
      <c r="H16" s="75"/>
      <c r="I16" s="75"/>
      <c r="J16" s="76"/>
      <c r="K16" s="74">
        <v>410</v>
      </c>
      <c r="L16" s="75">
        <v>410</v>
      </c>
      <c r="M16" s="75">
        <v>440</v>
      </c>
      <c r="N16" s="76">
        <f t="shared" si="1"/>
        <v>107.31707317073172</v>
      </c>
      <c r="O16" s="74">
        <v>120</v>
      </c>
      <c r="P16" s="75">
        <v>120</v>
      </c>
      <c r="Q16" s="355">
        <v>119</v>
      </c>
      <c r="R16" s="356">
        <f t="shared" si="2"/>
        <v>99.16666666666667</v>
      </c>
      <c r="S16" s="357"/>
      <c r="T16" s="357"/>
      <c r="U16" s="358"/>
      <c r="V16" s="359">
        <v>1045</v>
      </c>
      <c r="W16" s="360">
        <v>1045</v>
      </c>
      <c r="X16" s="361"/>
      <c r="Y16" s="362">
        <f t="shared" si="4"/>
        <v>0</v>
      </c>
      <c r="Z16" s="362">
        <f t="shared" si="3"/>
        <v>52</v>
      </c>
      <c r="AA16" s="362">
        <f t="shared" si="3"/>
        <v>52</v>
      </c>
    </row>
    <row r="17" spans="1:27" ht="16.5" customHeight="1">
      <c r="A17" s="72" t="s">
        <v>10</v>
      </c>
      <c r="B17" s="77"/>
      <c r="C17" s="74"/>
      <c r="D17" s="75">
        <v>1701</v>
      </c>
      <c r="E17" s="75">
        <v>1701</v>
      </c>
      <c r="F17" s="76">
        <f t="shared" si="0"/>
        <v>100</v>
      </c>
      <c r="G17" s="74"/>
      <c r="H17" s="75"/>
      <c r="I17" s="75"/>
      <c r="J17" s="76"/>
      <c r="K17" s="74">
        <v>550</v>
      </c>
      <c r="L17" s="75">
        <v>607</v>
      </c>
      <c r="M17" s="75">
        <v>615</v>
      </c>
      <c r="N17" s="76">
        <f t="shared" si="1"/>
        <v>101.31795716639209</v>
      </c>
      <c r="O17" s="74">
        <v>900</v>
      </c>
      <c r="P17" s="75">
        <v>900</v>
      </c>
      <c r="Q17" s="355">
        <v>1027</v>
      </c>
      <c r="R17" s="356">
        <f t="shared" si="2"/>
        <v>114.11111111111111</v>
      </c>
      <c r="S17" s="357"/>
      <c r="T17" s="357"/>
      <c r="U17" s="358"/>
      <c r="V17" s="359">
        <v>784</v>
      </c>
      <c r="W17" s="360">
        <v>784</v>
      </c>
      <c r="X17" s="361"/>
      <c r="Y17" s="362">
        <f t="shared" si="4"/>
        <v>0</v>
      </c>
      <c r="Z17" s="362">
        <f t="shared" si="3"/>
        <v>917</v>
      </c>
      <c r="AA17" s="362">
        <f t="shared" si="3"/>
        <v>917</v>
      </c>
    </row>
    <row r="18" spans="1:27" ht="16.5" customHeight="1">
      <c r="A18" s="72" t="s">
        <v>11</v>
      </c>
      <c r="B18" s="77"/>
      <c r="C18" s="74">
        <v>680</v>
      </c>
      <c r="D18" s="75">
        <v>731</v>
      </c>
      <c r="E18" s="75">
        <v>731</v>
      </c>
      <c r="F18" s="76">
        <f t="shared" si="0"/>
        <v>100</v>
      </c>
      <c r="G18" s="74"/>
      <c r="H18" s="75"/>
      <c r="I18" s="75"/>
      <c r="J18" s="76"/>
      <c r="K18" s="74">
        <v>80</v>
      </c>
      <c r="L18" s="75">
        <v>80</v>
      </c>
      <c r="M18" s="75">
        <f>68</f>
        <v>68</v>
      </c>
      <c r="N18" s="76">
        <f t="shared" si="1"/>
        <v>85</v>
      </c>
      <c r="O18" s="74">
        <v>220</v>
      </c>
      <c r="P18" s="75">
        <v>220</v>
      </c>
      <c r="Q18" s="355">
        <v>328</v>
      </c>
      <c r="R18" s="356">
        <f t="shared" si="2"/>
        <v>149.0909090909091</v>
      </c>
      <c r="S18" s="357"/>
      <c r="T18" s="357"/>
      <c r="U18" s="358">
        <v>660</v>
      </c>
      <c r="V18" s="359">
        <v>706</v>
      </c>
      <c r="W18" s="360">
        <f>706</f>
        <v>706</v>
      </c>
      <c r="X18" s="361"/>
      <c r="Y18" s="362">
        <f t="shared" si="4"/>
        <v>20</v>
      </c>
      <c r="Z18" s="362">
        <f t="shared" si="3"/>
        <v>25</v>
      </c>
      <c r="AA18" s="362">
        <f t="shared" si="3"/>
        <v>25</v>
      </c>
    </row>
    <row r="19" spans="1:27" ht="16.5" customHeight="1">
      <c r="A19" s="72" t="s">
        <v>242</v>
      </c>
      <c r="B19" s="77"/>
      <c r="C19" s="74">
        <v>4290</v>
      </c>
      <c r="D19" s="75">
        <v>4131</v>
      </c>
      <c r="E19" s="75">
        <v>4131</v>
      </c>
      <c r="F19" s="76">
        <f t="shared" si="0"/>
        <v>100</v>
      </c>
      <c r="G19" s="74"/>
      <c r="H19" s="75"/>
      <c r="I19" s="75"/>
      <c r="J19" s="76"/>
      <c r="K19" s="74">
        <v>1060</v>
      </c>
      <c r="L19" s="75">
        <v>1230</v>
      </c>
      <c r="M19" s="75">
        <v>1233</v>
      </c>
      <c r="N19" s="76">
        <f t="shared" si="1"/>
        <v>100.2439024390244</v>
      </c>
      <c r="O19" s="74">
        <v>1400</v>
      </c>
      <c r="P19" s="75">
        <v>1400</v>
      </c>
      <c r="Q19" s="355">
        <v>1679</v>
      </c>
      <c r="R19" s="356">
        <f t="shared" si="2"/>
        <v>119.92857142857143</v>
      </c>
      <c r="S19" s="357"/>
      <c r="T19" s="357"/>
      <c r="U19" s="358">
        <v>50</v>
      </c>
      <c r="V19" s="359">
        <v>84</v>
      </c>
      <c r="W19" s="360">
        <v>84</v>
      </c>
      <c r="X19" s="361"/>
      <c r="Y19" s="362">
        <f t="shared" si="4"/>
        <v>4240</v>
      </c>
      <c r="Z19" s="362">
        <f t="shared" si="3"/>
        <v>4047</v>
      </c>
      <c r="AA19" s="362">
        <f t="shared" si="3"/>
        <v>4047</v>
      </c>
    </row>
    <row r="20" spans="1:27" ht="16.5" customHeight="1">
      <c r="A20" s="72" t="s">
        <v>13</v>
      </c>
      <c r="B20" s="77"/>
      <c r="C20" s="74"/>
      <c r="D20" s="75">
        <v>4492</v>
      </c>
      <c r="E20" s="75">
        <v>4492</v>
      </c>
      <c r="F20" s="76">
        <f t="shared" si="0"/>
        <v>100</v>
      </c>
      <c r="G20" s="74"/>
      <c r="H20" s="75"/>
      <c r="I20" s="75"/>
      <c r="J20" s="76"/>
      <c r="K20" s="74">
        <v>500</v>
      </c>
      <c r="L20" s="75">
        <v>318</v>
      </c>
      <c r="M20" s="75">
        <v>324</v>
      </c>
      <c r="N20" s="76">
        <f t="shared" si="1"/>
        <v>101.88679245283019</v>
      </c>
      <c r="O20" s="74">
        <v>900</v>
      </c>
      <c r="P20" s="75">
        <v>900</v>
      </c>
      <c r="Q20" s="355">
        <v>956</v>
      </c>
      <c r="R20" s="356">
        <f t="shared" si="2"/>
        <v>106.22222222222221</v>
      </c>
      <c r="S20" s="357"/>
      <c r="T20" s="357"/>
      <c r="U20" s="358"/>
      <c r="V20" s="359">
        <v>1564</v>
      </c>
      <c r="W20" s="360">
        <v>1564</v>
      </c>
      <c r="X20" s="361"/>
      <c r="Y20" s="362">
        <f t="shared" si="4"/>
        <v>0</v>
      </c>
      <c r="Z20" s="362">
        <f t="shared" si="3"/>
        <v>2928</v>
      </c>
      <c r="AA20" s="362">
        <f t="shared" si="3"/>
        <v>2928</v>
      </c>
    </row>
    <row r="21" spans="1:27" ht="16.5" customHeight="1">
      <c r="A21" s="72" t="s">
        <v>14</v>
      </c>
      <c r="B21" s="77"/>
      <c r="C21" s="74"/>
      <c r="D21" s="75">
        <v>53</v>
      </c>
      <c r="E21" s="75">
        <v>53</v>
      </c>
      <c r="F21" s="76">
        <f t="shared" si="0"/>
        <v>100</v>
      </c>
      <c r="G21" s="74"/>
      <c r="H21" s="75"/>
      <c r="I21" s="75"/>
      <c r="J21" s="76"/>
      <c r="K21" s="74"/>
      <c r="L21" s="75"/>
      <c r="M21" s="75"/>
      <c r="N21" s="76"/>
      <c r="O21" s="74">
        <v>3</v>
      </c>
      <c r="P21" s="75">
        <v>3</v>
      </c>
      <c r="Q21" s="355">
        <v>3</v>
      </c>
      <c r="R21" s="356">
        <f t="shared" si="2"/>
        <v>100</v>
      </c>
      <c r="S21" s="357"/>
      <c r="T21" s="357"/>
      <c r="U21" s="358"/>
      <c r="V21" s="359">
        <v>53</v>
      </c>
      <c r="W21" s="360">
        <v>53</v>
      </c>
      <c r="X21" s="361"/>
      <c r="Y21" s="362">
        <f t="shared" si="4"/>
        <v>0</v>
      </c>
      <c r="Z21" s="362">
        <f t="shared" si="3"/>
        <v>0</v>
      </c>
      <c r="AA21" s="362">
        <f t="shared" si="3"/>
        <v>0</v>
      </c>
    </row>
    <row r="22" spans="1:27" ht="16.5" customHeight="1">
      <c r="A22" s="72" t="s">
        <v>15</v>
      </c>
      <c r="B22" s="77"/>
      <c r="C22" s="74">
        <v>400</v>
      </c>
      <c r="D22" s="75">
        <v>593</v>
      </c>
      <c r="E22" s="75">
        <v>593</v>
      </c>
      <c r="F22" s="76">
        <f t="shared" si="0"/>
        <v>100</v>
      </c>
      <c r="G22" s="74">
        <v>2</v>
      </c>
      <c r="H22" s="75">
        <v>2</v>
      </c>
      <c r="I22" s="75">
        <v>1</v>
      </c>
      <c r="J22" s="76">
        <f>SUM(I22/H22*100)</f>
        <v>50</v>
      </c>
      <c r="K22" s="74">
        <v>180</v>
      </c>
      <c r="L22" s="75">
        <v>226</v>
      </c>
      <c r="M22" s="75">
        <v>226</v>
      </c>
      <c r="N22" s="76">
        <f aca="true" t="shared" si="5" ref="N22:N34">SUM(M22/L22*100)</f>
        <v>100</v>
      </c>
      <c r="O22" s="74">
        <v>400</v>
      </c>
      <c r="P22" s="75">
        <v>330</v>
      </c>
      <c r="Q22" s="355">
        <v>377</v>
      </c>
      <c r="R22" s="356">
        <f aca="true" t="shared" si="6" ref="R22:R38">SUM(Q22/P22*100)</f>
        <v>114.24242424242424</v>
      </c>
      <c r="S22" s="357"/>
      <c r="T22" s="357"/>
      <c r="U22" s="358">
        <v>400</v>
      </c>
      <c r="V22" s="359">
        <v>485</v>
      </c>
      <c r="W22" s="360">
        <v>485</v>
      </c>
      <c r="X22" s="361"/>
      <c r="Y22" s="362">
        <f t="shared" si="4"/>
        <v>0</v>
      </c>
      <c r="Z22" s="362">
        <f t="shared" si="3"/>
        <v>108</v>
      </c>
      <c r="AA22" s="362">
        <f t="shared" si="3"/>
        <v>108</v>
      </c>
    </row>
    <row r="23" spans="1:27" ht="16.5" customHeight="1">
      <c r="A23" s="72" t="s">
        <v>16</v>
      </c>
      <c r="B23" s="77"/>
      <c r="C23" s="74">
        <v>750</v>
      </c>
      <c r="D23" s="75">
        <v>854</v>
      </c>
      <c r="E23" s="75">
        <v>854</v>
      </c>
      <c r="F23" s="76">
        <f t="shared" si="0"/>
        <v>100</v>
      </c>
      <c r="G23" s="74"/>
      <c r="H23" s="75"/>
      <c r="I23" s="75"/>
      <c r="J23" s="76"/>
      <c r="K23" s="74">
        <v>150</v>
      </c>
      <c r="L23" s="75">
        <v>150</v>
      </c>
      <c r="M23" s="75">
        <v>123</v>
      </c>
      <c r="N23" s="76">
        <f t="shared" si="5"/>
        <v>82</v>
      </c>
      <c r="O23" s="74">
        <v>360</v>
      </c>
      <c r="P23" s="75">
        <v>250</v>
      </c>
      <c r="Q23" s="355">
        <v>233</v>
      </c>
      <c r="R23" s="356">
        <f t="shared" si="6"/>
        <v>93.2</v>
      </c>
      <c r="S23" s="357"/>
      <c r="T23" s="357"/>
      <c r="U23" s="358">
        <v>330</v>
      </c>
      <c r="V23" s="359">
        <v>336</v>
      </c>
      <c r="W23" s="360">
        <v>336</v>
      </c>
      <c r="X23" s="361"/>
      <c r="Y23" s="362">
        <f t="shared" si="4"/>
        <v>420</v>
      </c>
      <c r="Z23" s="362">
        <f t="shared" si="3"/>
        <v>518</v>
      </c>
      <c r="AA23" s="362">
        <f t="shared" si="3"/>
        <v>518</v>
      </c>
    </row>
    <row r="24" spans="1:27" ht="16.5" customHeight="1">
      <c r="A24" s="72" t="s">
        <v>244</v>
      </c>
      <c r="B24" s="77"/>
      <c r="C24" s="74"/>
      <c r="D24" s="75">
        <v>207</v>
      </c>
      <c r="E24" s="75">
        <v>207</v>
      </c>
      <c r="F24" s="76">
        <f t="shared" si="0"/>
        <v>100</v>
      </c>
      <c r="G24" s="74"/>
      <c r="H24" s="75"/>
      <c r="I24" s="75"/>
      <c r="J24" s="76"/>
      <c r="K24" s="74">
        <v>60</v>
      </c>
      <c r="L24" s="75">
        <v>90</v>
      </c>
      <c r="M24" s="75">
        <v>86</v>
      </c>
      <c r="N24" s="76">
        <f t="shared" si="5"/>
        <v>95.55555555555556</v>
      </c>
      <c r="O24" s="74">
        <v>130</v>
      </c>
      <c r="P24" s="75">
        <v>130</v>
      </c>
      <c r="Q24" s="355">
        <v>138</v>
      </c>
      <c r="R24" s="356">
        <f t="shared" si="6"/>
        <v>106.15384615384616</v>
      </c>
      <c r="S24" s="357"/>
      <c r="T24" s="357"/>
      <c r="U24" s="358"/>
      <c r="V24" s="359">
        <v>207</v>
      </c>
      <c r="W24" s="360">
        <v>207</v>
      </c>
      <c r="X24" s="361"/>
      <c r="Y24" s="362">
        <f t="shared" si="4"/>
        <v>0</v>
      </c>
      <c r="Z24" s="362">
        <f t="shared" si="3"/>
        <v>0</v>
      </c>
      <c r="AA24" s="362">
        <f t="shared" si="3"/>
        <v>0</v>
      </c>
    </row>
    <row r="25" spans="1:27" ht="16.5" customHeight="1">
      <c r="A25" s="72" t="s">
        <v>18</v>
      </c>
      <c r="B25" s="77"/>
      <c r="C25" s="74"/>
      <c r="D25" s="75">
        <v>9919</v>
      </c>
      <c r="E25" s="75">
        <v>9919</v>
      </c>
      <c r="F25" s="76">
        <f t="shared" si="0"/>
        <v>100</v>
      </c>
      <c r="G25" s="74">
        <v>2</v>
      </c>
      <c r="H25" s="75">
        <v>7</v>
      </c>
      <c r="I25" s="75">
        <f>7-1</f>
        <v>6</v>
      </c>
      <c r="J25" s="76">
        <f>SUM(I25/H25*100)</f>
        <v>85.71428571428571</v>
      </c>
      <c r="K25" s="74">
        <v>1500</v>
      </c>
      <c r="L25" s="75">
        <v>2862</v>
      </c>
      <c r="M25" s="75">
        <v>2927</v>
      </c>
      <c r="N25" s="76">
        <f t="shared" si="5"/>
        <v>102.27113906359189</v>
      </c>
      <c r="O25" s="74">
        <v>4368</v>
      </c>
      <c r="P25" s="75">
        <v>4368</v>
      </c>
      <c r="Q25" s="355">
        <v>4801</v>
      </c>
      <c r="R25" s="356">
        <f t="shared" si="6"/>
        <v>109.91300366300368</v>
      </c>
      <c r="S25" s="357"/>
      <c r="T25" s="357"/>
      <c r="U25" s="358"/>
      <c r="V25" s="359">
        <v>756</v>
      </c>
      <c r="W25" s="360">
        <v>756</v>
      </c>
      <c r="X25" s="361"/>
      <c r="Y25" s="362">
        <f t="shared" si="4"/>
        <v>0</v>
      </c>
      <c r="Z25" s="362">
        <f t="shared" si="3"/>
        <v>9163</v>
      </c>
      <c r="AA25" s="362">
        <f t="shared" si="3"/>
        <v>9163</v>
      </c>
    </row>
    <row r="26" spans="1:27" ht="16.5" customHeight="1">
      <c r="A26" s="72" t="s">
        <v>58</v>
      </c>
      <c r="B26" s="77"/>
      <c r="C26" s="74">
        <v>346</v>
      </c>
      <c r="D26" s="75">
        <v>575</v>
      </c>
      <c r="E26" s="75">
        <v>575</v>
      </c>
      <c r="F26" s="76">
        <f t="shared" si="0"/>
        <v>100</v>
      </c>
      <c r="G26" s="74">
        <v>1</v>
      </c>
      <c r="H26" s="75">
        <v>1</v>
      </c>
      <c r="I26" s="75">
        <f>3-1</f>
        <v>2</v>
      </c>
      <c r="J26" s="76">
        <f>SUM(I26/H26*100)</f>
        <v>200</v>
      </c>
      <c r="K26" s="74">
        <v>40</v>
      </c>
      <c r="L26" s="75">
        <v>40</v>
      </c>
      <c r="M26" s="75">
        <v>40</v>
      </c>
      <c r="N26" s="76">
        <f t="shared" si="5"/>
        <v>100</v>
      </c>
      <c r="O26" s="74">
        <v>200</v>
      </c>
      <c r="P26" s="75">
        <v>200</v>
      </c>
      <c r="Q26" s="355">
        <v>250</v>
      </c>
      <c r="R26" s="356">
        <f t="shared" si="6"/>
        <v>125</v>
      </c>
      <c r="S26" s="357"/>
      <c r="T26" s="357"/>
      <c r="U26" s="358">
        <v>129</v>
      </c>
      <c r="V26" s="359">
        <v>138</v>
      </c>
      <c r="W26" s="360">
        <f>139-1</f>
        <v>138</v>
      </c>
      <c r="X26" s="361"/>
      <c r="Y26" s="362">
        <f t="shared" si="4"/>
        <v>217</v>
      </c>
      <c r="Z26" s="362">
        <f t="shared" si="3"/>
        <v>437</v>
      </c>
      <c r="AA26" s="362">
        <f t="shared" si="3"/>
        <v>437</v>
      </c>
    </row>
    <row r="27" spans="1:27" ht="16.5" customHeight="1">
      <c r="A27" s="72" t="s">
        <v>19</v>
      </c>
      <c r="B27" s="77"/>
      <c r="C27" s="74">
        <v>7746</v>
      </c>
      <c r="D27" s="75">
        <v>6278</v>
      </c>
      <c r="E27" s="75">
        <v>6278</v>
      </c>
      <c r="F27" s="76">
        <f t="shared" si="0"/>
        <v>100</v>
      </c>
      <c r="G27" s="74"/>
      <c r="H27" s="75">
        <v>4</v>
      </c>
      <c r="I27" s="75">
        <v>9</v>
      </c>
      <c r="J27" s="76">
        <f>SUM(I27/H27*100)</f>
        <v>225</v>
      </c>
      <c r="K27" s="74">
        <v>2010</v>
      </c>
      <c r="L27" s="75">
        <v>2160</v>
      </c>
      <c r="M27" s="75">
        <v>2157</v>
      </c>
      <c r="N27" s="76">
        <f t="shared" si="5"/>
        <v>99.86111111111111</v>
      </c>
      <c r="O27" s="74">
        <v>2924</v>
      </c>
      <c r="P27" s="75">
        <v>3014</v>
      </c>
      <c r="Q27" s="355">
        <v>2713</v>
      </c>
      <c r="R27" s="356">
        <f t="shared" si="6"/>
        <v>90.01327140013271</v>
      </c>
      <c r="S27" s="364"/>
      <c r="T27" s="364"/>
      <c r="U27" s="358">
        <v>1010</v>
      </c>
      <c r="V27" s="359">
        <v>1090</v>
      </c>
      <c r="W27" s="360">
        <v>1090</v>
      </c>
      <c r="X27" s="361"/>
      <c r="Y27" s="362">
        <f t="shared" si="4"/>
        <v>6736</v>
      </c>
      <c r="Z27" s="362">
        <f t="shared" si="3"/>
        <v>5188</v>
      </c>
      <c r="AA27" s="362">
        <f t="shared" si="3"/>
        <v>5188</v>
      </c>
    </row>
    <row r="28" spans="1:27" ht="16.5" customHeight="1">
      <c r="A28" s="72" t="s">
        <v>20</v>
      </c>
      <c r="B28" s="77"/>
      <c r="C28" s="74"/>
      <c r="D28" s="75">
        <v>1043</v>
      </c>
      <c r="E28" s="75">
        <f>1042+1</f>
        <v>1043</v>
      </c>
      <c r="F28" s="76">
        <f t="shared" si="0"/>
        <v>100</v>
      </c>
      <c r="G28" s="74">
        <v>20</v>
      </c>
      <c r="H28" s="75">
        <v>20</v>
      </c>
      <c r="I28" s="75">
        <v>17</v>
      </c>
      <c r="J28" s="76">
        <f>SUM(I28/H28*100)</f>
        <v>85</v>
      </c>
      <c r="K28" s="74">
        <v>100</v>
      </c>
      <c r="L28" s="75">
        <v>285</v>
      </c>
      <c r="M28" s="75">
        <v>185</v>
      </c>
      <c r="N28" s="76">
        <f t="shared" si="5"/>
        <v>64.91228070175438</v>
      </c>
      <c r="O28" s="74">
        <v>510</v>
      </c>
      <c r="P28" s="75">
        <v>510</v>
      </c>
      <c r="Q28" s="355">
        <v>611</v>
      </c>
      <c r="R28" s="356">
        <f t="shared" si="6"/>
        <v>119.80392156862744</v>
      </c>
      <c r="S28" s="364"/>
      <c r="T28" s="364"/>
      <c r="U28" s="358"/>
      <c r="V28" s="359">
        <v>1014</v>
      </c>
      <c r="W28" s="360">
        <v>1014</v>
      </c>
      <c r="X28" s="361"/>
      <c r="Y28" s="362">
        <f t="shared" si="4"/>
        <v>0</v>
      </c>
      <c r="Z28" s="362">
        <f t="shared" si="3"/>
        <v>29</v>
      </c>
      <c r="AA28" s="362">
        <f t="shared" si="3"/>
        <v>29</v>
      </c>
    </row>
    <row r="29" spans="1:27" ht="16.5" customHeight="1">
      <c r="A29" s="72" t="s">
        <v>21</v>
      </c>
      <c r="B29" s="77"/>
      <c r="C29" s="74"/>
      <c r="D29" s="75">
        <v>3216</v>
      </c>
      <c r="E29" s="75">
        <v>3216</v>
      </c>
      <c r="F29" s="76">
        <f t="shared" si="0"/>
        <v>100</v>
      </c>
      <c r="G29" s="74"/>
      <c r="H29" s="75">
        <v>2</v>
      </c>
      <c r="I29" s="75">
        <v>2</v>
      </c>
      <c r="J29" s="76">
        <f>SUM(I29/H29*100)</f>
        <v>100</v>
      </c>
      <c r="K29" s="74">
        <v>1000</v>
      </c>
      <c r="L29" s="75">
        <v>1511</v>
      </c>
      <c r="M29" s="75">
        <v>1511</v>
      </c>
      <c r="N29" s="76">
        <f t="shared" si="5"/>
        <v>100</v>
      </c>
      <c r="O29" s="74">
        <v>1523</v>
      </c>
      <c r="P29" s="75">
        <v>1536</v>
      </c>
      <c r="Q29" s="355">
        <v>1660</v>
      </c>
      <c r="R29" s="356">
        <f t="shared" si="6"/>
        <v>108.07291666666667</v>
      </c>
      <c r="S29" s="364"/>
      <c r="T29" s="364"/>
      <c r="U29" s="358"/>
      <c r="V29" s="359">
        <v>1971</v>
      </c>
      <c r="W29" s="360">
        <v>1971</v>
      </c>
      <c r="X29" s="361"/>
      <c r="Y29" s="362">
        <f t="shared" si="4"/>
        <v>0</v>
      </c>
      <c r="Z29" s="362">
        <f t="shared" si="4"/>
        <v>1245</v>
      </c>
      <c r="AA29" s="362">
        <f t="shared" si="4"/>
        <v>1245</v>
      </c>
    </row>
    <row r="30" spans="1:27" ht="16.5" customHeight="1">
      <c r="A30" s="72" t="s">
        <v>22</v>
      </c>
      <c r="B30" s="77"/>
      <c r="C30" s="74"/>
      <c r="D30" s="75">
        <v>2826</v>
      </c>
      <c r="E30" s="75">
        <v>2826</v>
      </c>
      <c r="F30" s="76">
        <f t="shared" si="0"/>
        <v>100</v>
      </c>
      <c r="G30" s="74"/>
      <c r="H30" s="75"/>
      <c r="I30" s="75"/>
      <c r="J30" s="76"/>
      <c r="K30" s="74">
        <v>1297</v>
      </c>
      <c r="L30" s="75">
        <v>1399</v>
      </c>
      <c r="M30" s="75">
        <v>1400</v>
      </c>
      <c r="N30" s="76">
        <f t="shared" si="5"/>
        <v>100.07147962830594</v>
      </c>
      <c r="O30" s="74">
        <v>1400</v>
      </c>
      <c r="P30" s="75">
        <v>1545</v>
      </c>
      <c r="Q30" s="355">
        <v>2295</v>
      </c>
      <c r="R30" s="356">
        <f t="shared" si="6"/>
        <v>148.54368932038835</v>
      </c>
      <c r="S30" s="364"/>
      <c r="T30" s="364"/>
      <c r="U30" s="358"/>
      <c r="V30" s="359">
        <v>1065</v>
      </c>
      <c r="W30" s="360">
        <v>1065</v>
      </c>
      <c r="X30" s="361"/>
      <c r="Y30" s="362">
        <f t="shared" si="4"/>
        <v>0</v>
      </c>
      <c r="Z30" s="362">
        <f t="shared" si="4"/>
        <v>1761</v>
      </c>
      <c r="AA30" s="362">
        <f t="shared" si="4"/>
        <v>1761</v>
      </c>
    </row>
    <row r="31" spans="1:27" ht="16.5" customHeight="1">
      <c r="A31" s="72" t="s">
        <v>23</v>
      </c>
      <c r="B31" s="77"/>
      <c r="C31" s="74">
        <v>3896</v>
      </c>
      <c r="D31" s="75">
        <v>4359</v>
      </c>
      <c r="E31" s="75">
        <v>4359</v>
      </c>
      <c r="F31" s="76">
        <f t="shared" si="0"/>
        <v>100</v>
      </c>
      <c r="G31" s="74">
        <v>2</v>
      </c>
      <c r="H31" s="75">
        <v>2</v>
      </c>
      <c r="I31" s="75">
        <f>2</f>
        <v>2</v>
      </c>
      <c r="J31" s="76">
        <f>SUM(I31/H31*100)</f>
        <v>100</v>
      </c>
      <c r="K31" s="74">
        <v>1000</v>
      </c>
      <c r="L31" s="75">
        <v>1300</v>
      </c>
      <c r="M31" s="75">
        <f>1300+1</f>
        <v>1301</v>
      </c>
      <c r="N31" s="76">
        <f t="shared" si="5"/>
        <v>100.07692307692308</v>
      </c>
      <c r="O31" s="74">
        <v>3000</v>
      </c>
      <c r="P31" s="75">
        <v>3000</v>
      </c>
      <c r="Q31" s="355">
        <v>2896</v>
      </c>
      <c r="R31" s="356">
        <f t="shared" si="6"/>
        <v>96.53333333333333</v>
      </c>
      <c r="S31" s="364"/>
      <c r="T31" s="364"/>
      <c r="U31" s="358">
        <v>1400</v>
      </c>
      <c r="V31" s="359">
        <v>1258</v>
      </c>
      <c r="W31" s="360">
        <v>1258</v>
      </c>
      <c r="X31" s="361"/>
      <c r="Y31" s="362">
        <f t="shared" si="4"/>
        <v>2496</v>
      </c>
      <c r="Z31" s="362">
        <f t="shared" si="4"/>
        <v>3101</v>
      </c>
      <c r="AA31" s="362">
        <f t="shared" si="4"/>
        <v>3101</v>
      </c>
    </row>
    <row r="32" spans="1:27" ht="16.5" customHeight="1">
      <c r="A32" s="72" t="s">
        <v>24</v>
      </c>
      <c r="B32" s="77"/>
      <c r="C32" s="74">
        <v>816</v>
      </c>
      <c r="D32" s="75">
        <v>3065</v>
      </c>
      <c r="E32" s="75">
        <v>3065</v>
      </c>
      <c r="F32" s="76">
        <f t="shared" si="0"/>
        <v>100</v>
      </c>
      <c r="G32" s="74">
        <v>2</v>
      </c>
      <c r="H32" s="75">
        <v>2</v>
      </c>
      <c r="I32" s="75">
        <f>8</f>
        <v>8</v>
      </c>
      <c r="J32" s="76">
        <f>SUM(I32/H32*100)</f>
        <v>400</v>
      </c>
      <c r="K32" s="74">
        <v>500</v>
      </c>
      <c r="L32" s="75">
        <v>657</v>
      </c>
      <c r="M32" s="75">
        <v>657</v>
      </c>
      <c r="N32" s="76">
        <f t="shared" si="5"/>
        <v>100</v>
      </c>
      <c r="O32" s="74">
        <v>850</v>
      </c>
      <c r="P32" s="75">
        <v>850</v>
      </c>
      <c r="Q32" s="355">
        <v>981</v>
      </c>
      <c r="R32" s="356">
        <f t="shared" si="6"/>
        <v>115.41176470588235</v>
      </c>
      <c r="S32" s="364"/>
      <c r="T32" s="364"/>
      <c r="U32" s="358">
        <v>816</v>
      </c>
      <c r="V32" s="359">
        <v>534</v>
      </c>
      <c r="W32" s="360">
        <v>534</v>
      </c>
      <c r="X32" s="361"/>
      <c r="Y32" s="362">
        <f t="shared" si="4"/>
        <v>0</v>
      </c>
      <c r="Z32" s="362">
        <f t="shared" si="4"/>
        <v>2531</v>
      </c>
      <c r="AA32" s="362">
        <f t="shared" si="4"/>
        <v>2531</v>
      </c>
    </row>
    <row r="33" spans="1:27" ht="16.5" customHeight="1">
      <c r="A33" s="72" t="s">
        <v>25</v>
      </c>
      <c r="B33" s="77"/>
      <c r="C33" s="74"/>
      <c r="D33" s="75">
        <v>567</v>
      </c>
      <c r="E33" s="75">
        <v>567</v>
      </c>
      <c r="F33" s="76">
        <f t="shared" si="0"/>
        <v>100</v>
      </c>
      <c r="G33" s="74"/>
      <c r="H33" s="75">
        <v>1</v>
      </c>
      <c r="I33" s="75">
        <v>1</v>
      </c>
      <c r="J33" s="76">
        <f>SUM(I33/H33*100)</f>
        <v>100</v>
      </c>
      <c r="K33" s="74"/>
      <c r="L33" s="75">
        <v>141</v>
      </c>
      <c r="M33" s="75">
        <v>141</v>
      </c>
      <c r="N33" s="76">
        <f t="shared" si="5"/>
        <v>100</v>
      </c>
      <c r="O33" s="74">
        <v>500</v>
      </c>
      <c r="P33" s="75">
        <v>500</v>
      </c>
      <c r="Q33" s="355">
        <v>492</v>
      </c>
      <c r="R33" s="356">
        <f t="shared" si="6"/>
        <v>98.4</v>
      </c>
      <c r="S33" s="357"/>
      <c r="T33" s="357"/>
      <c r="U33" s="358"/>
      <c r="V33" s="359">
        <v>567</v>
      </c>
      <c r="W33" s="360">
        <v>567</v>
      </c>
      <c r="X33" s="361"/>
      <c r="Y33" s="362">
        <f t="shared" si="4"/>
        <v>0</v>
      </c>
      <c r="Z33" s="362">
        <f t="shared" si="4"/>
        <v>0</v>
      </c>
      <c r="AA33" s="362">
        <f t="shared" si="4"/>
        <v>0</v>
      </c>
    </row>
    <row r="34" spans="1:27" ht="16.5" customHeight="1">
      <c r="A34" s="72" t="s">
        <v>26</v>
      </c>
      <c r="B34" s="77"/>
      <c r="C34" s="74"/>
      <c r="D34" s="75">
        <v>180</v>
      </c>
      <c r="E34" s="75">
        <v>180</v>
      </c>
      <c r="F34" s="76">
        <f t="shared" si="0"/>
        <v>100</v>
      </c>
      <c r="G34" s="74"/>
      <c r="H34" s="75"/>
      <c r="I34" s="75"/>
      <c r="J34" s="76"/>
      <c r="K34" s="74">
        <v>180</v>
      </c>
      <c r="L34" s="75">
        <v>180</v>
      </c>
      <c r="M34" s="75">
        <v>227</v>
      </c>
      <c r="N34" s="76">
        <f t="shared" si="5"/>
        <v>126.11111111111111</v>
      </c>
      <c r="O34" s="74">
        <v>440</v>
      </c>
      <c r="P34" s="75">
        <v>440</v>
      </c>
      <c r="Q34" s="355">
        <v>512</v>
      </c>
      <c r="R34" s="356">
        <f t="shared" si="6"/>
        <v>116.36363636363636</v>
      </c>
      <c r="S34" s="357"/>
      <c r="T34" s="357"/>
      <c r="U34" s="358"/>
      <c r="V34" s="359">
        <v>168</v>
      </c>
      <c r="W34" s="360">
        <v>168</v>
      </c>
      <c r="X34" s="361"/>
      <c r="Y34" s="362">
        <f t="shared" si="4"/>
        <v>0</v>
      </c>
      <c r="Z34" s="362">
        <f t="shared" si="4"/>
        <v>12</v>
      </c>
      <c r="AA34" s="362">
        <f t="shared" si="4"/>
        <v>12</v>
      </c>
    </row>
    <row r="35" spans="1:27" ht="16.5" customHeight="1">
      <c r="A35" s="72" t="s">
        <v>27</v>
      </c>
      <c r="B35" s="77"/>
      <c r="C35" s="74">
        <v>6600</v>
      </c>
      <c r="D35" s="75">
        <v>7021</v>
      </c>
      <c r="E35" s="75">
        <v>7021</v>
      </c>
      <c r="F35" s="76">
        <f t="shared" si="0"/>
        <v>100</v>
      </c>
      <c r="G35" s="74"/>
      <c r="H35" s="75"/>
      <c r="I35" s="75"/>
      <c r="J35" s="76"/>
      <c r="K35" s="74">
        <v>3500</v>
      </c>
      <c r="L35" s="75">
        <v>3387</v>
      </c>
      <c r="M35" s="75">
        <v>3548</v>
      </c>
      <c r="N35" s="76">
        <f>SUM(M35/L35*100)</f>
        <v>104.75346914673753</v>
      </c>
      <c r="O35" s="74">
        <v>5222</v>
      </c>
      <c r="P35" s="75">
        <v>5100</v>
      </c>
      <c r="Q35" s="355">
        <v>5368</v>
      </c>
      <c r="R35" s="356">
        <f t="shared" si="6"/>
        <v>105.25490196078431</v>
      </c>
      <c r="S35" s="357"/>
      <c r="T35" s="357"/>
      <c r="U35" s="358">
        <v>2600</v>
      </c>
      <c r="V35" s="359">
        <v>2126</v>
      </c>
      <c r="W35" s="360">
        <v>2126</v>
      </c>
      <c r="X35" s="361"/>
      <c r="Y35" s="362">
        <f t="shared" si="4"/>
        <v>4000</v>
      </c>
      <c r="Z35" s="362">
        <f t="shared" si="4"/>
        <v>4895</v>
      </c>
      <c r="AA35" s="362">
        <f t="shared" si="4"/>
        <v>4895</v>
      </c>
    </row>
    <row r="36" spans="1:27" ht="16.5" customHeight="1">
      <c r="A36" s="72" t="s">
        <v>28</v>
      </c>
      <c r="B36" s="77"/>
      <c r="C36" s="74">
        <v>290</v>
      </c>
      <c r="D36" s="75">
        <v>384</v>
      </c>
      <c r="E36" s="75">
        <v>384</v>
      </c>
      <c r="F36" s="76">
        <f t="shared" si="0"/>
        <v>100</v>
      </c>
      <c r="G36" s="74"/>
      <c r="H36" s="75"/>
      <c r="I36" s="75"/>
      <c r="J36" s="76"/>
      <c r="K36" s="74">
        <v>100</v>
      </c>
      <c r="L36" s="75">
        <v>100</v>
      </c>
      <c r="M36" s="75">
        <v>102</v>
      </c>
      <c r="N36" s="76">
        <f>SUM(M36/L36*100)</f>
        <v>102</v>
      </c>
      <c r="O36" s="74">
        <v>260</v>
      </c>
      <c r="P36" s="75">
        <v>200</v>
      </c>
      <c r="Q36" s="355">
        <v>297</v>
      </c>
      <c r="R36" s="356">
        <f t="shared" si="6"/>
        <v>148.5</v>
      </c>
      <c r="S36" s="357"/>
      <c r="T36" s="357"/>
      <c r="U36" s="358">
        <v>290</v>
      </c>
      <c r="V36" s="359">
        <v>349</v>
      </c>
      <c r="W36" s="360">
        <v>349</v>
      </c>
      <c r="X36" s="361"/>
      <c r="Y36" s="362">
        <f t="shared" si="4"/>
        <v>0</v>
      </c>
      <c r="Z36" s="362">
        <f t="shared" si="4"/>
        <v>35</v>
      </c>
      <c r="AA36" s="362">
        <f t="shared" si="4"/>
        <v>35</v>
      </c>
    </row>
    <row r="37" spans="1:27" ht="16.5" customHeight="1">
      <c r="A37" s="72" t="s">
        <v>325</v>
      </c>
      <c r="B37" s="77"/>
      <c r="C37" s="74">
        <v>2100</v>
      </c>
      <c r="D37" s="75">
        <v>2396</v>
      </c>
      <c r="E37" s="75">
        <v>2396</v>
      </c>
      <c r="F37" s="76">
        <f t="shared" si="0"/>
        <v>100</v>
      </c>
      <c r="G37" s="74"/>
      <c r="H37" s="75"/>
      <c r="I37" s="75"/>
      <c r="J37" s="76"/>
      <c r="K37" s="74">
        <v>590</v>
      </c>
      <c r="L37" s="75">
        <v>590</v>
      </c>
      <c r="M37" s="75">
        <v>804</v>
      </c>
      <c r="N37" s="76">
        <f>SUM(M37/L37*100)</f>
        <v>136.27118644067798</v>
      </c>
      <c r="O37" s="74">
        <v>750</v>
      </c>
      <c r="P37" s="75">
        <v>750</v>
      </c>
      <c r="Q37" s="355">
        <v>847</v>
      </c>
      <c r="R37" s="356">
        <f t="shared" si="6"/>
        <v>112.93333333333334</v>
      </c>
      <c r="S37" s="357"/>
      <c r="T37" s="357"/>
      <c r="U37" s="358">
        <v>500</v>
      </c>
      <c r="V37" s="359">
        <v>784</v>
      </c>
      <c r="W37" s="360">
        <v>784</v>
      </c>
      <c r="X37" s="361"/>
      <c r="Y37" s="362">
        <f t="shared" si="4"/>
        <v>1600</v>
      </c>
      <c r="Z37" s="362">
        <f t="shared" si="4"/>
        <v>1612</v>
      </c>
      <c r="AA37" s="362">
        <f t="shared" si="4"/>
        <v>1612</v>
      </c>
    </row>
    <row r="38" spans="1:27" ht="16.5" customHeight="1">
      <c r="A38" s="72" t="s">
        <v>29</v>
      </c>
      <c r="B38" s="77"/>
      <c r="C38" s="74"/>
      <c r="D38" s="75">
        <v>144</v>
      </c>
      <c r="E38" s="75">
        <v>144</v>
      </c>
      <c r="F38" s="76">
        <f t="shared" si="0"/>
        <v>100</v>
      </c>
      <c r="G38" s="74"/>
      <c r="H38" s="75"/>
      <c r="I38" s="75"/>
      <c r="J38" s="76"/>
      <c r="K38" s="74"/>
      <c r="L38" s="75"/>
      <c r="M38" s="75"/>
      <c r="N38" s="76"/>
      <c r="O38" s="74">
        <v>80</v>
      </c>
      <c r="P38" s="75">
        <v>82</v>
      </c>
      <c r="Q38" s="355">
        <v>88</v>
      </c>
      <c r="R38" s="356">
        <f t="shared" si="6"/>
        <v>107.31707317073172</v>
      </c>
      <c r="U38" s="365"/>
      <c r="V38" s="359">
        <v>144</v>
      </c>
      <c r="W38" s="360">
        <v>144</v>
      </c>
      <c r="X38" s="361"/>
      <c r="Y38" s="362">
        <f t="shared" si="4"/>
        <v>0</v>
      </c>
      <c r="Z38" s="362">
        <f t="shared" si="4"/>
        <v>0</v>
      </c>
      <c r="AA38" s="362">
        <f t="shared" si="4"/>
        <v>0</v>
      </c>
    </row>
    <row r="39" spans="1:27" ht="16.5" customHeight="1">
      <c r="A39" s="72" t="s">
        <v>30</v>
      </c>
      <c r="B39" s="77"/>
      <c r="C39" s="74"/>
      <c r="D39" s="75">
        <v>53</v>
      </c>
      <c r="E39" s="75">
        <v>53</v>
      </c>
      <c r="F39" s="76">
        <f t="shared" si="0"/>
        <v>100</v>
      </c>
      <c r="G39" s="74"/>
      <c r="H39" s="75"/>
      <c r="I39" s="75"/>
      <c r="J39" s="76"/>
      <c r="K39" s="74"/>
      <c r="L39" s="75"/>
      <c r="M39" s="75"/>
      <c r="N39" s="76"/>
      <c r="O39" s="74"/>
      <c r="P39" s="75"/>
      <c r="Q39" s="355"/>
      <c r="R39" s="366"/>
      <c r="S39" s="357"/>
      <c r="T39" s="357"/>
      <c r="U39" s="358"/>
      <c r="V39" s="359">
        <v>53</v>
      </c>
      <c r="W39" s="360">
        <v>53</v>
      </c>
      <c r="X39" s="361"/>
      <c r="Y39" s="362">
        <f t="shared" si="4"/>
        <v>0</v>
      </c>
      <c r="Z39" s="362">
        <f t="shared" si="4"/>
        <v>0</v>
      </c>
      <c r="AA39" s="362">
        <f t="shared" si="4"/>
        <v>0</v>
      </c>
    </row>
    <row r="40" spans="1:27" ht="16.5" customHeight="1">
      <c r="A40" s="72" t="s">
        <v>31</v>
      </c>
      <c r="B40" s="77"/>
      <c r="C40" s="74"/>
      <c r="D40" s="75">
        <v>307</v>
      </c>
      <c r="E40" s="75">
        <v>307</v>
      </c>
      <c r="F40" s="76">
        <f t="shared" si="0"/>
        <v>100</v>
      </c>
      <c r="G40" s="74"/>
      <c r="H40" s="75"/>
      <c r="I40" s="75"/>
      <c r="J40" s="76"/>
      <c r="K40" s="74"/>
      <c r="L40" s="75"/>
      <c r="M40" s="75"/>
      <c r="N40" s="76"/>
      <c r="O40" s="74">
        <v>10</v>
      </c>
      <c r="P40" s="75">
        <v>10</v>
      </c>
      <c r="Q40" s="355">
        <v>7</v>
      </c>
      <c r="R40" s="356">
        <f>SUM(Q40/P40*100)</f>
        <v>70</v>
      </c>
      <c r="S40" s="357"/>
      <c r="T40" s="357"/>
      <c r="U40" s="358"/>
      <c r="V40" s="359">
        <v>307</v>
      </c>
      <c r="W40" s="360">
        <v>307</v>
      </c>
      <c r="X40" s="367"/>
      <c r="Y40" s="362">
        <f t="shared" si="4"/>
        <v>0</v>
      </c>
      <c r="Z40" s="362">
        <f t="shared" si="4"/>
        <v>0</v>
      </c>
      <c r="AA40" s="362">
        <f t="shared" si="4"/>
        <v>0</v>
      </c>
    </row>
    <row r="41" spans="1:27" ht="16.5" customHeight="1">
      <c r="A41" s="72" t="s">
        <v>32</v>
      </c>
      <c r="B41" s="73"/>
      <c r="C41" s="74"/>
      <c r="D41" s="75">
        <v>44</v>
      </c>
      <c r="E41" s="75">
        <v>44</v>
      </c>
      <c r="F41" s="76">
        <f t="shared" si="0"/>
        <v>100</v>
      </c>
      <c r="G41" s="74"/>
      <c r="H41" s="75"/>
      <c r="I41" s="75"/>
      <c r="J41" s="76"/>
      <c r="K41" s="74"/>
      <c r="L41" s="75"/>
      <c r="M41" s="75"/>
      <c r="N41" s="76"/>
      <c r="O41" s="74">
        <v>10</v>
      </c>
      <c r="P41" s="75">
        <v>15</v>
      </c>
      <c r="Q41" s="355">
        <v>15</v>
      </c>
      <c r="R41" s="356">
        <f>SUM(Q41/P41*100)</f>
        <v>100</v>
      </c>
      <c r="S41" s="357"/>
      <c r="T41" s="357"/>
      <c r="U41" s="358"/>
      <c r="V41" s="359">
        <v>44</v>
      </c>
      <c r="W41" s="360">
        <v>44</v>
      </c>
      <c r="X41" s="361"/>
      <c r="Y41" s="362">
        <f t="shared" si="4"/>
        <v>0</v>
      </c>
      <c r="Z41" s="362">
        <f t="shared" si="4"/>
        <v>0</v>
      </c>
      <c r="AA41" s="362">
        <f t="shared" si="4"/>
        <v>0</v>
      </c>
    </row>
    <row r="42" spans="1:27" ht="15" customHeight="1" thickBot="1">
      <c r="A42" s="78"/>
      <c r="B42" s="79"/>
      <c r="C42" s="80"/>
      <c r="D42" s="81"/>
      <c r="E42" s="81"/>
      <c r="F42" s="83"/>
      <c r="G42" s="80"/>
      <c r="H42" s="81"/>
      <c r="I42" s="81"/>
      <c r="J42" s="83"/>
      <c r="K42" s="80"/>
      <c r="L42" s="81"/>
      <c r="M42" s="81"/>
      <c r="N42" s="83"/>
      <c r="O42" s="368"/>
      <c r="P42" s="369"/>
      <c r="Q42" s="370"/>
      <c r="R42" s="371"/>
      <c r="S42" s="357"/>
      <c r="T42" s="357"/>
      <c r="U42" s="358">
        <f aca="true" t="shared" si="7" ref="U42:AA42">SUM(U13:U41)</f>
        <v>10565</v>
      </c>
      <c r="V42" s="358">
        <f t="shared" si="7"/>
        <v>21603</v>
      </c>
      <c r="W42" s="358">
        <f t="shared" si="7"/>
        <v>21603</v>
      </c>
      <c r="X42" s="358">
        <f t="shared" si="7"/>
        <v>0</v>
      </c>
      <c r="Y42" s="358">
        <f t="shared" si="7"/>
        <v>24759</v>
      </c>
      <c r="Z42" s="358">
        <f t="shared" si="7"/>
        <v>43067</v>
      </c>
      <c r="AA42" s="358">
        <f t="shared" si="7"/>
        <v>43067</v>
      </c>
    </row>
    <row r="43" spans="1:27" ht="15" customHeight="1">
      <c r="A43" s="4"/>
      <c r="B43" s="14"/>
      <c r="C43" s="4"/>
      <c r="D43" s="4"/>
      <c r="E43" s="84"/>
      <c r="F43" s="7"/>
      <c r="G43" s="84"/>
      <c r="H43" s="84"/>
      <c r="I43" s="84"/>
      <c r="J43" s="7"/>
      <c r="K43" s="84"/>
      <c r="L43" s="84"/>
      <c r="M43" s="84"/>
      <c r="N43" s="7"/>
      <c r="O43" s="84"/>
      <c r="P43" s="84"/>
      <c r="Q43" s="640"/>
      <c r="R43" s="7"/>
      <c r="S43" s="357"/>
      <c r="T43" s="357"/>
      <c r="U43" s="365"/>
      <c r="V43" s="360"/>
      <c r="W43" s="360"/>
      <c r="X43" s="660"/>
      <c r="Y43" s="362">
        <f t="shared" si="4"/>
        <v>0</v>
      </c>
      <c r="Z43" s="362">
        <f t="shared" si="4"/>
        <v>0</v>
      </c>
      <c r="AA43" s="362">
        <f t="shared" si="4"/>
        <v>0</v>
      </c>
    </row>
    <row r="44" spans="1:27" ht="15" customHeight="1" thickBot="1">
      <c r="A44" s="4"/>
      <c r="B44" s="14"/>
      <c r="C44" s="4"/>
      <c r="D44" s="4"/>
      <c r="E44" s="4"/>
      <c r="F44" s="7"/>
      <c r="G44" s="4"/>
      <c r="H44" s="4"/>
      <c r="I44" s="4"/>
      <c r="J44" s="7"/>
      <c r="K44" s="4"/>
      <c r="L44" s="4"/>
      <c r="M44" s="4"/>
      <c r="N44" s="7"/>
      <c r="O44" s="4"/>
      <c r="P44" s="4"/>
      <c r="Q44" s="640"/>
      <c r="R44" s="7"/>
      <c r="S44" s="357"/>
      <c r="T44" s="357"/>
      <c r="U44" s="365"/>
      <c r="V44" s="360"/>
      <c r="W44" s="360"/>
      <c r="X44" s="660"/>
      <c r="Y44" s="362">
        <f t="shared" si="4"/>
        <v>0</v>
      </c>
      <c r="Z44" s="362">
        <f t="shared" si="4"/>
        <v>0</v>
      </c>
      <c r="AA44" s="362">
        <f t="shared" si="4"/>
        <v>0</v>
      </c>
    </row>
    <row r="45" spans="1:27" ht="16.5" customHeight="1" thickBot="1">
      <c r="A45" s="49" t="s">
        <v>81</v>
      </c>
      <c r="B45" s="4"/>
      <c r="C45" s="87">
        <f>SUM(C13:C41)</f>
        <v>35324</v>
      </c>
      <c r="D45" s="88">
        <f>SUM(D13:D41)</f>
        <v>64670</v>
      </c>
      <c r="E45" s="88">
        <f>SUM(E13:E41)</f>
        <v>64670</v>
      </c>
      <c r="F45" s="89">
        <f>SUM(E45/D45*100)</f>
        <v>100</v>
      </c>
      <c r="G45" s="87">
        <f>SUM(G13:G41)</f>
        <v>29</v>
      </c>
      <c r="H45" s="88">
        <f>SUM(H13:H41)</f>
        <v>51</v>
      </c>
      <c r="I45" s="88">
        <f>SUM(I13:I41)</f>
        <v>53</v>
      </c>
      <c r="J45" s="89">
        <f>SUM(I45/H45*100)</f>
        <v>103.921568627451</v>
      </c>
      <c r="K45" s="87">
        <f>SUM(K13:K41)</f>
        <v>28127</v>
      </c>
      <c r="L45" s="88">
        <f>SUM(L13:L41)</f>
        <v>32404</v>
      </c>
      <c r="M45" s="88">
        <f>SUM(M13:M41)</f>
        <v>32796</v>
      </c>
      <c r="N45" s="89">
        <f>SUM(M45/L45*100)</f>
        <v>101.20972719417355</v>
      </c>
      <c r="O45" s="87">
        <f>SUM(O13:O41)</f>
        <v>55140</v>
      </c>
      <c r="P45" s="88">
        <f>SUM(P13:P41)</f>
        <v>55233</v>
      </c>
      <c r="Q45" s="372">
        <f>SUM(Q13:Q41)</f>
        <v>50266</v>
      </c>
      <c r="R45" s="373">
        <f>SUM(Q45/P45*100)</f>
        <v>91.00718773197183</v>
      </c>
      <c r="S45" s="473"/>
      <c r="T45" s="473"/>
      <c r="U45" s="359"/>
      <c r="V45" s="359"/>
      <c r="W45" s="359"/>
      <c r="X45" s="661"/>
      <c r="Y45" s="362"/>
      <c r="Z45" s="365"/>
      <c r="AA45" s="365"/>
    </row>
    <row r="46" spans="6:25" ht="15.75">
      <c r="F46" s="303"/>
      <c r="G46" s="383"/>
      <c r="H46" s="383"/>
      <c r="I46" s="383"/>
      <c r="M46" s="104"/>
      <c r="S46" s="169"/>
      <c r="T46" s="169"/>
      <c r="U46" s="170"/>
      <c r="V46" s="170"/>
      <c r="W46" s="170"/>
      <c r="X46" s="170"/>
      <c r="Y46" s="170"/>
    </row>
    <row r="47" spans="6:27" s="105" customFormat="1" ht="15.75">
      <c r="F47" s="363"/>
      <c r="G47" s="662"/>
      <c r="H47" s="662"/>
      <c r="I47" s="662"/>
      <c r="S47" s="609"/>
      <c r="T47" s="609"/>
      <c r="U47" s="663"/>
      <c r="V47" s="663"/>
      <c r="W47" s="663"/>
      <c r="X47" s="663"/>
      <c r="Y47" s="663"/>
      <c r="Z47" s="664"/>
      <c r="AA47" s="664"/>
    </row>
    <row r="48" spans="19:25" ht="15.75">
      <c r="S48" s="169"/>
      <c r="T48" s="169"/>
      <c r="U48" s="170"/>
      <c r="V48" s="170"/>
      <c r="W48" s="170"/>
      <c r="X48" s="170"/>
      <c r="Y48" s="170"/>
    </row>
    <row r="49" spans="2:27" ht="15.75">
      <c r="B49" s="2" t="s">
        <v>281</v>
      </c>
      <c r="C49" s="6">
        <v>35324</v>
      </c>
      <c r="D49" s="6">
        <v>64670</v>
      </c>
      <c r="E49" s="6">
        <v>64670</v>
      </c>
      <c r="F49" s="6"/>
      <c r="G49" s="6">
        <v>29</v>
      </c>
      <c r="H49" s="6">
        <v>51</v>
      </c>
      <c r="I49" s="6">
        <v>53</v>
      </c>
      <c r="J49" s="6"/>
      <c r="K49" s="6">
        <v>28127</v>
      </c>
      <c r="L49" s="6">
        <v>32404</v>
      </c>
      <c r="M49" s="6">
        <v>32796</v>
      </c>
      <c r="N49" s="6"/>
      <c r="O49" s="6">
        <v>55140</v>
      </c>
      <c r="P49" s="6">
        <v>55233</v>
      </c>
      <c r="Q49" s="6">
        <v>50266</v>
      </c>
      <c r="R49" s="6"/>
      <c r="S49" s="169"/>
      <c r="T49" s="169"/>
      <c r="U49" s="170">
        <v>10565</v>
      </c>
      <c r="V49" s="170">
        <v>21603</v>
      </c>
      <c r="W49" s="170">
        <v>21603</v>
      </c>
      <c r="X49" s="170"/>
      <c r="Y49" s="170">
        <v>24759</v>
      </c>
      <c r="Z49" s="166">
        <v>43067</v>
      </c>
      <c r="AA49" s="166">
        <v>43067</v>
      </c>
    </row>
    <row r="50" spans="19:25" ht="15.75" customHeight="1">
      <c r="S50" s="169"/>
      <c r="T50" s="169"/>
      <c r="U50" s="170"/>
      <c r="V50" s="170"/>
      <c r="W50" s="170"/>
      <c r="X50" s="170"/>
      <c r="Y50" s="170"/>
    </row>
    <row r="51" ht="15.75" customHeight="1"/>
    <row r="52" ht="15.75" customHeight="1"/>
    <row r="53" ht="15.75" customHeight="1"/>
    <row r="54" ht="15.75" customHeight="1"/>
    <row r="55" ht="18" customHeight="1"/>
    <row r="56" ht="18" customHeight="1"/>
    <row r="58" ht="18" customHeight="1"/>
    <row r="59" ht="13.5" customHeight="1"/>
    <row r="60" ht="15.75" customHeight="1"/>
    <row r="62" ht="13.5" customHeight="1"/>
    <row r="63" ht="12" customHeight="1"/>
    <row r="64" ht="15.75" customHeight="1"/>
    <row r="65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mergeCells count="10">
    <mergeCell ref="A2:R2"/>
    <mergeCell ref="G7:J7"/>
    <mergeCell ref="O7:R7"/>
    <mergeCell ref="A4:R4"/>
    <mergeCell ref="U11:W11"/>
    <mergeCell ref="Y11:AA11"/>
    <mergeCell ref="C10:F10"/>
    <mergeCell ref="G10:J10"/>
    <mergeCell ref="K10:N10"/>
    <mergeCell ref="O10:R10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B96"/>
  <sheetViews>
    <sheetView showZeros="0" view="pageBreakPreview" zoomScale="60" workbookViewId="0" topLeftCell="A10">
      <pane xSplit="1" topLeftCell="E1" activePane="topRight" state="frozen"/>
      <selection pane="topLeft" activeCell="J27" sqref="J27"/>
      <selection pane="topRight" activeCell="T36" sqref="T36"/>
    </sheetView>
  </sheetViews>
  <sheetFormatPr defaultColWidth="12.69921875" defaultRowHeight="15"/>
  <cols>
    <col min="1" max="1" width="12.69921875" style="2" customWidth="1"/>
    <col min="2" max="2" width="13.796875" style="2" customWidth="1"/>
    <col min="3" max="5" width="11.796875" style="2" customWidth="1"/>
    <col min="6" max="6" width="7.59765625" style="2" customWidth="1"/>
    <col min="7" max="9" width="11.3984375" style="2" customWidth="1"/>
    <col min="10" max="10" width="6.3984375" style="2" customWidth="1"/>
    <col min="11" max="13" width="12" style="2" customWidth="1"/>
    <col min="14" max="14" width="6.69921875" style="2" customWidth="1"/>
    <col min="15" max="17" width="11.69921875" style="2" customWidth="1"/>
    <col min="18" max="18" width="6.796875" style="2" customWidth="1"/>
    <col min="19" max="19" width="7.19921875" style="2" customWidth="1"/>
    <col min="20" max="21" width="7.796875" style="2" customWidth="1"/>
    <col min="22" max="22" width="8.796875" style="2" customWidth="1"/>
    <col min="23" max="23" width="10.19921875" style="2" customWidth="1"/>
    <col min="24" max="24" width="8.3984375" style="2" customWidth="1"/>
    <col min="25" max="26" width="5.796875" style="2" customWidth="1"/>
    <col min="27" max="29" width="6.796875" style="2" customWidth="1"/>
    <col min="30" max="34" width="5.796875" style="2" customWidth="1"/>
    <col min="35" max="37" width="12.69921875" style="2" customWidth="1"/>
    <col min="38" max="38" width="6.796875" style="2" customWidth="1"/>
    <col min="39" max="41" width="7.796875" style="2" customWidth="1"/>
    <col min="42" max="42" width="5.796875" style="2" customWidth="1"/>
    <col min="43" max="45" width="7.796875" style="2" customWidth="1"/>
    <col min="46" max="46" width="5.796875" style="2" customWidth="1"/>
    <col min="47" max="49" width="7.796875" style="2" customWidth="1"/>
    <col min="50" max="50" width="5.796875" style="2" customWidth="1"/>
    <col min="51" max="51" width="7.796875" style="2" customWidth="1"/>
    <col min="52" max="52" width="6.796875" style="2" customWidth="1"/>
    <col min="53" max="53" width="7.796875" style="2" customWidth="1"/>
    <col min="54" max="54" width="5.796875" style="2" customWidth="1"/>
    <col min="55" max="55" width="7.796875" style="2" customWidth="1"/>
    <col min="56" max="56" width="6.796875" style="2" customWidth="1"/>
    <col min="57" max="57" width="7.796875" style="2" customWidth="1"/>
    <col min="58" max="58" width="5.796875" style="2" customWidth="1"/>
    <col min="59" max="59" width="7.796875" style="2" customWidth="1"/>
    <col min="60" max="60" width="6.796875" style="2" customWidth="1"/>
    <col min="61" max="61" width="7.796875" style="2" customWidth="1"/>
    <col min="62" max="62" width="5.796875" style="2" customWidth="1"/>
    <col min="63" max="66" width="7.796875" style="2" customWidth="1"/>
    <col min="67" max="16384" width="12.69921875" style="2" customWidth="1"/>
  </cols>
  <sheetData>
    <row r="1" spans="1:19" ht="17.25" customHeight="1">
      <c r="A1" s="9"/>
      <c r="B1" s="1"/>
      <c r="C1" s="1"/>
      <c r="D1" s="1"/>
      <c r="E1" s="1"/>
      <c r="F1" s="1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>
      <c r="A2" s="824" t="s">
        <v>315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</row>
    <row r="3" spans="1:19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1" customHeight="1">
      <c r="A4" s="10" t="s">
        <v>82</v>
      </c>
      <c r="B4" s="1"/>
      <c r="C4" s="1"/>
      <c r="D4" s="1"/>
      <c r="E4" s="1"/>
      <c r="F4" s="1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8" ht="22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775" t="s">
        <v>330</v>
      </c>
    </row>
    <row r="6" spans="1:25" ht="22.5" customHeight="1" thickBot="1">
      <c r="A6" s="3"/>
      <c r="B6" s="3"/>
      <c r="C6" s="3"/>
      <c r="D6" s="15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R6" s="775" t="s">
        <v>3</v>
      </c>
      <c r="T6" s="17"/>
      <c r="U6" s="17"/>
      <c r="V6" s="17"/>
      <c r="W6" s="17"/>
      <c r="X6" s="5"/>
      <c r="Y6" s="17"/>
    </row>
    <row r="7" spans="1:18" ht="18" customHeight="1" thickBot="1">
      <c r="A7" s="18"/>
      <c r="B7" s="19"/>
      <c r="C7" s="20" t="s">
        <v>83</v>
      </c>
      <c r="D7" s="21"/>
      <c r="E7" s="22"/>
      <c r="F7" s="22"/>
      <c r="G7" s="23" t="s">
        <v>84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24"/>
    </row>
    <row r="8" spans="1:18" ht="18" customHeight="1" thickBot="1">
      <c r="A8" s="25" t="s">
        <v>45</v>
      </c>
      <c r="B8" s="14"/>
      <c r="C8" s="26" t="s">
        <v>85</v>
      </c>
      <c r="D8" s="27"/>
      <c r="E8" s="28"/>
      <c r="F8" s="61"/>
      <c r="G8" s="29" t="s">
        <v>86</v>
      </c>
      <c r="H8" s="30"/>
      <c r="I8" s="31"/>
      <c r="J8" s="32"/>
      <c r="K8" s="33" t="s">
        <v>87</v>
      </c>
      <c r="L8" s="34"/>
      <c r="M8" s="35"/>
      <c r="N8" s="36"/>
      <c r="O8" s="29" t="s">
        <v>88</v>
      </c>
      <c r="P8" s="31"/>
      <c r="Q8" s="31"/>
      <c r="R8" s="32"/>
    </row>
    <row r="9" spans="1:24" ht="18" customHeight="1">
      <c r="A9" s="37"/>
      <c r="B9" s="38" t="s">
        <v>46</v>
      </c>
      <c r="C9" s="39" t="s">
        <v>0</v>
      </c>
      <c r="D9" s="40" t="s">
        <v>4</v>
      </c>
      <c r="E9" s="40" t="s">
        <v>5</v>
      </c>
      <c r="F9" s="41" t="s">
        <v>2</v>
      </c>
      <c r="G9" s="39" t="s">
        <v>0</v>
      </c>
      <c r="H9" s="40" t="s">
        <v>4</v>
      </c>
      <c r="I9" s="40" t="s">
        <v>5</v>
      </c>
      <c r="J9" s="41" t="s">
        <v>2</v>
      </c>
      <c r="K9" s="39" t="s">
        <v>0</v>
      </c>
      <c r="L9" s="40" t="s">
        <v>4</v>
      </c>
      <c r="M9" s="40" t="s">
        <v>5</v>
      </c>
      <c r="N9" s="41" t="s">
        <v>2</v>
      </c>
      <c r="O9" s="39" t="s">
        <v>0</v>
      </c>
      <c r="P9" s="40" t="s">
        <v>4</v>
      </c>
      <c r="Q9" s="40" t="s">
        <v>5</v>
      </c>
      <c r="R9" s="41" t="s">
        <v>2</v>
      </c>
      <c r="V9" s="838" t="s">
        <v>308</v>
      </c>
      <c r="W9" s="838"/>
      <c r="X9" s="838"/>
    </row>
    <row r="10" spans="1:23" ht="18" customHeight="1" thickBot="1">
      <c r="A10" s="13"/>
      <c r="B10" s="42"/>
      <c r="C10" s="43" t="s">
        <v>1</v>
      </c>
      <c r="D10" s="44" t="s">
        <v>1</v>
      </c>
      <c r="E10" s="45" t="s">
        <v>314</v>
      </c>
      <c r="F10" s="46" t="s">
        <v>48</v>
      </c>
      <c r="G10" s="43" t="s">
        <v>1</v>
      </c>
      <c r="H10" s="44" t="s">
        <v>1</v>
      </c>
      <c r="I10" s="45" t="s">
        <v>314</v>
      </c>
      <c r="J10" s="46" t="s">
        <v>48</v>
      </c>
      <c r="K10" s="43" t="s">
        <v>1</v>
      </c>
      <c r="L10" s="44" t="s">
        <v>1</v>
      </c>
      <c r="M10" s="45" t="s">
        <v>314</v>
      </c>
      <c r="N10" s="46" t="s">
        <v>48</v>
      </c>
      <c r="O10" s="43" t="s">
        <v>1</v>
      </c>
      <c r="P10" s="44" t="s">
        <v>1</v>
      </c>
      <c r="Q10" s="45" t="s">
        <v>314</v>
      </c>
      <c r="R10" s="46" t="s">
        <v>48</v>
      </c>
      <c r="V10" s="838"/>
      <c r="W10" s="838"/>
    </row>
    <row r="11" spans="1:23" ht="16.5" customHeight="1">
      <c r="A11" s="4"/>
      <c r="B11" s="4"/>
      <c r="C11" s="4"/>
      <c r="D11" s="4"/>
      <c r="E11" s="4"/>
      <c r="F11" s="62"/>
      <c r="G11" s="4"/>
      <c r="H11" s="47" t="s">
        <v>89</v>
      </c>
      <c r="I11" s="47"/>
      <c r="J11" s="63"/>
      <c r="K11" s="47"/>
      <c r="L11" s="47" t="s">
        <v>90</v>
      </c>
      <c r="M11" s="47"/>
      <c r="N11" s="63"/>
      <c r="O11" s="47"/>
      <c r="P11" s="47" t="s">
        <v>91</v>
      </c>
      <c r="Q11" s="47"/>
      <c r="R11" s="63"/>
      <c r="V11" s="48"/>
      <c r="W11" s="48"/>
    </row>
    <row r="12" spans="1:23" ht="16.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U12" s="47" t="s">
        <v>49</v>
      </c>
      <c r="V12" s="47" t="s">
        <v>50</v>
      </c>
      <c r="W12" s="64" t="s">
        <v>5</v>
      </c>
    </row>
    <row r="13" spans="1:23" ht="16.5" customHeight="1">
      <c r="A13" s="65"/>
      <c r="B13" s="66"/>
      <c r="C13" s="67"/>
      <c r="D13" s="68"/>
      <c r="E13" s="68"/>
      <c r="F13" s="69"/>
      <c r="G13" s="67"/>
      <c r="H13" s="68"/>
      <c r="I13" s="68"/>
      <c r="J13" s="70"/>
      <c r="K13" s="67"/>
      <c r="L13" s="68"/>
      <c r="M13" s="68"/>
      <c r="N13" s="70"/>
      <c r="O13" s="67"/>
      <c r="P13" s="68"/>
      <c r="Q13" s="68"/>
      <c r="R13" s="69"/>
      <c r="U13" s="4"/>
      <c r="V13" s="71"/>
      <c r="W13" s="4"/>
    </row>
    <row r="14" spans="1:23" ht="16.5" customHeight="1">
      <c r="A14" s="72" t="s">
        <v>80</v>
      </c>
      <c r="B14" s="73"/>
      <c r="C14" s="74">
        <f aca="true" t="shared" si="0" ref="C14:C42">SUM(G14+K14+O14+C61+G61+K61+O61)</f>
        <v>61870</v>
      </c>
      <c r="D14" s="75">
        <f aca="true" t="shared" si="1" ref="D14:D42">SUM(H14+L14+P14+D61+H61+L61+P61)</f>
        <v>64166</v>
      </c>
      <c r="E14" s="75">
        <f aca="true" t="shared" si="2" ref="E14:E42">SUM(I14+M14+Q14+E61+I61+M61+Q61)</f>
        <v>63945</v>
      </c>
      <c r="F14" s="76">
        <f aca="true" t="shared" si="3" ref="F14:F42">SUM(E14/D14*100)</f>
        <v>99.6555808372035</v>
      </c>
      <c r="G14" s="74">
        <v>1500</v>
      </c>
      <c r="H14" s="75">
        <v>1590</v>
      </c>
      <c r="I14" s="75">
        <v>1715</v>
      </c>
      <c r="J14" s="76">
        <f aca="true" t="shared" si="4" ref="J14:J42">SUM(I14/H14*100)</f>
        <v>107.86163522012579</v>
      </c>
      <c r="K14" s="74">
        <v>500</v>
      </c>
      <c r="L14" s="75">
        <v>550</v>
      </c>
      <c r="M14" s="75">
        <v>661</v>
      </c>
      <c r="N14" s="76">
        <f>SUM(M14/L14*100)</f>
        <v>120.18181818181819</v>
      </c>
      <c r="O14" s="74">
        <v>24395</v>
      </c>
      <c r="P14" s="75">
        <v>25295</v>
      </c>
      <c r="Q14" s="75">
        <v>27885</v>
      </c>
      <c r="R14" s="76">
        <f aca="true" t="shared" si="5" ref="R14:R42">SUM(Q14/P14*100)</f>
        <v>110.23917770310338</v>
      </c>
      <c r="U14" s="71">
        <f aca="true" t="shared" si="6" ref="U14:U42">+G14+K14+O14+C61+G61+K61+O61</f>
        <v>61870</v>
      </c>
      <c r="V14" s="71">
        <f aca="true" t="shared" si="7" ref="V14:V42">+H14+L14+P14+D61+H61+L61+P61</f>
        <v>64166</v>
      </c>
      <c r="W14" s="71">
        <f aca="true" t="shared" si="8" ref="W14:W42">+I14+M14+Q14+E61+I61+M61+Q61</f>
        <v>63945</v>
      </c>
    </row>
    <row r="15" spans="1:23" ht="16.5" customHeight="1">
      <c r="A15" s="72" t="s">
        <v>7</v>
      </c>
      <c r="B15" s="77"/>
      <c r="C15" s="74">
        <f t="shared" si="0"/>
        <v>2730</v>
      </c>
      <c r="D15" s="75">
        <f t="shared" si="1"/>
        <v>2915</v>
      </c>
      <c r="E15" s="75">
        <f t="shared" si="2"/>
        <v>3004</v>
      </c>
      <c r="F15" s="76">
        <f t="shared" si="3"/>
        <v>103.05317324185248</v>
      </c>
      <c r="G15" s="74">
        <v>720</v>
      </c>
      <c r="H15" s="75">
        <v>720</v>
      </c>
      <c r="I15" s="75">
        <v>716</v>
      </c>
      <c r="J15" s="76">
        <f t="shared" si="4"/>
        <v>99.44444444444444</v>
      </c>
      <c r="K15" s="74"/>
      <c r="L15" s="75">
        <v>70</v>
      </c>
      <c r="M15" s="75">
        <f>69+1</f>
        <v>70</v>
      </c>
      <c r="N15" s="76">
        <f>SUM(M15/L15*100)</f>
        <v>100</v>
      </c>
      <c r="O15" s="74">
        <v>800</v>
      </c>
      <c r="P15" s="75">
        <v>800</v>
      </c>
      <c r="Q15" s="75">
        <v>687</v>
      </c>
      <c r="R15" s="76">
        <f t="shared" si="5"/>
        <v>85.875</v>
      </c>
      <c r="U15" s="71">
        <f t="shared" si="6"/>
        <v>2730</v>
      </c>
      <c r="V15" s="71">
        <f t="shared" si="7"/>
        <v>2915</v>
      </c>
      <c r="W15" s="71">
        <f t="shared" si="8"/>
        <v>3004</v>
      </c>
    </row>
    <row r="16" spans="1:23" ht="16.5" customHeight="1">
      <c r="A16" s="72" t="s">
        <v>8</v>
      </c>
      <c r="B16" s="77"/>
      <c r="C16" s="74">
        <f t="shared" si="0"/>
        <v>2119</v>
      </c>
      <c r="D16" s="75">
        <f t="shared" si="1"/>
        <v>2520</v>
      </c>
      <c r="E16" s="75">
        <f t="shared" si="2"/>
        <v>2677</v>
      </c>
      <c r="F16" s="76">
        <f t="shared" si="3"/>
        <v>106.23015873015873</v>
      </c>
      <c r="G16" s="74">
        <v>400</v>
      </c>
      <c r="H16" s="75">
        <v>467</v>
      </c>
      <c r="I16" s="75">
        <v>505</v>
      </c>
      <c r="J16" s="76">
        <f t="shared" si="4"/>
        <v>108.13704496788009</v>
      </c>
      <c r="K16" s="74">
        <v>4</v>
      </c>
      <c r="L16" s="75">
        <v>7</v>
      </c>
      <c r="M16" s="75">
        <v>11</v>
      </c>
      <c r="N16" s="76">
        <f>SUM(M16/L16*100)</f>
        <v>157.14285714285714</v>
      </c>
      <c r="O16" s="74">
        <v>1200</v>
      </c>
      <c r="P16" s="75">
        <v>1327</v>
      </c>
      <c r="Q16" s="75">
        <v>1422</v>
      </c>
      <c r="R16" s="76">
        <f t="shared" si="5"/>
        <v>107.15900527505653</v>
      </c>
      <c r="U16" s="71">
        <f t="shared" si="6"/>
        <v>2119</v>
      </c>
      <c r="V16" s="71">
        <f t="shared" si="7"/>
        <v>2520</v>
      </c>
      <c r="W16" s="71">
        <f t="shared" si="8"/>
        <v>2677</v>
      </c>
    </row>
    <row r="17" spans="1:23" ht="16.5" customHeight="1">
      <c r="A17" s="72" t="s">
        <v>9</v>
      </c>
      <c r="B17" s="77"/>
      <c r="C17" s="74">
        <f t="shared" si="0"/>
        <v>670</v>
      </c>
      <c r="D17" s="75">
        <f t="shared" si="1"/>
        <v>670</v>
      </c>
      <c r="E17" s="75">
        <f t="shared" si="2"/>
        <v>864</v>
      </c>
      <c r="F17" s="76">
        <f t="shared" si="3"/>
        <v>128.955223880597</v>
      </c>
      <c r="G17" s="74">
        <v>390</v>
      </c>
      <c r="H17" s="75">
        <v>390</v>
      </c>
      <c r="I17" s="75">
        <v>359</v>
      </c>
      <c r="J17" s="76">
        <f t="shared" si="4"/>
        <v>92.05128205128204</v>
      </c>
      <c r="K17" s="74"/>
      <c r="L17" s="75"/>
      <c r="M17" s="75"/>
      <c r="N17" s="76"/>
      <c r="O17" s="74">
        <v>280</v>
      </c>
      <c r="P17" s="75">
        <v>280</v>
      </c>
      <c r="Q17" s="75">
        <v>500</v>
      </c>
      <c r="R17" s="76">
        <f t="shared" si="5"/>
        <v>178.57142857142858</v>
      </c>
      <c r="U17" s="71">
        <f t="shared" si="6"/>
        <v>670</v>
      </c>
      <c r="V17" s="71">
        <f t="shared" si="7"/>
        <v>670</v>
      </c>
      <c r="W17" s="71">
        <f t="shared" si="8"/>
        <v>864</v>
      </c>
    </row>
    <row r="18" spans="1:23" ht="16.5" customHeight="1">
      <c r="A18" s="72" t="s">
        <v>10</v>
      </c>
      <c r="B18" s="77"/>
      <c r="C18" s="74">
        <f t="shared" si="0"/>
        <v>2387</v>
      </c>
      <c r="D18" s="75">
        <f t="shared" si="1"/>
        <v>2330</v>
      </c>
      <c r="E18" s="75">
        <f t="shared" si="2"/>
        <v>2321</v>
      </c>
      <c r="F18" s="76">
        <f t="shared" si="3"/>
        <v>99.61373390557941</v>
      </c>
      <c r="G18" s="74">
        <v>420</v>
      </c>
      <c r="H18" s="75">
        <v>420</v>
      </c>
      <c r="I18" s="75">
        <f>388-1</f>
        <v>387</v>
      </c>
      <c r="J18" s="76">
        <f t="shared" si="4"/>
        <v>92.14285714285714</v>
      </c>
      <c r="K18" s="74">
        <v>30</v>
      </c>
      <c r="L18" s="75">
        <v>30</v>
      </c>
      <c r="M18" s="75">
        <v>21</v>
      </c>
      <c r="N18" s="76">
        <f>SUM(M18/L18*100)</f>
        <v>70</v>
      </c>
      <c r="O18" s="74">
        <v>800</v>
      </c>
      <c r="P18" s="75">
        <v>750</v>
      </c>
      <c r="Q18" s="75">
        <v>736</v>
      </c>
      <c r="R18" s="76">
        <f t="shared" si="5"/>
        <v>98.13333333333333</v>
      </c>
      <c r="U18" s="71">
        <f t="shared" si="6"/>
        <v>2387</v>
      </c>
      <c r="V18" s="71">
        <f t="shared" si="7"/>
        <v>2330</v>
      </c>
      <c r="W18" s="71">
        <f t="shared" si="8"/>
        <v>2321</v>
      </c>
    </row>
    <row r="19" spans="1:23" ht="16.5" customHeight="1">
      <c r="A19" s="72" t="s">
        <v>11</v>
      </c>
      <c r="B19" s="77"/>
      <c r="C19" s="74">
        <f t="shared" si="0"/>
        <v>297</v>
      </c>
      <c r="D19" s="75">
        <f t="shared" si="1"/>
        <v>302</v>
      </c>
      <c r="E19" s="75">
        <f t="shared" si="2"/>
        <v>307</v>
      </c>
      <c r="F19" s="76">
        <f t="shared" si="3"/>
        <v>101.65562913907284</v>
      </c>
      <c r="G19" s="74">
        <v>76</v>
      </c>
      <c r="H19" s="75">
        <v>81</v>
      </c>
      <c r="I19" s="75">
        <v>82</v>
      </c>
      <c r="J19" s="76">
        <f t="shared" si="4"/>
        <v>101.23456790123457</v>
      </c>
      <c r="K19" s="74"/>
      <c r="L19" s="75">
        <v>1</v>
      </c>
      <c r="M19" s="75"/>
      <c r="N19" s="76"/>
      <c r="O19" s="74">
        <v>20</v>
      </c>
      <c r="P19" s="75">
        <v>20</v>
      </c>
      <c r="Q19" s="75">
        <v>10</v>
      </c>
      <c r="R19" s="76">
        <f t="shared" si="5"/>
        <v>50</v>
      </c>
      <c r="U19" s="71">
        <f t="shared" si="6"/>
        <v>297</v>
      </c>
      <c r="V19" s="71">
        <f t="shared" si="7"/>
        <v>302</v>
      </c>
      <c r="W19" s="71">
        <f t="shared" si="8"/>
        <v>307</v>
      </c>
    </row>
    <row r="20" spans="1:23" ht="16.5" customHeight="1">
      <c r="A20" s="72" t="s">
        <v>242</v>
      </c>
      <c r="B20" s="77"/>
      <c r="C20" s="74">
        <f t="shared" si="0"/>
        <v>3610</v>
      </c>
      <c r="D20" s="75">
        <f t="shared" si="1"/>
        <v>3617</v>
      </c>
      <c r="E20" s="75">
        <f t="shared" si="2"/>
        <v>3624</v>
      </c>
      <c r="F20" s="76">
        <f t="shared" si="3"/>
        <v>100.1935305501797</v>
      </c>
      <c r="G20" s="74">
        <v>780</v>
      </c>
      <c r="H20" s="75">
        <v>780</v>
      </c>
      <c r="I20" s="75">
        <v>697</v>
      </c>
      <c r="J20" s="76">
        <f t="shared" si="4"/>
        <v>89.35897435897436</v>
      </c>
      <c r="K20" s="74"/>
      <c r="L20" s="75"/>
      <c r="M20" s="75"/>
      <c r="N20" s="76"/>
      <c r="O20" s="74">
        <v>1400</v>
      </c>
      <c r="P20" s="75">
        <v>1400</v>
      </c>
      <c r="Q20" s="75">
        <f>1126</f>
        <v>1126</v>
      </c>
      <c r="R20" s="76">
        <f t="shared" si="5"/>
        <v>80.42857142857143</v>
      </c>
      <c r="U20" s="71">
        <f t="shared" si="6"/>
        <v>3610</v>
      </c>
      <c r="V20" s="71">
        <f t="shared" si="7"/>
        <v>3617</v>
      </c>
      <c r="W20" s="71">
        <f t="shared" si="8"/>
        <v>3624</v>
      </c>
    </row>
    <row r="21" spans="1:23" ht="16.5" customHeight="1">
      <c r="A21" s="72" t="s">
        <v>13</v>
      </c>
      <c r="B21" s="77"/>
      <c r="C21" s="74">
        <f t="shared" si="0"/>
        <v>3213</v>
      </c>
      <c r="D21" s="75">
        <f t="shared" si="1"/>
        <v>3051</v>
      </c>
      <c r="E21" s="75">
        <f t="shared" si="2"/>
        <v>3075</v>
      </c>
      <c r="F21" s="76">
        <f t="shared" si="3"/>
        <v>100.78662733529991</v>
      </c>
      <c r="G21" s="74">
        <v>1000</v>
      </c>
      <c r="H21" s="75">
        <v>1000</v>
      </c>
      <c r="I21" s="75">
        <v>1046</v>
      </c>
      <c r="J21" s="76">
        <f t="shared" si="4"/>
        <v>104.60000000000001</v>
      </c>
      <c r="K21" s="74">
        <v>60</v>
      </c>
      <c r="L21" s="75">
        <v>60</v>
      </c>
      <c r="M21" s="75">
        <v>80</v>
      </c>
      <c r="N21" s="76">
        <f>SUM(M21/L21*100)</f>
        <v>133.33333333333331</v>
      </c>
      <c r="O21" s="74">
        <v>1500</v>
      </c>
      <c r="P21" s="75">
        <v>1388</v>
      </c>
      <c r="Q21" s="75">
        <v>1235</v>
      </c>
      <c r="R21" s="76">
        <f t="shared" si="5"/>
        <v>88.97694524495677</v>
      </c>
      <c r="U21" s="71">
        <f t="shared" si="6"/>
        <v>3213</v>
      </c>
      <c r="V21" s="71">
        <f t="shared" si="7"/>
        <v>3051</v>
      </c>
      <c r="W21" s="71">
        <f t="shared" si="8"/>
        <v>3075</v>
      </c>
    </row>
    <row r="22" spans="1:23" ht="16.5" customHeight="1">
      <c r="A22" s="72" t="s">
        <v>14</v>
      </c>
      <c r="B22" s="77"/>
      <c r="C22" s="74">
        <f t="shared" si="0"/>
        <v>85</v>
      </c>
      <c r="D22" s="75">
        <f t="shared" si="1"/>
        <v>85</v>
      </c>
      <c r="E22" s="75">
        <f t="shared" si="2"/>
        <v>79</v>
      </c>
      <c r="F22" s="76">
        <f t="shared" si="3"/>
        <v>92.94117647058823</v>
      </c>
      <c r="G22" s="74">
        <v>34</v>
      </c>
      <c r="H22" s="75">
        <v>34</v>
      </c>
      <c r="I22" s="75">
        <v>31</v>
      </c>
      <c r="J22" s="76">
        <f t="shared" si="4"/>
        <v>91.17647058823529</v>
      </c>
      <c r="K22" s="74">
        <v>40</v>
      </c>
      <c r="L22" s="75">
        <v>40</v>
      </c>
      <c r="M22" s="75">
        <v>38</v>
      </c>
      <c r="N22" s="76">
        <f>SUM(M22/L22*100)</f>
        <v>95</v>
      </c>
      <c r="O22" s="74">
        <v>1</v>
      </c>
      <c r="P22" s="75">
        <v>1</v>
      </c>
      <c r="Q22" s="75"/>
      <c r="R22" s="76">
        <f t="shared" si="5"/>
        <v>0</v>
      </c>
      <c r="U22" s="71">
        <f t="shared" si="6"/>
        <v>85</v>
      </c>
      <c r="V22" s="71">
        <f t="shared" si="7"/>
        <v>85</v>
      </c>
      <c r="W22" s="71">
        <f t="shared" si="8"/>
        <v>79</v>
      </c>
    </row>
    <row r="23" spans="1:23" ht="15" customHeight="1">
      <c r="A23" s="72" t="s">
        <v>15</v>
      </c>
      <c r="B23" s="77"/>
      <c r="C23" s="74">
        <f t="shared" si="0"/>
        <v>830</v>
      </c>
      <c r="D23" s="75">
        <f t="shared" si="1"/>
        <v>1117</v>
      </c>
      <c r="E23" s="75">
        <f t="shared" si="2"/>
        <v>1048</v>
      </c>
      <c r="F23" s="76">
        <f t="shared" si="3"/>
        <v>93.82273948075202</v>
      </c>
      <c r="G23" s="74">
        <v>250</v>
      </c>
      <c r="H23" s="75">
        <v>225</v>
      </c>
      <c r="I23" s="75">
        <v>225</v>
      </c>
      <c r="J23" s="76">
        <f t="shared" si="4"/>
        <v>100</v>
      </c>
      <c r="K23" s="74"/>
      <c r="L23" s="75"/>
      <c r="M23" s="75"/>
      <c r="N23" s="76"/>
      <c r="O23" s="74">
        <v>350</v>
      </c>
      <c r="P23" s="75">
        <v>650</v>
      </c>
      <c r="Q23" s="75">
        <v>607</v>
      </c>
      <c r="R23" s="76">
        <f t="shared" si="5"/>
        <v>93.38461538461539</v>
      </c>
      <c r="U23" s="71">
        <f t="shared" si="6"/>
        <v>830</v>
      </c>
      <c r="V23" s="71">
        <f t="shared" si="7"/>
        <v>1117</v>
      </c>
      <c r="W23" s="71">
        <f t="shared" si="8"/>
        <v>1048</v>
      </c>
    </row>
    <row r="24" spans="1:23" ht="16.5" customHeight="1">
      <c r="A24" s="72" t="s">
        <v>16</v>
      </c>
      <c r="B24" s="77"/>
      <c r="C24" s="74">
        <f t="shared" si="0"/>
        <v>569</v>
      </c>
      <c r="D24" s="75">
        <f t="shared" si="1"/>
        <v>569</v>
      </c>
      <c r="E24" s="75">
        <f t="shared" si="2"/>
        <v>508</v>
      </c>
      <c r="F24" s="76">
        <f t="shared" si="3"/>
        <v>89.27943760984182</v>
      </c>
      <c r="G24" s="74">
        <v>195</v>
      </c>
      <c r="H24" s="75">
        <v>195</v>
      </c>
      <c r="I24" s="75">
        <v>178</v>
      </c>
      <c r="J24" s="76">
        <f t="shared" si="4"/>
        <v>91.28205128205128</v>
      </c>
      <c r="K24" s="74">
        <v>1</v>
      </c>
      <c r="L24" s="75">
        <v>1</v>
      </c>
      <c r="M24" s="75">
        <v>2</v>
      </c>
      <c r="N24" s="76">
        <f>SUM(M24/L24*100)</f>
        <v>200</v>
      </c>
      <c r="O24" s="74">
        <v>100</v>
      </c>
      <c r="P24" s="75">
        <v>100</v>
      </c>
      <c r="Q24" s="75">
        <v>122</v>
      </c>
      <c r="R24" s="76">
        <f t="shared" si="5"/>
        <v>122</v>
      </c>
      <c r="U24" s="71">
        <f t="shared" si="6"/>
        <v>569</v>
      </c>
      <c r="V24" s="71">
        <f t="shared" si="7"/>
        <v>569</v>
      </c>
      <c r="W24" s="71">
        <f t="shared" si="8"/>
        <v>508</v>
      </c>
    </row>
    <row r="25" spans="1:23" ht="16.5" customHeight="1">
      <c r="A25" s="72" t="s">
        <v>244</v>
      </c>
      <c r="B25" s="77"/>
      <c r="C25" s="74">
        <f t="shared" si="0"/>
        <v>578</v>
      </c>
      <c r="D25" s="75">
        <f t="shared" si="1"/>
        <v>932</v>
      </c>
      <c r="E25" s="75">
        <f t="shared" si="2"/>
        <v>936</v>
      </c>
      <c r="F25" s="76">
        <f t="shared" si="3"/>
        <v>100.42918454935624</v>
      </c>
      <c r="G25" s="74">
        <v>120</v>
      </c>
      <c r="H25" s="75">
        <v>120</v>
      </c>
      <c r="I25" s="75">
        <v>114</v>
      </c>
      <c r="J25" s="76">
        <f t="shared" si="4"/>
        <v>95</v>
      </c>
      <c r="K25" s="74"/>
      <c r="L25" s="75">
        <v>1</v>
      </c>
      <c r="M25" s="75">
        <v>1</v>
      </c>
      <c r="N25" s="76">
        <f>SUM(M25/L25*100)</f>
        <v>100</v>
      </c>
      <c r="O25" s="74">
        <v>150</v>
      </c>
      <c r="P25" s="75">
        <v>70</v>
      </c>
      <c r="Q25" s="75">
        <v>70</v>
      </c>
      <c r="R25" s="76">
        <f t="shared" si="5"/>
        <v>100</v>
      </c>
      <c r="U25" s="71">
        <f t="shared" si="6"/>
        <v>578</v>
      </c>
      <c r="V25" s="71">
        <f t="shared" si="7"/>
        <v>932</v>
      </c>
      <c r="W25" s="71">
        <f t="shared" si="8"/>
        <v>936</v>
      </c>
    </row>
    <row r="26" spans="1:23" ht="16.5" customHeight="1">
      <c r="A26" s="72" t="s">
        <v>18</v>
      </c>
      <c r="B26" s="77"/>
      <c r="C26" s="74">
        <f t="shared" si="0"/>
        <v>7689</v>
      </c>
      <c r="D26" s="75">
        <f t="shared" si="1"/>
        <v>8972</v>
      </c>
      <c r="E26" s="75">
        <f t="shared" si="2"/>
        <v>8300</v>
      </c>
      <c r="F26" s="76">
        <f t="shared" si="3"/>
        <v>92.5100312082033</v>
      </c>
      <c r="G26" s="74">
        <v>1140</v>
      </c>
      <c r="H26" s="75">
        <v>1140</v>
      </c>
      <c r="I26" s="75">
        <v>1101</v>
      </c>
      <c r="J26" s="76">
        <f t="shared" si="4"/>
        <v>96.57894736842105</v>
      </c>
      <c r="K26" s="74"/>
      <c r="L26" s="75"/>
      <c r="M26" s="75"/>
      <c r="N26" s="76"/>
      <c r="O26" s="74">
        <v>2700</v>
      </c>
      <c r="P26" s="75">
        <v>2700</v>
      </c>
      <c r="Q26" s="75">
        <f>1901+1</f>
        <v>1902</v>
      </c>
      <c r="R26" s="76">
        <f t="shared" si="5"/>
        <v>70.44444444444444</v>
      </c>
      <c r="U26" s="71">
        <f t="shared" si="6"/>
        <v>7689</v>
      </c>
      <c r="V26" s="71">
        <f t="shared" si="7"/>
        <v>8972</v>
      </c>
      <c r="W26" s="71">
        <f t="shared" si="8"/>
        <v>8300</v>
      </c>
    </row>
    <row r="27" spans="1:23" ht="16.5" customHeight="1">
      <c r="A27" s="72" t="s">
        <v>58</v>
      </c>
      <c r="B27" s="77"/>
      <c r="C27" s="74">
        <f t="shared" si="0"/>
        <v>448</v>
      </c>
      <c r="D27" s="75">
        <f t="shared" si="1"/>
        <v>466</v>
      </c>
      <c r="E27" s="75">
        <f t="shared" si="2"/>
        <v>582</v>
      </c>
      <c r="F27" s="76">
        <f t="shared" si="3"/>
        <v>124.89270386266094</v>
      </c>
      <c r="G27" s="74">
        <v>250</v>
      </c>
      <c r="H27" s="75">
        <v>250</v>
      </c>
      <c r="I27" s="75">
        <v>234</v>
      </c>
      <c r="J27" s="76">
        <f t="shared" si="4"/>
        <v>93.60000000000001</v>
      </c>
      <c r="K27" s="74"/>
      <c r="L27" s="75"/>
      <c r="M27" s="75"/>
      <c r="N27" s="76"/>
      <c r="O27" s="74">
        <v>84</v>
      </c>
      <c r="P27" s="75">
        <v>100</v>
      </c>
      <c r="Q27" s="75">
        <v>226</v>
      </c>
      <c r="R27" s="76">
        <f t="shared" si="5"/>
        <v>225.99999999999997</v>
      </c>
      <c r="U27" s="71">
        <f t="shared" si="6"/>
        <v>448</v>
      </c>
      <c r="V27" s="71">
        <f t="shared" si="7"/>
        <v>466</v>
      </c>
      <c r="W27" s="71">
        <f t="shared" si="8"/>
        <v>582</v>
      </c>
    </row>
    <row r="28" spans="1:23" ht="16.5" customHeight="1">
      <c r="A28" s="72" t="s">
        <v>19</v>
      </c>
      <c r="B28" s="77"/>
      <c r="C28" s="74">
        <f t="shared" si="0"/>
        <v>4495</v>
      </c>
      <c r="D28" s="75">
        <f t="shared" si="1"/>
        <v>4315</v>
      </c>
      <c r="E28" s="75">
        <f t="shared" si="2"/>
        <v>4653</v>
      </c>
      <c r="F28" s="76">
        <f t="shared" si="3"/>
        <v>107.83314020857473</v>
      </c>
      <c r="G28" s="74">
        <v>730</v>
      </c>
      <c r="H28" s="75">
        <v>730</v>
      </c>
      <c r="I28" s="75">
        <v>728</v>
      </c>
      <c r="J28" s="76">
        <f t="shared" si="4"/>
        <v>99.72602739726028</v>
      </c>
      <c r="K28" s="74"/>
      <c r="L28" s="75"/>
      <c r="M28" s="75">
        <v>1</v>
      </c>
      <c r="N28" s="76"/>
      <c r="O28" s="74">
        <v>1100</v>
      </c>
      <c r="P28" s="75">
        <v>920</v>
      </c>
      <c r="Q28" s="75">
        <f>1319+1</f>
        <v>1320</v>
      </c>
      <c r="R28" s="76">
        <f t="shared" si="5"/>
        <v>143.47826086956522</v>
      </c>
      <c r="U28" s="71">
        <f t="shared" si="6"/>
        <v>4495</v>
      </c>
      <c r="V28" s="71">
        <f t="shared" si="7"/>
        <v>4315</v>
      </c>
      <c r="W28" s="71">
        <f t="shared" si="8"/>
        <v>4653</v>
      </c>
    </row>
    <row r="29" spans="1:23" ht="16.5" customHeight="1">
      <c r="A29" s="72" t="s">
        <v>20</v>
      </c>
      <c r="B29" s="77"/>
      <c r="C29" s="74">
        <f t="shared" si="0"/>
        <v>1475</v>
      </c>
      <c r="D29" s="75">
        <f t="shared" si="1"/>
        <v>1821</v>
      </c>
      <c r="E29" s="75">
        <f t="shared" si="2"/>
        <v>1908</v>
      </c>
      <c r="F29" s="76">
        <f t="shared" si="3"/>
        <v>104.77759472817134</v>
      </c>
      <c r="G29" s="74">
        <v>260</v>
      </c>
      <c r="H29" s="75">
        <v>260</v>
      </c>
      <c r="I29" s="75">
        <v>280</v>
      </c>
      <c r="J29" s="76">
        <f t="shared" si="4"/>
        <v>107.6923076923077</v>
      </c>
      <c r="K29" s="74"/>
      <c r="L29" s="75"/>
      <c r="M29" s="75"/>
      <c r="N29" s="76"/>
      <c r="O29" s="74">
        <v>800</v>
      </c>
      <c r="P29" s="75">
        <v>1146</v>
      </c>
      <c r="Q29" s="75">
        <v>1158</v>
      </c>
      <c r="R29" s="76">
        <f t="shared" si="5"/>
        <v>101.04712041884815</v>
      </c>
      <c r="U29" s="71">
        <f t="shared" si="6"/>
        <v>1475</v>
      </c>
      <c r="V29" s="71">
        <f t="shared" si="7"/>
        <v>1821</v>
      </c>
      <c r="W29" s="71">
        <f t="shared" si="8"/>
        <v>1908</v>
      </c>
    </row>
    <row r="30" spans="1:23" ht="16.5" customHeight="1">
      <c r="A30" s="72" t="s">
        <v>21</v>
      </c>
      <c r="B30" s="77"/>
      <c r="C30" s="74">
        <f t="shared" si="0"/>
        <v>2869</v>
      </c>
      <c r="D30" s="75">
        <f t="shared" si="1"/>
        <v>3304</v>
      </c>
      <c r="E30" s="75">
        <f t="shared" si="2"/>
        <v>3569</v>
      </c>
      <c r="F30" s="76">
        <f t="shared" si="3"/>
        <v>108.02058111380146</v>
      </c>
      <c r="G30" s="74">
        <v>250</v>
      </c>
      <c r="H30" s="75">
        <v>250</v>
      </c>
      <c r="I30" s="75">
        <v>285</v>
      </c>
      <c r="J30" s="76">
        <f t="shared" si="4"/>
        <v>113.99999999999999</v>
      </c>
      <c r="K30" s="74"/>
      <c r="L30" s="75"/>
      <c r="M30" s="75"/>
      <c r="N30" s="76"/>
      <c r="O30" s="74">
        <v>1000</v>
      </c>
      <c r="P30" s="75">
        <v>1030</v>
      </c>
      <c r="Q30" s="75">
        <v>1230</v>
      </c>
      <c r="R30" s="76">
        <f t="shared" si="5"/>
        <v>119.41747572815532</v>
      </c>
      <c r="U30" s="71">
        <f t="shared" si="6"/>
        <v>2869</v>
      </c>
      <c r="V30" s="71">
        <f t="shared" si="7"/>
        <v>3304</v>
      </c>
      <c r="W30" s="71">
        <f t="shared" si="8"/>
        <v>3569</v>
      </c>
    </row>
    <row r="31" spans="1:23" ht="16.5" customHeight="1">
      <c r="A31" s="72" t="s">
        <v>22</v>
      </c>
      <c r="B31" s="77"/>
      <c r="C31" s="74">
        <f t="shared" si="0"/>
        <v>2663</v>
      </c>
      <c r="D31" s="75">
        <f t="shared" si="1"/>
        <v>2663</v>
      </c>
      <c r="E31" s="75">
        <f t="shared" si="2"/>
        <v>2215</v>
      </c>
      <c r="F31" s="76">
        <f t="shared" si="3"/>
        <v>83.17686819376642</v>
      </c>
      <c r="G31" s="74">
        <v>600</v>
      </c>
      <c r="H31" s="75">
        <v>600</v>
      </c>
      <c r="I31" s="75">
        <f>530-1</f>
        <v>529</v>
      </c>
      <c r="J31" s="76">
        <f t="shared" si="4"/>
        <v>88.16666666666667</v>
      </c>
      <c r="K31" s="74">
        <v>1</v>
      </c>
      <c r="L31" s="75">
        <v>1</v>
      </c>
      <c r="M31" s="75">
        <v>3</v>
      </c>
      <c r="N31" s="76">
        <f>SUM(M31/L31*100)</f>
        <v>300</v>
      </c>
      <c r="O31" s="74">
        <v>450</v>
      </c>
      <c r="P31" s="75">
        <v>450</v>
      </c>
      <c r="Q31" s="75">
        <v>368</v>
      </c>
      <c r="R31" s="76">
        <f t="shared" si="5"/>
        <v>81.77777777777779</v>
      </c>
      <c r="U31" s="71">
        <f t="shared" si="6"/>
        <v>2663</v>
      </c>
      <c r="V31" s="71">
        <f t="shared" si="7"/>
        <v>2663</v>
      </c>
      <c r="W31" s="71">
        <f t="shared" si="8"/>
        <v>2215</v>
      </c>
    </row>
    <row r="32" spans="1:23" ht="16.5" customHeight="1">
      <c r="A32" s="72" t="s">
        <v>23</v>
      </c>
      <c r="B32" s="77"/>
      <c r="C32" s="74">
        <f t="shared" si="0"/>
        <v>3870</v>
      </c>
      <c r="D32" s="75">
        <f t="shared" si="1"/>
        <v>3850</v>
      </c>
      <c r="E32" s="75">
        <f t="shared" si="2"/>
        <v>4222</v>
      </c>
      <c r="F32" s="76">
        <f t="shared" si="3"/>
        <v>109.66233766233766</v>
      </c>
      <c r="G32" s="74">
        <v>800</v>
      </c>
      <c r="H32" s="75">
        <v>750</v>
      </c>
      <c r="I32" s="75">
        <v>756</v>
      </c>
      <c r="J32" s="76">
        <f t="shared" si="4"/>
        <v>100.8</v>
      </c>
      <c r="K32" s="74"/>
      <c r="L32" s="75"/>
      <c r="M32" s="75"/>
      <c r="N32" s="76"/>
      <c r="O32" s="74">
        <v>800</v>
      </c>
      <c r="P32" s="75">
        <v>750</v>
      </c>
      <c r="Q32" s="75">
        <v>749</v>
      </c>
      <c r="R32" s="76">
        <f t="shared" si="5"/>
        <v>99.86666666666667</v>
      </c>
      <c r="U32" s="71">
        <f t="shared" si="6"/>
        <v>3870</v>
      </c>
      <c r="V32" s="71">
        <f t="shared" si="7"/>
        <v>3850</v>
      </c>
      <c r="W32" s="71">
        <f t="shared" si="8"/>
        <v>4222</v>
      </c>
    </row>
    <row r="33" spans="1:23" ht="16.5" customHeight="1">
      <c r="A33" s="72" t="s">
        <v>24</v>
      </c>
      <c r="B33" s="77"/>
      <c r="C33" s="74">
        <f t="shared" si="0"/>
        <v>1810</v>
      </c>
      <c r="D33" s="75">
        <f t="shared" si="1"/>
        <v>1785</v>
      </c>
      <c r="E33" s="75">
        <f t="shared" si="2"/>
        <v>1822</v>
      </c>
      <c r="F33" s="76">
        <f t="shared" si="3"/>
        <v>102.07282913165265</v>
      </c>
      <c r="G33" s="74">
        <v>250</v>
      </c>
      <c r="H33" s="75">
        <v>250</v>
      </c>
      <c r="I33" s="75">
        <v>262</v>
      </c>
      <c r="J33" s="76">
        <f t="shared" si="4"/>
        <v>104.80000000000001</v>
      </c>
      <c r="K33" s="74"/>
      <c r="L33" s="75"/>
      <c r="M33" s="75"/>
      <c r="N33" s="76"/>
      <c r="O33" s="74">
        <v>650</v>
      </c>
      <c r="P33" s="75">
        <v>650</v>
      </c>
      <c r="Q33" s="75">
        <v>643</v>
      </c>
      <c r="R33" s="76">
        <f t="shared" si="5"/>
        <v>98.92307692307692</v>
      </c>
      <c r="U33" s="71">
        <f t="shared" si="6"/>
        <v>1810</v>
      </c>
      <c r="V33" s="71">
        <f t="shared" si="7"/>
        <v>1785</v>
      </c>
      <c r="W33" s="71">
        <f t="shared" si="8"/>
        <v>1822</v>
      </c>
    </row>
    <row r="34" spans="1:23" ht="16.5" customHeight="1">
      <c r="A34" s="72" t="s">
        <v>25</v>
      </c>
      <c r="B34" s="77"/>
      <c r="C34" s="74">
        <f t="shared" si="0"/>
        <v>468</v>
      </c>
      <c r="D34" s="75">
        <f t="shared" si="1"/>
        <v>435</v>
      </c>
      <c r="E34" s="75">
        <f t="shared" si="2"/>
        <v>514</v>
      </c>
      <c r="F34" s="76">
        <f t="shared" si="3"/>
        <v>118.1609195402299</v>
      </c>
      <c r="G34" s="74">
        <v>96</v>
      </c>
      <c r="H34" s="75">
        <v>98</v>
      </c>
      <c r="I34" s="75">
        <v>98</v>
      </c>
      <c r="J34" s="76">
        <f t="shared" si="4"/>
        <v>100</v>
      </c>
      <c r="K34" s="74"/>
      <c r="L34" s="75"/>
      <c r="M34" s="75"/>
      <c r="N34" s="76"/>
      <c r="O34" s="74">
        <v>100</v>
      </c>
      <c r="P34" s="75">
        <v>30</v>
      </c>
      <c r="Q34" s="75">
        <v>109</v>
      </c>
      <c r="R34" s="76">
        <f t="shared" si="5"/>
        <v>363.3333333333333</v>
      </c>
      <c r="U34" s="71">
        <f t="shared" si="6"/>
        <v>468</v>
      </c>
      <c r="V34" s="71">
        <f t="shared" si="7"/>
        <v>435</v>
      </c>
      <c r="W34" s="71">
        <f t="shared" si="8"/>
        <v>514</v>
      </c>
    </row>
    <row r="35" spans="1:23" ht="16.5" customHeight="1">
      <c r="A35" s="72" t="s">
        <v>26</v>
      </c>
      <c r="B35" s="77"/>
      <c r="C35" s="74">
        <f t="shared" si="0"/>
        <v>390</v>
      </c>
      <c r="D35" s="75">
        <f t="shared" si="1"/>
        <v>486</v>
      </c>
      <c r="E35" s="75">
        <f t="shared" si="2"/>
        <v>549</v>
      </c>
      <c r="F35" s="76">
        <f t="shared" si="3"/>
        <v>112.96296296296295</v>
      </c>
      <c r="G35" s="74">
        <v>100</v>
      </c>
      <c r="H35" s="75">
        <v>100</v>
      </c>
      <c r="I35" s="75">
        <v>91</v>
      </c>
      <c r="J35" s="76">
        <f t="shared" si="4"/>
        <v>91</v>
      </c>
      <c r="K35" s="74"/>
      <c r="L35" s="75"/>
      <c r="M35" s="75"/>
      <c r="N35" s="76"/>
      <c r="O35" s="74">
        <v>50</v>
      </c>
      <c r="P35" s="75">
        <v>140</v>
      </c>
      <c r="Q35" s="75">
        <v>145</v>
      </c>
      <c r="R35" s="76">
        <f t="shared" si="5"/>
        <v>103.57142857142858</v>
      </c>
      <c r="U35" s="71">
        <f t="shared" si="6"/>
        <v>390</v>
      </c>
      <c r="V35" s="71">
        <f t="shared" si="7"/>
        <v>486</v>
      </c>
      <c r="W35" s="71">
        <f t="shared" si="8"/>
        <v>549</v>
      </c>
    </row>
    <row r="36" spans="1:23" ht="16.5" customHeight="1">
      <c r="A36" s="72" t="s">
        <v>27</v>
      </c>
      <c r="B36" s="77"/>
      <c r="C36" s="74">
        <f t="shared" si="0"/>
        <v>9670</v>
      </c>
      <c r="D36" s="75">
        <f t="shared" si="1"/>
        <v>10852</v>
      </c>
      <c r="E36" s="75">
        <f t="shared" si="2"/>
        <v>11155</v>
      </c>
      <c r="F36" s="76">
        <f t="shared" si="3"/>
        <v>102.79211205307777</v>
      </c>
      <c r="G36" s="74">
        <v>1000</v>
      </c>
      <c r="H36" s="75">
        <v>1000</v>
      </c>
      <c r="I36" s="75">
        <v>993</v>
      </c>
      <c r="J36" s="76">
        <f t="shared" si="4"/>
        <v>99.3</v>
      </c>
      <c r="K36" s="74">
        <v>40</v>
      </c>
      <c r="L36" s="75">
        <v>62</v>
      </c>
      <c r="M36" s="75">
        <v>68</v>
      </c>
      <c r="N36" s="76">
        <f>SUM(M36/L36*100)</f>
        <v>109.6774193548387</v>
      </c>
      <c r="O36" s="74">
        <v>2600</v>
      </c>
      <c r="P36" s="75">
        <v>3500</v>
      </c>
      <c r="Q36" s="75">
        <f>3618</f>
        <v>3618</v>
      </c>
      <c r="R36" s="76">
        <f t="shared" si="5"/>
        <v>103.37142857142858</v>
      </c>
      <c r="U36" s="71">
        <f t="shared" si="6"/>
        <v>9670</v>
      </c>
      <c r="V36" s="71">
        <f t="shared" si="7"/>
        <v>10852</v>
      </c>
      <c r="W36" s="71">
        <f t="shared" si="8"/>
        <v>11155</v>
      </c>
    </row>
    <row r="37" spans="1:23" ht="16.5" customHeight="1">
      <c r="A37" s="72" t="s">
        <v>28</v>
      </c>
      <c r="B37" s="77"/>
      <c r="C37" s="74">
        <f t="shared" si="0"/>
        <v>390</v>
      </c>
      <c r="D37" s="75">
        <f t="shared" si="1"/>
        <v>466</v>
      </c>
      <c r="E37" s="75">
        <f t="shared" si="2"/>
        <v>509</v>
      </c>
      <c r="F37" s="76">
        <f t="shared" si="3"/>
        <v>109.22746781115879</v>
      </c>
      <c r="G37" s="74">
        <v>150</v>
      </c>
      <c r="H37" s="75">
        <v>169</v>
      </c>
      <c r="I37" s="75">
        <v>181</v>
      </c>
      <c r="J37" s="76">
        <f t="shared" si="4"/>
        <v>107.10059171597632</v>
      </c>
      <c r="K37" s="74"/>
      <c r="L37" s="75"/>
      <c r="M37" s="75"/>
      <c r="N37" s="76"/>
      <c r="O37" s="74">
        <v>50</v>
      </c>
      <c r="P37" s="75">
        <v>77</v>
      </c>
      <c r="Q37" s="75">
        <v>80</v>
      </c>
      <c r="R37" s="76">
        <f t="shared" si="5"/>
        <v>103.89610389610388</v>
      </c>
      <c r="U37" s="71">
        <f t="shared" si="6"/>
        <v>390</v>
      </c>
      <c r="V37" s="71">
        <f t="shared" si="7"/>
        <v>466</v>
      </c>
      <c r="W37" s="71">
        <f t="shared" si="8"/>
        <v>509</v>
      </c>
    </row>
    <row r="38" spans="1:23" ht="16.5" customHeight="1">
      <c r="A38" s="72" t="s">
        <v>325</v>
      </c>
      <c r="B38" s="77"/>
      <c r="C38" s="74">
        <f t="shared" si="0"/>
        <v>1305</v>
      </c>
      <c r="D38" s="75">
        <f t="shared" si="1"/>
        <v>1305</v>
      </c>
      <c r="E38" s="75">
        <f t="shared" si="2"/>
        <v>1625</v>
      </c>
      <c r="F38" s="76">
        <f t="shared" si="3"/>
        <v>124.52107279693487</v>
      </c>
      <c r="G38" s="74">
        <v>565</v>
      </c>
      <c r="H38" s="75">
        <v>565</v>
      </c>
      <c r="I38" s="75">
        <v>524</v>
      </c>
      <c r="J38" s="76">
        <f t="shared" si="4"/>
        <v>92.7433628318584</v>
      </c>
      <c r="K38" s="74"/>
      <c r="L38" s="75"/>
      <c r="M38" s="75"/>
      <c r="N38" s="76"/>
      <c r="O38" s="74">
        <v>300</v>
      </c>
      <c r="P38" s="75">
        <v>300</v>
      </c>
      <c r="Q38" s="75">
        <v>552</v>
      </c>
      <c r="R38" s="76">
        <f t="shared" si="5"/>
        <v>184</v>
      </c>
      <c r="U38" s="71">
        <f t="shared" si="6"/>
        <v>1305</v>
      </c>
      <c r="V38" s="71">
        <f t="shared" si="7"/>
        <v>1305</v>
      </c>
      <c r="W38" s="71">
        <f t="shared" si="8"/>
        <v>1625</v>
      </c>
    </row>
    <row r="39" spans="1:23" ht="16.5" customHeight="1">
      <c r="A39" s="72" t="s">
        <v>29</v>
      </c>
      <c r="B39" s="77"/>
      <c r="C39" s="74">
        <f t="shared" si="0"/>
        <v>74</v>
      </c>
      <c r="D39" s="75">
        <f t="shared" si="1"/>
        <v>74</v>
      </c>
      <c r="E39" s="75">
        <f t="shared" si="2"/>
        <v>66</v>
      </c>
      <c r="F39" s="76">
        <f t="shared" si="3"/>
        <v>89.1891891891892</v>
      </c>
      <c r="G39" s="74">
        <v>50</v>
      </c>
      <c r="H39" s="75">
        <v>50</v>
      </c>
      <c r="I39" s="75">
        <v>49</v>
      </c>
      <c r="J39" s="76">
        <f t="shared" si="4"/>
        <v>98</v>
      </c>
      <c r="K39" s="74"/>
      <c r="L39" s="75"/>
      <c r="M39" s="75"/>
      <c r="N39" s="76"/>
      <c r="O39" s="74">
        <v>20</v>
      </c>
      <c r="P39" s="75">
        <v>20</v>
      </c>
      <c r="Q39" s="75">
        <v>14</v>
      </c>
      <c r="R39" s="76">
        <f t="shared" si="5"/>
        <v>70</v>
      </c>
      <c r="U39" s="71">
        <f t="shared" si="6"/>
        <v>74</v>
      </c>
      <c r="V39" s="71">
        <f t="shared" si="7"/>
        <v>74</v>
      </c>
      <c r="W39" s="71">
        <f t="shared" si="8"/>
        <v>66</v>
      </c>
    </row>
    <row r="40" spans="1:23" ht="16.5" customHeight="1">
      <c r="A40" s="72" t="s">
        <v>30</v>
      </c>
      <c r="B40" s="77"/>
      <c r="C40" s="74">
        <f t="shared" si="0"/>
        <v>35</v>
      </c>
      <c r="D40" s="75">
        <f t="shared" si="1"/>
        <v>41</v>
      </c>
      <c r="E40" s="75">
        <f t="shared" si="2"/>
        <v>37</v>
      </c>
      <c r="F40" s="76">
        <f t="shared" si="3"/>
        <v>90.2439024390244</v>
      </c>
      <c r="G40" s="74">
        <v>26</v>
      </c>
      <c r="H40" s="75">
        <v>26</v>
      </c>
      <c r="I40" s="75">
        <v>23</v>
      </c>
      <c r="J40" s="76">
        <f t="shared" si="4"/>
        <v>88.46153846153845</v>
      </c>
      <c r="K40" s="74"/>
      <c r="L40" s="75"/>
      <c r="M40" s="75"/>
      <c r="N40" s="76"/>
      <c r="O40" s="74">
        <v>9</v>
      </c>
      <c r="P40" s="75">
        <v>15</v>
      </c>
      <c r="Q40" s="75">
        <v>14</v>
      </c>
      <c r="R40" s="76">
        <f t="shared" si="5"/>
        <v>93.33333333333333</v>
      </c>
      <c r="U40" s="71">
        <f t="shared" si="6"/>
        <v>35</v>
      </c>
      <c r="V40" s="71">
        <f t="shared" si="7"/>
        <v>41</v>
      </c>
      <c r="W40" s="71">
        <f t="shared" si="8"/>
        <v>37</v>
      </c>
    </row>
    <row r="41" spans="1:23" ht="16.5" customHeight="1">
      <c r="A41" s="72" t="s">
        <v>31</v>
      </c>
      <c r="B41" s="77"/>
      <c r="C41" s="74">
        <f t="shared" si="0"/>
        <v>17</v>
      </c>
      <c r="D41" s="75">
        <f t="shared" si="1"/>
        <v>21</v>
      </c>
      <c r="E41" s="75">
        <f t="shared" si="2"/>
        <v>22</v>
      </c>
      <c r="F41" s="76">
        <f t="shared" si="3"/>
        <v>104.76190476190477</v>
      </c>
      <c r="G41" s="74">
        <v>15</v>
      </c>
      <c r="H41" s="75">
        <v>19</v>
      </c>
      <c r="I41" s="75">
        <v>20</v>
      </c>
      <c r="J41" s="76">
        <f t="shared" si="4"/>
        <v>105.26315789473684</v>
      </c>
      <c r="K41" s="74"/>
      <c r="L41" s="75"/>
      <c r="M41" s="75"/>
      <c r="N41" s="76"/>
      <c r="O41" s="74">
        <v>2</v>
      </c>
      <c r="P41" s="75">
        <v>2</v>
      </c>
      <c r="Q41" s="75">
        <v>2</v>
      </c>
      <c r="R41" s="76">
        <f t="shared" si="5"/>
        <v>100</v>
      </c>
      <c r="U41" s="71">
        <f t="shared" si="6"/>
        <v>17</v>
      </c>
      <c r="V41" s="71">
        <f t="shared" si="7"/>
        <v>21</v>
      </c>
      <c r="W41" s="71">
        <f t="shared" si="8"/>
        <v>22</v>
      </c>
    </row>
    <row r="42" spans="1:23" ht="15" customHeight="1">
      <c r="A42" s="72" t="s">
        <v>32</v>
      </c>
      <c r="B42" s="73"/>
      <c r="C42" s="74">
        <f t="shared" si="0"/>
        <v>41</v>
      </c>
      <c r="D42" s="75">
        <f t="shared" si="1"/>
        <v>68</v>
      </c>
      <c r="E42" s="75">
        <f t="shared" si="2"/>
        <v>68</v>
      </c>
      <c r="F42" s="76">
        <f t="shared" si="3"/>
        <v>100</v>
      </c>
      <c r="G42" s="74">
        <v>31</v>
      </c>
      <c r="H42" s="75">
        <v>30</v>
      </c>
      <c r="I42" s="75">
        <v>30</v>
      </c>
      <c r="J42" s="76">
        <f t="shared" si="4"/>
        <v>100</v>
      </c>
      <c r="K42" s="74"/>
      <c r="L42" s="75"/>
      <c r="M42" s="75"/>
      <c r="N42" s="76"/>
      <c r="O42" s="74">
        <v>5</v>
      </c>
      <c r="P42" s="75">
        <v>38</v>
      </c>
      <c r="Q42" s="75">
        <v>38</v>
      </c>
      <c r="R42" s="76">
        <f t="shared" si="5"/>
        <v>100</v>
      </c>
      <c r="U42" s="71">
        <f t="shared" si="6"/>
        <v>41</v>
      </c>
      <c r="V42" s="71">
        <f t="shared" si="7"/>
        <v>68</v>
      </c>
      <c r="W42" s="71">
        <f t="shared" si="8"/>
        <v>68</v>
      </c>
    </row>
    <row r="43" spans="1:23" ht="15" customHeight="1" thickBot="1">
      <c r="A43" s="78"/>
      <c r="B43" s="79"/>
      <c r="C43" s="80"/>
      <c r="D43" s="81"/>
      <c r="E43" s="82"/>
      <c r="F43" s="83"/>
      <c r="G43" s="80"/>
      <c r="H43" s="81"/>
      <c r="I43" s="81"/>
      <c r="J43" s="83"/>
      <c r="K43" s="80"/>
      <c r="L43" s="81"/>
      <c r="M43" s="81"/>
      <c r="N43" s="83"/>
      <c r="O43" s="80"/>
      <c r="P43" s="81"/>
      <c r="Q43" s="81"/>
      <c r="R43" s="83"/>
      <c r="U43" s="4"/>
      <c r="V43" s="71"/>
      <c r="W43" s="4"/>
    </row>
    <row r="44" spans="1:23" ht="15" customHeight="1">
      <c r="A44" s="4"/>
      <c r="B44" s="4"/>
      <c r="C44" s="84"/>
      <c r="D44" s="84"/>
      <c r="E44" s="12"/>
      <c r="F44" s="7"/>
      <c r="G44" s="84"/>
      <c r="H44" s="84"/>
      <c r="I44" s="84"/>
      <c r="J44" s="62"/>
      <c r="K44" s="84"/>
      <c r="L44" s="84"/>
      <c r="M44" s="84"/>
      <c r="N44" s="85"/>
      <c r="O44" s="4"/>
      <c r="P44" s="4"/>
      <c r="Q44" s="84"/>
      <c r="R44" s="7"/>
      <c r="T44" s="86"/>
      <c r="U44" s="71">
        <f>SUM(U14:U43)</f>
        <v>116667</v>
      </c>
      <c r="V44" s="71">
        <f>SUM(V14:V43)</f>
        <v>123198</v>
      </c>
      <c r="W44" s="71">
        <f>SUM(W14:W43)</f>
        <v>124204</v>
      </c>
    </row>
    <row r="45" spans="1:23" ht="16.5" customHeight="1" thickBot="1">
      <c r="A45" s="4"/>
      <c r="B45" s="4"/>
      <c r="C45" s="4"/>
      <c r="D45" s="4"/>
      <c r="E45" s="12"/>
      <c r="F45" s="7"/>
      <c r="G45" s="4"/>
      <c r="H45" s="4"/>
      <c r="I45" s="4"/>
      <c r="J45" s="62"/>
      <c r="K45" s="4"/>
      <c r="L45" s="4"/>
      <c r="M45" s="4"/>
      <c r="N45" s="85"/>
      <c r="O45" s="4"/>
      <c r="P45" s="4"/>
      <c r="Q45" s="4"/>
      <c r="R45" s="7"/>
      <c r="U45" s="4"/>
      <c r="V45" s="4"/>
      <c r="W45" s="4"/>
    </row>
    <row r="46" spans="1:23" ht="18" customHeight="1" thickBot="1">
      <c r="A46" s="49" t="s">
        <v>33</v>
      </c>
      <c r="B46" s="4"/>
      <c r="C46" s="87">
        <f>SUM(C14:C42)</f>
        <v>116667</v>
      </c>
      <c r="D46" s="88">
        <f>SUM(D14:D45)</f>
        <v>123198</v>
      </c>
      <c r="E46" s="88">
        <f>SUM(E14:E42)</f>
        <v>124204</v>
      </c>
      <c r="F46" s="89">
        <f>SUM(E46/D46*100)</f>
        <v>100.81657169759248</v>
      </c>
      <c r="G46" s="87">
        <f>SUM(G14:G42)</f>
        <v>12198</v>
      </c>
      <c r="H46" s="88">
        <f>SUM(H14:H42)</f>
        <v>12309</v>
      </c>
      <c r="I46" s="88">
        <f>SUM(I14:I42)</f>
        <v>12239</v>
      </c>
      <c r="J46" s="89">
        <f>SUM(I46/H46*100)</f>
        <v>99.43131042326753</v>
      </c>
      <c r="K46" s="87">
        <f>SUM(K14:K42)</f>
        <v>676</v>
      </c>
      <c r="L46" s="88">
        <f>SUM(L14:L42)</f>
        <v>823</v>
      </c>
      <c r="M46" s="88">
        <f>SUM(M14:M42)</f>
        <v>956</v>
      </c>
      <c r="N46" s="89">
        <f>SUM(M46/L46*100)</f>
        <v>116.16038882138517</v>
      </c>
      <c r="O46" s="87">
        <f>SUM(O14:O42)</f>
        <v>41716</v>
      </c>
      <c r="P46" s="88">
        <f>SUM(P14:P42)</f>
        <v>43949</v>
      </c>
      <c r="Q46" s="88">
        <f>SUM(Q14:Q42)</f>
        <v>46568</v>
      </c>
      <c r="R46" s="89">
        <f>SUM(Q46/P46*100)</f>
        <v>105.95917995858836</v>
      </c>
      <c r="S46" s="2" t="s">
        <v>93</v>
      </c>
      <c r="T46" s="86"/>
      <c r="U46" s="71">
        <f>+G46+K46+O46+C94+G94+K94+O94</f>
        <v>116667</v>
      </c>
      <c r="V46" s="71">
        <f>+H46+L46+P46+D94+H94+L94+P94</f>
        <v>123198</v>
      </c>
      <c r="W46" s="71">
        <f>+I46+M46+Q46+E94+I94+M94+Q94</f>
        <v>124204</v>
      </c>
    </row>
    <row r="47" spans="1:23" ht="16.5" customHeight="1">
      <c r="A47" s="9" t="s">
        <v>35</v>
      </c>
      <c r="B47" s="1"/>
      <c r="C47" s="1"/>
      <c r="D47" s="1"/>
      <c r="E47" s="1"/>
      <c r="F47" s="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T47" s="86"/>
      <c r="U47" s="90"/>
      <c r="V47" s="4"/>
      <c r="W47" s="4"/>
    </row>
    <row r="48" spans="1:22" s="6" customFormat="1" ht="16.5" customHeight="1" hidden="1">
      <c r="A48" s="91"/>
      <c r="B48" s="92"/>
      <c r="C48" s="92">
        <v>116667</v>
      </c>
      <c r="D48" s="92">
        <v>123198</v>
      </c>
      <c r="E48" s="93">
        <v>124203628</v>
      </c>
      <c r="F48" s="93"/>
      <c r="G48" s="94"/>
      <c r="H48" s="92">
        <v>12198</v>
      </c>
      <c r="I48" s="92">
        <v>12309</v>
      </c>
      <c r="J48" s="95">
        <v>12239344</v>
      </c>
      <c r="K48" s="92"/>
      <c r="L48" s="92">
        <v>676</v>
      </c>
      <c r="M48" s="92">
        <v>823</v>
      </c>
      <c r="N48" s="95">
        <v>955429</v>
      </c>
      <c r="O48" s="92"/>
      <c r="P48" s="92">
        <v>41716</v>
      </c>
      <c r="Q48" s="92">
        <v>43949</v>
      </c>
      <c r="R48" s="95">
        <v>46568141</v>
      </c>
      <c r="S48" s="92"/>
      <c r="U48" s="96"/>
      <c r="V48" s="96"/>
    </row>
    <row r="49" spans="1:19" ht="16.5" customHeight="1" hidden="1">
      <c r="A49" s="4"/>
      <c r="B49" s="4"/>
      <c r="C49" s="4"/>
      <c r="D49" s="4"/>
      <c r="E49" s="4"/>
      <c r="F49" s="4"/>
      <c r="G49" s="97"/>
      <c r="H49" s="4"/>
      <c r="I49" s="4"/>
      <c r="J49" s="98"/>
      <c r="K49" s="4"/>
      <c r="L49" s="4"/>
      <c r="M49" s="4"/>
      <c r="N49" s="4"/>
      <c r="O49" s="4"/>
      <c r="P49" s="4"/>
      <c r="Q49" s="4"/>
      <c r="R49" s="4"/>
      <c r="S49" s="4"/>
    </row>
    <row r="50" spans="1:18" ht="24.75" customHeight="1">
      <c r="A50" s="10" t="s">
        <v>82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99"/>
      <c r="R50" s="1"/>
    </row>
    <row r="51" spans="1:18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R51" s="775" t="s">
        <v>331</v>
      </c>
    </row>
    <row r="52" spans="1:28" ht="16.5" customHeight="1" thickBot="1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R52" s="775" t="s">
        <v>3</v>
      </c>
      <c r="S52" s="17"/>
      <c r="T52" s="17"/>
      <c r="U52" s="5"/>
      <c r="V52" s="17"/>
      <c r="W52" s="5"/>
      <c r="X52" s="17"/>
      <c r="Y52" s="5"/>
      <c r="Z52" s="5"/>
      <c r="AA52" s="5"/>
      <c r="AB52" s="17"/>
    </row>
    <row r="53" spans="1:18" ht="16.5" customHeight="1" thickBot="1">
      <c r="A53" s="18"/>
      <c r="B53" s="19"/>
      <c r="C53" s="23" t="s">
        <v>84</v>
      </c>
      <c r="D53" s="19" t="s">
        <v>94</v>
      </c>
      <c r="E53" s="19"/>
      <c r="F53" s="19"/>
      <c r="G53" s="23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4"/>
    </row>
    <row r="54" spans="1:18" ht="16.5" customHeight="1" thickBot="1">
      <c r="A54" s="25" t="s">
        <v>45</v>
      </c>
      <c r="B54" s="14"/>
      <c r="C54" s="20" t="s">
        <v>309</v>
      </c>
      <c r="D54" s="21"/>
      <c r="E54" s="22"/>
      <c r="F54" s="50"/>
      <c r="G54" s="20" t="s">
        <v>95</v>
      </c>
      <c r="H54" s="21"/>
      <c r="I54" s="22"/>
      <c r="J54" s="50"/>
      <c r="K54" s="51" t="s">
        <v>310</v>
      </c>
      <c r="L54" s="52"/>
      <c r="M54" s="53"/>
      <c r="N54" s="54"/>
      <c r="O54" s="29" t="s">
        <v>96</v>
      </c>
      <c r="P54" s="30"/>
      <c r="Q54" s="31"/>
      <c r="R54" s="32"/>
    </row>
    <row r="55" spans="1:18" ht="16.5" customHeight="1">
      <c r="A55" s="37"/>
      <c r="B55" s="38" t="s">
        <v>46</v>
      </c>
      <c r="C55" s="39" t="s">
        <v>0</v>
      </c>
      <c r="D55" s="40" t="s">
        <v>4</v>
      </c>
      <c r="E55" s="40" t="s">
        <v>5</v>
      </c>
      <c r="F55" s="41" t="s">
        <v>2</v>
      </c>
      <c r="G55" s="39" t="s">
        <v>0</v>
      </c>
      <c r="H55" s="40" t="s">
        <v>4</v>
      </c>
      <c r="I55" s="40" t="s">
        <v>5</v>
      </c>
      <c r="J55" s="41" t="s">
        <v>2</v>
      </c>
      <c r="K55" s="39" t="s">
        <v>0</v>
      </c>
      <c r="L55" s="40" t="s">
        <v>4</v>
      </c>
      <c r="M55" s="40" t="s">
        <v>5</v>
      </c>
      <c r="N55" s="41" t="s">
        <v>2</v>
      </c>
      <c r="O55" s="39" t="s">
        <v>0</v>
      </c>
      <c r="P55" s="40" t="s">
        <v>4</v>
      </c>
      <c r="Q55" s="40" t="s">
        <v>5</v>
      </c>
      <c r="R55" s="41" t="s">
        <v>2</v>
      </c>
    </row>
    <row r="56" spans="1:18" ht="16.5" customHeight="1" thickBot="1">
      <c r="A56" s="13"/>
      <c r="B56" s="42"/>
      <c r="C56" s="43" t="s">
        <v>1</v>
      </c>
      <c r="D56" s="44" t="s">
        <v>1</v>
      </c>
      <c r="E56" s="45" t="s">
        <v>314</v>
      </c>
      <c r="F56" s="46" t="s">
        <v>48</v>
      </c>
      <c r="G56" s="43" t="s">
        <v>1</v>
      </c>
      <c r="H56" s="44" t="s">
        <v>1</v>
      </c>
      <c r="I56" s="45" t="s">
        <v>314</v>
      </c>
      <c r="J56" s="46" t="s">
        <v>48</v>
      </c>
      <c r="K56" s="43" t="s">
        <v>1</v>
      </c>
      <c r="L56" s="44" t="s">
        <v>1</v>
      </c>
      <c r="M56" s="45" t="s">
        <v>314</v>
      </c>
      <c r="N56" s="46" t="s">
        <v>48</v>
      </c>
      <c r="O56" s="43" t="s">
        <v>1</v>
      </c>
      <c r="P56" s="44" t="s">
        <v>1</v>
      </c>
      <c r="Q56" s="45" t="s">
        <v>314</v>
      </c>
      <c r="R56" s="46" t="s">
        <v>48</v>
      </c>
    </row>
    <row r="57" spans="1:18" ht="16.5" customHeight="1">
      <c r="A57" s="4"/>
      <c r="B57" s="4"/>
      <c r="C57" s="47"/>
      <c r="D57" s="47" t="s">
        <v>97</v>
      </c>
      <c r="E57" s="47"/>
      <c r="F57" s="63"/>
      <c r="G57" s="47"/>
      <c r="H57" s="47" t="s">
        <v>98</v>
      </c>
      <c r="I57" s="47"/>
      <c r="J57" s="63"/>
      <c r="K57" s="47"/>
      <c r="L57" s="47" t="s">
        <v>99</v>
      </c>
      <c r="M57" s="47"/>
      <c r="N57" s="63"/>
      <c r="O57" s="47"/>
      <c r="P57" s="47" t="s">
        <v>100</v>
      </c>
      <c r="Q57" s="47"/>
      <c r="R57" s="63"/>
    </row>
    <row r="58" spans="1:18" ht="16.5" customHeight="1">
      <c r="A58" s="4"/>
      <c r="B58" s="4"/>
      <c r="C58" s="47"/>
      <c r="D58" s="4"/>
      <c r="E58" s="4"/>
      <c r="F58" s="4"/>
      <c r="G58" s="47"/>
      <c r="H58" s="47"/>
      <c r="I58" s="47"/>
      <c r="J58" s="4"/>
      <c r="K58" s="47"/>
      <c r="L58" s="4"/>
      <c r="M58" s="4"/>
      <c r="N58" s="4"/>
      <c r="O58" s="47"/>
      <c r="P58" s="4"/>
      <c r="Q58" s="4"/>
      <c r="R58" s="62"/>
    </row>
    <row r="59" spans="1:18" ht="16.5" customHeight="1" thickBo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21" ht="16.5" customHeight="1">
      <c r="A60" s="65"/>
      <c r="B60" s="66"/>
      <c r="C60" s="67"/>
      <c r="D60" s="68"/>
      <c r="E60" s="68"/>
      <c r="F60" s="70"/>
      <c r="G60" s="67"/>
      <c r="H60" s="68"/>
      <c r="I60" s="68"/>
      <c r="J60" s="70"/>
      <c r="K60" s="67"/>
      <c r="L60" s="68"/>
      <c r="M60" s="68"/>
      <c r="N60" s="70"/>
      <c r="O60" s="67"/>
      <c r="P60" s="68"/>
      <c r="Q60" s="68"/>
      <c r="R60" s="69"/>
      <c r="T60" s="100"/>
      <c r="U60" s="100"/>
    </row>
    <row r="61" spans="1:21" ht="16.5" customHeight="1">
      <c r="A61" s="72" t="s">
        <v>80</v>
      </c>
      <c r="B61" s="73"/>
      <c r="C61" s="74">
        <v>15975</v>
      </c>
      <c r="D61" s="75">
        <v>11982</v>
      </c>
      <c r="E61" s="75">
        <v>8644</v>
      </c>
      <c r="F61" s="76">
        <f>SUM(E61/D61*100)</f>
        <v>72.14154565181104</v>
      </c>
      <c r="G61" s="74">
        <v>1500</v>
      </c>
      <c r="H61" s="75">
        <v>1500</v>
      </c>
      <c r="I61" s="75">
        <v>1708</v>
      </c>
      <c r="J61" s="76">
        <f>SUM(I61/H61*100)</f>
        <v>113.86666666666667</v>
      </c>
      <c r="K61" s="74">
        <v>18000</v>
      </c>
      <c r="L61" s="75">
        <v>23061</v>
      </c>
      <c r="M61" s="75">
        <v>23144</v>
      </c>
      <c r="N61" s="76">
        <f aca="true" t="shared" si="9" ref="N61:N68">SUM(M61/L61*100)</f>
        <v>100.3599150080222</v>
      </c>
      <c r="O61" s="101"/>
      <c r="P61" s="75">
        <v>188</v>
      </c>
      <c r="Q61" s="75">
        <v>188</v>
      </c>
      <c r="R61" s="76">
        <f>SUM(Q61/P61*100)</f>
        <v>100</v>
      </c>
      <c r="T61" s="100"/>
      <c r="U61" s="100"/>
    </row>
    <row r="62" spans="1:21" ht="16.5" customHeight="1">
      <c r="A62" s="72" t="s">
        <v>7</v>
      </c>
      <c r="B62" s="77"/>
      <c r="C62" s="74"/>
      <c r="D62" s="75"/>
      <c r="E62" s="75"/>
      <c r="F62" s="76"/>
      <c r="G62" s="74">
        <v>10</v>
      </c>
      <c r="H62" s="75">
        <v>25</v>
      </c>
      <c r="I62" s="75">
        <v>26</v>
      </c>
      <c r="J62" s="76">
        <f>SUM(I62/H62*100)</f>
        <v>104</v>
      </c>
      <c r="K62" s="74">
        <v>1200</v>
      </c>
      <c r="L62" s="75">
        <v>1300</v>
      </c>
      <c r="M62" s="75">
        <v>1505</v>
      </c>
      <c r="N62" s="76">
        <f t="shared" si="9"/>
        <v>115.76923076923077</v>
      </c>
      <c r="O62" s="74"/>
      <c r="P62" s="75"/>
      <c r="Q62" s="75"/>
      <c r="R62" s="76"/>
      <c r="T62" s="100"/>
      <c r="U62" s="100"/>
    </row>
    <row r="63" spans="1:21" ht="16.5" customHeight="1">
      <c r="A63" s="72" t="s">
        <v>8</v>
      </c>
      <c r="B63" s="77"/>
      <c r="C63" s="74"/>
      <c r="D63" s="75"/>
      <c r="E63" s="75"/>
      <c r="F63" s="76"/>
      <c r="G63" s="74">
        <v>15</v>
      </c>
      <c r="H63" s="75">
        <v>15</v>
      </c>
      <c r="I63" s="75">
        <v>0</v>
      </c>
      <c r="J63" s="76">
        <f>SUM(I63/H63*100)</f>
        <v>0</v>
      </c>
      <c r="K63" s="74">
        <v>500</v>
      </c>
      <c r="L63" s="75">
        <v>704</v>
      </c>
      <c r="M63" s="75">
        <v>739</v>
      </c>
      <c r="N63" s="76">
        <f t="shared" si="9"/>
        <v>104.97159090909092</v>
      </c>
      <c r="O63" s="74"/>
      <c r="P63" s="75"/>
      <c r="Q63" s="75"/>
      <c r="R63" s="76"/>
      <c r="T63" s="100"/>
      <c r="U63" s="100"/>
    </row>
    <row r="64" spans="1:21" ht="16.5" customHeight="1">
      <c r="A64" s="72" t="s">
        <v>9</v>
      </c>
      <c r="B64" s="77"/>
      <c r="C64" s="74"/>
      <c r="D64" s="75"/>
      <c r="E64" s="75"/>
      <c r="F64" s="76"/>
      <c r="G64" s="74"/>
      <c r="H64" s="75"/>
      <c r="I64" s="75"/>
      <c r="J64" s="76"/>
      <c r="K64" s="74"/>
      <c r="L64" s="75"/>
      <c r="M64" s="75">
        <v>5</v>
      </c>
      <c r="N64" s="76"/>
      <c r="O64" s="74"/>
      <c r="P64" s="75"/>
      <c r="Q64" s="75"/>
      <c r="R64" s="76"/>
      <c r="T64" s="100"/>
      <c r="U64" s="100"/>
    </row>
    <row r="65" spans="1:21" ht="16.5" customHeight="1">
      <c r="A65" s="72" t="s">
        <v>10</v>
      </c>
      <c r="B65" s="77"/>
      <c r="C65" s="74">
        <v>7</v>
      </c>
      <c r="D65" s="75"/>
      <c r="E65" s="75"/>
      <c r="F65" s="76"/>
      <c r="G65" s="74">
        <v>30</v>
      </c>
      <c r="H65" s="75">
        <v>30</v>
      </c>
      <c r="I65" s="102">
        <v>36</v>
      </c>
      <c r="J65" s="76">
        <f aca="true" t="shared" si="10" ref="J65:J86">SUM(I65/H65*100)</f>
        <v>120</v>
      </c>
      <c r="K65" s="74">
        <v>1100</v>
      </c>
      <c r="L65" s="75">
        <v>1100</v>
      </c>
      <c r="M65" s="75">
        <v>1141</v>
      </c>
      <c r="N65" s="76">
        <f t="shared" si="9"/>
        <v>103.72727272727273</v>
      </c>
      <c r="O65" s="74"/>
      <c r="P65" s="75"/>
      <c r="Q65" s="75"/>
      <c r="R65" s="76"/>
      <c r="T65" s="100"/>
      <c r="U65" s="100"/>
    </row>
    <row r="66" spans="1:21" ht="16.5" customHeight="1">
      <c r="A66" s="72" t="s">
        <v>11</v>
      </c>
      <c r="B66" s="77"/>
      <c r="C66" s="74">
        <v>1</v>
      </c>
      <c r="D66" s="75"/>
      <c r="E66" s="75"/>
      <c r="F66" s="76"/>
      <c r="G66" s="74"/>
      <c r="H66" s="75"/>
      <c r="I66" s="75"/>
      <c r="J66" s="76"/>
      <c r="K66" s="74">
        <v>200</v>
      </c>
      <c r="L66" s="75">
        <v>200</v>
      </c>
      <c r="M66" s="75">
        <v>215</v>
      </c>
      <c r="N66" s="76">
        <f t="shared" si="9"/>
        <v>107.5</v>
      </c>
      <c r="O66" s="74"/>
      <c r="P66" s="75"/>
      <c r="Q66" s="75"/>
      <c r="R66" s="76"/>
      <c r="T66" s="100"/>
      <c r="U66" s="100"/>
    </row>
    <row r="67" spans="1:21" ht="16.5" customHeight="1">
      <c r="A67" s="72" t="s">
        <v>242</v>
      </c>
      <c r="B67" s="77"/>
      <c r="C67" s="74"/>
      <c r="D67" s="75">
        <v>7</v>
      </c>
      <c r="E67" s="75">
        <v>7</v>
      </c>
      <c r="F67" s="76">
        <f>SUM(E67/D67*100)</f>
        <v>100</v>
      </c>
      <c r="G67" s="74">
        <v>30</v>
      </c>
      <c r="H67" s="75">
        <v>30</v>
      </c>
      <c r="I67" s="75">
        <v>37</v>
      </c>
      <c r="J67" s="76">
        <f t="shared" si="10"/>
        <v>123.33333333333334</v>
      </c>
      <c r="K67" s="74">
        <v>1400</v>
      </c>
      <c r="L67" s="75">
        <v>1400</v>
      </c>
      <c r="M67" s="75">
        <v>1757</v>
      </c>
      <c r="N67" s="76">
        <f t="shared" si="9"/>
        <v>125.49999999999999</v>
      </c>
      <c r="O67" s="74"/>
      <c r="P67" s="75"/>
      <c r="Q67" s="75"/>
      <c r="R67" s="76"/>
      <c r="T67" s="100"/>
      <c r="U67" s="100"/>
    </row>
    <row r="68" spans="1:21" ht="16.5" customHeight="1">
      <c r="A68" s="72" t="s">
        <v>13</v>
      </c>
      <c r="B68" s="77"/>
      <c r="C68" s="74">
        <v>3</v>
      </c>
      <c r="D68" s="75">
        <v>3</v>
      </c>
      <c r="E68" s="75">
        <v>6</v>
      </c>
      <c r="F68" s="76">
        <f>SUM(E68/D68*100)</f>
        <v>200</v>
      </c>
      <c r="G68" s="74">
        <v>100</v>
      </c>
      <c r="H68" s="75">
        <v>100</v>
      </c>
      <c r="I68" s="75">
        <v>156</v>
      </c>
      <c r="J68" s="76">
        <f t="shared" si="10"/>
        <v>156</v>
      </c>
      <c r="K68" s="74">
        <v>550</v>
      </c>
      <c r="L68" s="75">
        <v>500</v>
      </c>
      <c r="M68" s="75">
        <v>552</v>
      </c>
      <c r="N68" s="76">
        <f t="shared" si="9"/>
        <v>110.4</v>
      </c>
      <c r="O68" s="74"/>
      <c r="P68" s="75"/>
      <c r="Q68" s="75"/>
      <c r="R68" s="76"/>
      <c r="T68" s="100"/>
      <c r="U68" s="100"/>
    </row>
    <row r="69" spans="1:21" ht="16.5" customHeight="1">
      <c r="A69" s="72" t="s">
        <v>14</v>
      </c>
      <c r="B69" s="77"/>
      <c r="C69" s="74"/>
      <c r="D69" s="75"/>
      <c r="E69" s="75"/>
      <c r="F69" s="76"/>
      <c r="G69" s="74">
        <v>10</v>
      </c>
      <c r="H69" s="75">
        <v>10</v>
      </c>
      <c r="I69" s="75">
        <v>10</v>
      </c>
      <c r="J69" s="76">
        <f t="shared" si="10"/>
        <v>100</v>
      </c>
      <c r="K69" s="74"/>
      <c r="L69" s="75"/>
      <c r="M69" s="103"/>
      <c r="N69" s="76"/>
      <c r="O69" s="74"/>
      <c r="P69" s="75"/>
      <c r="Q69" s="75"/>
      <c r="R69" s="76"/>
      <c r="T69" s="100"/>
      <c r="U69" s="100"/>
    </row>
    <row r="70" spans="1:21" ht="16.5" customHeight="1">
      <c r="A70" s="72" t="s">
        <v>15</v>
      </c>
      <c r="B70" s="77"/>
      <c r="C70" s="74"/>
      <c r="D70" s="75"/>
      <c r="E70" s="75"/>
      <c r="F70" s="76"/>
      <c r="G70" s="74">
        <v>10</v>
      </c>
      <c r="H70" s="75">
        <v>22</v>
      </c>
      <c r="I70" s="75">
        <v>22</v>
      </c>
      <c r="J70" s="76">
        <f t="shared" si="10"/>
        <v>100</v>
      </c>
      <c r="K70" s="74">
        <v>220</v>
      </c>
      <c r="L70" s="75">
        <v>220</v>
      </c>
      <c r="M70" s="75">
        <v>194</v>
      </c>
      <c r="N70" s="76">
        <f aca="true" t="shared" si="11" ref="N70:N85">SUM(M70/L70*100)</f>
        <v>88.18181818181819</v>
      </c>
      <c r="O70" s="74"/>
      <c r="P70" s="75"/>
      <c r="Q70" s="75"/>
      <c r="R70" s="76"/>
      <c r="T70" s="100"/>
      <c r="U70" s="100"/>
    </row>
    <row r="71" spans="1:21" ht="16.5" customHeight="1">
      <c r="A71" s="72" t="s">
        <v>16</v>
      </c>
      <c r="B71" s="77"/>
      <c r="C71" s="74"/>
      <c r="D71" s="75"/>
      <c r="E71" s="75"/>
      <c r="F71" s="76"/>
      <c r="G71" s="74">
        <v>13</v>
      </c>
      <c r="H71" s="75">
        <v>13</v>
      </c>
      <c r="I71" s="75">
        <v>13</v>
      </c>
      <c r="J71" s="76">
        <f t="shared" si="10"/>
        <v>100</v>
      </c>
      <c r="K71" s="74">
        <v>260</v>
      </c>
      <c r="L71" s="75">
        <v>260</v>
      </c>
      <c r="M71" s="75">
        <v>193</v>
      </c>
      <c r="N71" s="76">
        <f t="shared" si="11"/>
        <v>74.23076923076923</v>
      </c>
      <c r="O71" s="74"/>
      <c r="P71" s="75"/>
      <c r="Q71" s="75"/>
      <c r="R71" s="76"/>
      <c r="T71" s="100"/>
      <c r="U71" s="100"/>
    </row>
    <row r="72" spans="1:21" ht="16.5" customHeight="1">
      <c r="A72" s="72" t="s">
        <v>244</v>
      </c>
      <c r="B72" s="77"/>
      <c r="C72" s="74">
        <v>220</v>
      </c>
      <c r="D72" s="75">
        <v>650</v>
      </c>
      <c r="E72" s="75">
        <v>650</v>
      </c>
      <c r="F72" s="76">
        <f>SUM(E72/D72*100)</f>
        <v>100</v>
      </c>
      <c r="G72" s="74">
        <v>8</v>
      </c>
      <c r="H72" s="75">
        <v>11</v>
      </c>
      <c r="I72" s="75">
        <v>11</v>
      </c>
      <c r="J72" s="76">
        <f t="shared" si="10"/>
        <v>100</v>
      </c>
      <c r="K72" s="74">
        <v>80</v>
      </c>
      <c r="L72" s="75">
        <v>80</v>
      </c>
      <c r="M72" s="75">
        <v>90</v>
      </c>
      <c r="N72" s="76">
        <f t="shared" si="11"/>
        <v>112.5</v>
      </c>
      <c r="O72" s="74"/>
      <c r="P72" s="75"/>
      <c r="Q72" s="75"/>
      <c r="R72" s="76"/>
      <c r="T72" s="100"/>
      <c r="U72" s="100"/>
    </row>
    <row r="73" spans="1:21" ht="16.5" customHeight="1">
      <c r="A73" s="72" t="s">
        <v>18</v>
      </c>
      <c r="B73" s="77"/>
      <c r="C73" s="74">
        <v>12</v>
      </c>
      <c r="D73" s="75"/>
      <c r="E73" s="75"/>
      <c r="F73" s="76"/>
      <c r="G73" s="74">
        <v>120</v>
      </c>
      <c r="H73" s="75">
        <v>120</v>
      </c>
      <c r="I73" s="75">
        <v>91</v>
      </c>
      <c r="J73" s="76">
        <f t="shared" si="10"/>
        <v>75.83333333333333</v>
      </c>
      <c r="K73" s="74">
        <v>3700</v>
      </c>
      <c r="L73" s="75">
        <v>4995</v>
      </c>
      <c r="M73" s="75">
        <v>5189</v>
      </c>
      <c r="N73" s="76">
        <f t="shared" si="11"/>
        <v>103.88388388388388</v>
      </c>
      <c r="O73" s="74">
        <v>17</v>
      </c>
      <c r="P73" s="75">
        <v>17</v>
      </c>
      <c r="Q73" s="75">
        <v>17</v>
      </c>
      <c r="R73" s="76">
        <f>SUM(Q73/P73*100)</f>
        <v>100</v>
      </c>
      <c r="T73" s="100"/>
      <c r="U73" s="100"/>
    </row>
    <row r="74" spans="1:21" ht="16.5" customHeight="1">
      <c r="A74" s="72" t="s">
        <v>101</v>
      </c>
      <c r="B74" s="77"/>
      <c r="C74" s="74"/>
      <c r="D74" s="75"/>
      <c r="E74" s="75"/>
      <c r="F74" s="76"/>
      <c r="G74" s="74">
        <v>54</v>
      </c>
      <c r="H74" s="75">
        <v>56</v>
      </c>
      <c r="I74" s="75">
        <v>56</v>
      </c>
      <c r="J74" s="76">
        <f t="shared" si="10"/>
        <v>100</v>
      </c>
      <c r="K74" s="74">
        <v>60</v>
      </c>
      <c r="L74" s="75">
        <v>60</v>
      </c>
      <c r="M74" s="75">
        <v>66</v>
      </c>
      <c r="N74" s="76">
        <f t="shared" si="11"/>
        <v>110.00000000000001</v>
      </c>
      <c r="O74" s="74"/>
      <c r="P74" s="75"/>
      <c r="Q74" s="75"/>
      <c r="R74" s="76"/>
      <c r="T74" s="100"/>
      <c r="U74" s="100"/>
    </row>
    <row r="75" spans="1:21" ht="16.5" customHeight="1">
      <c r="A75" s="72" t="s">
        <v>19</v>
      </c>
      <c r="B75" s="77"/>
      <c r="C75" s="74"/>
      <c r="D75" s="75"/>
      <c r="E75" s="75"/>
      <c r="F75" s="76"/>
      <c r="G75" s="74">
        <v>65</v>
      </c>
      <c r="H75" s="75">
        <v>65</v>
      </c>
      <c r="I75" s="75">
        <v>81</v>
      </c>
      <c r="J75" s="76">
        <f t="shared" si="10"/>
        <v>124.61538461538461</v>
      </c>
      <c r="K75" s="74">
        <v>2600</v>
      </c>
      <c r="L75" s="75">
        <v>2600</v>
      </c>
      <c r="M75" s="75">
        <v>2523</v>
      </c>
      <c r="N75" s="76">
        <f t="shared" si="11"/>
        <v>97.03846153846155</v>
      </c>
      <c r="O75" s="74"/>
      <c r="P75" s="75"/>
      <c r="Q75" s="75"/>
      <c r="R75" s="76"/>
      <c r="T75" s="100"/>
      <c r="U75" s="100"/>
    </row>
    <row r="76" spans="1:21" ht="16.5" customHeight="1">
      <c r="A76" s="72" t="s">
        <v>20</v>
      </c>
      <c r="B76" s="77"/>
      <c r="C76" s="74"/>
      <c r="D76" s="75"/>
      <c r="E76" s="75"/>
      <c r="F76" s="76"/>
      <c r="G76" s="74">
        <v>15</v>
      </c>
      <c r="H76" s="75">
        <v>15</v>
      </c>
      <c r="I76" s="75">
        <v>21</v>
      </c>
      <c r="J76" s="76">
        <f t="shared" si="10"/>
        <v>140</v>
      </c>
      <c r="K76" s="74">
        <v>400</v>
      </c>
      <c r="L76" s="75">
        <v>400</v>
      </c>
      <c r="M76" s="75">
        <v>449</v>
      </c>
      <c r="N76" s="76">
        <f t="shared" si="11"/>
        <v>112.25</v>
      </c>
      <c r="O76" s="74"/>
      <c r="P76" s="75"/>
      <c r="Q76" s="75"/>
      <c r="R76" s="76"/>
      <c r="T76" s="100"/>
      <c r="U76" s="100"/>
    </row>
    <row r="77" spans="1:21" ht="16.5" customHeight="1">
      <c r="A77" s="72" t="s">
        <v>21</v>
      </c>
      <c r="B77" s="77"/>
      <c r="C77" s="74">
        <v>5</v>
      </c>
      <c r="D77" s="75">
        <v>10</v>
      </c>
      <c r="E77" s="75">
        <v>11</v>
      </c>
      <c r="F77" s="76">
        <f>SUM(E77/D77*100)</f>
        <v>110.00000000000001</v>
      </c>
      <c r="G77" s="74">
        <v>180</v>
      </c>
      <c r="H77" s="75">
        <v>280</v>
      </c>
      <c r="I77" s="75">
        <v>327</v>
      </c>
      <c r="J77" s="76">
        <f t="shared" si="10"/>
        <v>116.78571428571429</v>
      </c>
      <c r="K77" s="74">
        <v>1434</v>
      </c>
      <c r="L77" s="75">
        <v>1734</v>
      </c>
      <c r="M77" s="75">
        <v>1716</v>
      </c>
      <c r="N77" s="76">
        <f t="shared" si="11"/>
        <v>98.96193771626297</v>
      </c>
      <c r="O77" s="74"/>
      <c r="P77" s="75"/>
      <c r="Q77" s="75"/>
      <c r="R77" s="76"/>
      <c r="T77" s="100"/>
      <c r="U77" s="100"/>
    </row>
    <row r="78" spans="1:21" ht="16.5" customHeight="1">
      <c r="A78" s="72" t="s">
        <v>22</v>
      </c>
      <c r="B78" s="77"/>
      <c r="C78" s="74"/>
      <c r="D78" s="75"/>
      <c r="E78" s="75"/>
      <c r="F78" s="76"/>
      <c r="G78" s="74">
        <v>12</v>
      </c>
      <c r="H78" s="75">
        <v>12</v>
      </c>
      <c r="I78" s="75">
        <v>10</v>
      </c>
      <c r="J78" s="76">
        <f t="shared" si="10"/>
        <v>83.33333333333334</v>
      </c>
      <c r="K78" s="74">
        <v>1600</v>
      </c>
      <c r="L78" s="75">
        <v>1600</v>
      </c>
      <c r="M78" s="75">
        <v>1305</v>
      </c>
      <c r="N78" s="76">
        <f t="shared" si="11"/>
        <v>81.5625</v>
      </c>
      <c r="O78" s="74"/>
      <c r="P78" s="75"/>
      <c r="Q78" s="75"/>
      <c r="R78" s="76"/>
      <c r="T78" s="100"/>
      <c r="U78" s="100"/>
    </row>
    <row r="79" spans="1:21" ht="16.5" customHeight="1">
      <c r="A79" s="72" t="s">
        <v>23</v>
      </c>
      <c r="B79" s="77"/>
      <c r="C79" s="74"/>
      <c r="D79" s="75"/>
      <c r="E79" s="75"/>
      <c r="F79" s="76"/>
      <c r="G79" s="74">
        <v>470</v>
      </c>
      <c r="H79" s="75">
        <v>550</v>
      </c>
      <c r="I79" s="75">
        <v>550</v>
      </c>
      <c r="J79" s="76">
        <f t="shared" si="10"/>
        <v>100</v>
      </c>
      <c r="K79" s="74">
        <v>1800</v>
      </c>
      <c r="L79" s="75">
        <v>1800</v>
      </c>
      <c r="M79" s="75">
        <v>2167</v>
      </c>
      <c r="N79" s="76">
        <f t="shared" si="11"/>
        <v>120.38888888888889</v>
      </c>
      <c r="O79" s="74"/>
      <c r="P79" s="75"/>
      <c r="Q79" s="75"/>
      <c r="R79" s="76"/>
      <c r="T79" s="100"/>
      <c r="U79" s="100"/>
    </row>
    <row r="80" spans="1:21" ht="16.5" customHeight="1">
      <c r="A80" s="72" t="s">
        <v>24</v>
      </c>
      <c r="B80" s="77"/>
      <c r="C80" s="74"/>
      <c r="D80" s="75"/>
      <c r="E80" s="75"/>
      <c r="F80" s="76"/>
      <c r="G80" s="74">
        <v>130</v>
      </c>
      <c r="H80" s="75">
        <v>105</v>
      </c>
      <c r="I80" s="75">
        <v>116</v>
      </c>
      <c r="J80" s="76">
        <f t="shared" si="10"/>
        <v>110.47619047619048</v>
      </c>
      <c r="K80" s="74">
        <v>780</v>
      </c>
      <c r="L80" s="75">
        <v>780</v>
      </c>
      <c r="M80" s="75">
        <v>801</v>
      </c>
      <c r="N80" s="76">
        <f t="shared" si="11"/>
        <v>102.69230769230768</v>
      </c>
      <c r="O80" s="74"/>
      <c r="P80" s="75"/>
      <c r="Q80" s="75"/>
      <c r="R80" s="76"/>
      <c r="T80" s="100"/>
      <c r="U80" s="100"/>
    </row>
    <row r="81" spans="1:21" ht="16.5" customHeight="1">
      <c r="A81" s="72" t="s">
        <v>25</v>
      </c>
      <c r="B81" s="77"/>
      <c r="C81" s="74"/>
      <c r="D81" s="75"/>
      <c r="E81" s="75"/>
      <c r="F81" s="76"/>
      <c r="G81" s="74">
        <v>2</v>
      </c>
      <c r="H81" s="75">
        <v>2</v>
      </c>
      <c r="I81" s="75">
        <v>2</v>
      </c>
      <c r="J81" s="76">
        <f t="shared" si="10"/>
        <v>100</v>
      </c>
      <c r="K81" s="74">
        <v>270</v>
      </c>
      <c r="L81" s="75">
        <v>305</v>
      </c>
      <c r="M81" s="75">
        <v>305</v>
      </c>
      <c r="N81" s="76">
        <f t="shared" si="11"/>
        <v>100</v>
      </c>
      <c r="O81" s="74"/>
      <c r="P81" s="75"/>
      <c r="Q81" s="75"/>
      <c r="R81" s="76"/>
      <c r="T81" s="100"/>
      <c r="U81" s="100"/>
    </row>
    <row r="82" spans="1:21" ht="16.5" customHeight="1">
      <c r="A82" s="72" t="s">
        <v>26</v>
      </c>
      <c r="B82" s="77"/>
      <c r="C82" s="74"/>
      <c r="D82" s="75">
        <v>6</v>
      </c>
      <c r="E82" s="75">
        <v>5</v>
      </c>
      <c r="F82" s="76">
        <f>SUM(E82/D82*100)</f>
        <v>83.33333333333334</v>
      </c>
      <c r="G82" s="74"/>
      <c r="H82" s="75"/>
      <c r="I82" s="75">
        <v>2</v>
      </c>
      <c r="J82" s="76"/>
      <c r="K82" s="74">
        <v>240</v>
      </c>
      <c r="L82" s="75">
        <v>240</v>
      </c>
      <c r="M82" s="75">
        <f>307-1</f>
        <v>306</v>
      </c>
      <c r="N82" s="76">
        <f t="shared" si="11"/>
        <v>127.49999999999999</v>
      </c>
      <c r="O82" s="74"/>
      <c r="P82" s="75"/>
      <c r="Q82" s="75"/>
      <c r="R82" s="76"/>
      <c r="T82" s="100"/>
      <c r="U82" s="100"/>
    </row>
    <row r="83" spans="1:21" ht="16.5" customHeight="1">
      <c r="A83" s="72" t="s">
        <v>27</v>
      </c>
      <c r="B83" s="77"/>
      <c r="C83" s="74">
        <v>100</v>
      </c>
      <c r="D83" s="75">
        <v>50</v>
      </c>
      <c r="E83" s="75">
        <v>49</v>
      </c>
      <c r="F83" s="76">
        <f>SUM(E83/D83*100)</f>
        <v>98</v>
      </c>
      <c r="G83" s="74">
        <v>330</v>
      </c>
      <c r="H83" s="75">
        <v>340</v>
      </c>
      <c r="I83" s="75">
        <v>347</v>
      </c>
      <c r="J83" s="76">
        <f t="shared" si="10"/>
        <v>102.05882352941175</v>
      </c>
      <c r="K83" s="74">
        <v>5600</v>
      </c>
      <c r="L83" s="75">
        <v>5900</v>
      </c>
      <c r="M83" s="75">
        <v>6080</v>
      </c>
      <c r="N83" s="76">
        <f t="shared" si="11"/>
        <v>103.05084745762711</v>
      </c>
      <c r="O83" s="74"/>
      <c r="P83" s="75"/>
      <c r="Q83" s="75"/>
      <c r="R83" s="76"/>
      <c r="T83" s="100"/>
      <c r="U83" s="100"/>
    </row>
    <row r="84" spans="1:21" ht="16.5" customHeight="1">
      <c r="A84" s="72" t="s">
        <v>28</v>
      </c>
      <c r="B84" s="77"/>
      <c r="C84" s="74"/>
      <c r="D84" s="75"/>
      <c r="E84" s="75"/>
      <c r="F84" s="76"/>
      <c r="G84" s="74">
        <v>60</v>
      </c>
      <c r="H84" s="75">
        <v>60</v>
      </c>
      <c r="I84" s="75">
        <v>88</v>
      </c>
      <c r="J84" s="76">
        <f t="shared" si="10"/>
        <v>146.66666666666666</v>
      </c>
      <c r="K84" s="74">
        <v>130</v>
      </c>
      <c r="L84" s="75">
        <v>160</v>
      </c>
      <c r="M84" s="75">
        <v>160</v>
      </c>
      <c r="N84" s="76">
        <f t="shared" si="11"/>
        <v>100</v>
      </c>
      <c r="O84" s="74"/>
      <c r="P84" s="75"/>
      <c r="Q84" s="75"/>
      <c r="R84" s="76"/>
      <c r="T84" s="100"/>
      <c r="U84" s="100"/>
    </row>
    <row r="85" spans="1:21" ht="16.5" customHeight="1">
      <c r="A85" s="72" t="s">
        <v>92</v>
      </c>
      <c r="B85" s="77"/>
      <c r="C85" s="74"/>
      <c r="D85" s="75"/>
      <c r="E85" s="75"/>
      <c r="F85" s="76"/>
      <c r="G85" s="74">
        <v>20</v>
      </c>
      <c r="H85" s="75">
        <v>20</v>
      </c>
      <c r="I85" s="75">
        <v>15</v>
      </c>
      <c r="J85" s="76">
        <f t="shared" si="10"/>
        <v>75</v>
      </c>
      <c r="K85" s="74">
        <v>420</v>
      </c>
      <c r="L85" s="75">
        <v>420</v>
      </c>
      <c r="M85" s="75">
        <v>534</v>
      </c>
      <c r="N85" s="76">
        <f t="shared" si="11"/>
        <v>127.14285714285714</v>
      </c>
      <c r="O85" s="74"/>
      <c r="P85" s="75"/>
      <c r="Q85" s="75"/>
      <c r="R85" s="76"/>
      <c r="T85" s="100"/>
      <c r="U85" s="100"/>
    </row>
    <row r="86" spans="1:21" ht="16.5" customHeight="1">
      <c r="A86" s="72" t="s">
        <v>29</v>
      </c>
      <c r="B86" s="77"/>
      <c r="C86" s="74"/>
      <c r="D86" s="75"/>
      <c r="E86" s="75"/>
      <c r="F86" s="76"/>
      <c r="G86" s="74">
        <v>4</v>
      </c>
      <c r="H86" s="75">
        <v>4</v>
      </c>
      <c r="I86" s="75">
        <v>3</v>
      </c>
      <c r="J86" s="76">
        <f t="shared" si="10"/>
        <v>75</v>
      </c>
      <c r="K86" s="74"/>
      <c r="L86" s="75"/>
      <c r="M86" s="75"/>
      <c r="N86" s="76"/>
      <c r="O86" s="74"/>
      <c r="P86" s="75"/>
      <c r="Q86" s="75"/>
      <c r="R86" s="76"/>
      <c r="T86" s="100"/>
      <c r="U86" s="100"/>
    </row>
    <row r="87" spans="1:21" ht="16.5" customHeight="1">
      <c r="A87" s="72" t="s">
        <v>30</v>
      </c>
      <c r="B87" s="77"/>
      <c r="C87" s="74"/>
      <c r="D87" s="75"/>
      <c r="E87" s="75"/>
      <c r="F87" s="76"/>
      <c r="G87" s="74"/>
      <c r="H87" s="75"/>
      <c r="I87" s="75"/>
      <c r="J87" s="76"/>
      <c r="K87" s="74"/>
      <c r="L87" s="75"/>
      <c r="M87" s="75"/>
      <c r="N87" s="76"/>
      <c r="O87" s="74"/>
      <c r="P87" s="75"/>
      <c r="Q87" s="75"/>
      <c r="R87" s="76"/>
      <c r="T87" s="100"/>
      <c r="U87" s="100"/>
    </row>
    <row r="88" spans="1:21" ht="16.5" customHeight="1">
      <c r="A88" s="72" t="s">
        <v>31</v>
      </c>
      <c r="B88" s="77"/>
      <c r="C88" s="74"/>
      <c r="D88" s="75"/>
      <c r="E88" s="75"/>
      <c r="F88" s="76"/>
      <c r="G88" s="74"/>
      <c r="H88" s="75"/>
      <c r="I88" s="75"/>
      <c r="J88" s="76"/>
      <c r="K88" s="74"/>
      <c r="L88" s="75"/>
      <c r="M88" s="75"/>
      <c r="N88" s="76"/>
      <c r="O88" s="74"/>
      <c r="P88" s="75"/>
      <c r="Q88" s="75"/>
      <c r="R88" s="76"/>
      <c r="T88" s="100"/>
      <c r="U88" s="100"/>
    </row>
    <row r="89" spans="1:21" ht="16.5" customHeight="1">
      <c r="A89" s="72" t="s">
        <v>32</v>
      </c>
      <c r="B89" s="73"/>
      <c r="C89" s="74"/>
      <c r="D89" s="75"/>
      <c r="E89" s="75"/>
      <c r="F89" s="76"/>
      <c r="G89" s="74"/>
      <c r="H89" s="75"/>
      <c r="I89" s="75"/>
      <c r="J89" s="76"/>
      <c r="K89" s="74">
        <v>5</v>
      </c>
      <c r="L89" s="75"/>
      <c r="M89" s="75"/>
      <c r="N89" s="76"/>
      <c r="O89" s="74"/>
      <c r="P89" s="75"/>
      <c r="Q89" s="75"/>
      <c r="R89" s="76"/>
      <c r="T89" s="100"/>
      <c r="U89" s="100"/>
    </row>
    <row r="90" spans="1:21" ht="16.5" customHeight="1" thickBot="1">
      <c r="A90" s="78"/>
      <c r="B90" s="79"/>
      <c r="C90" s="80"/>
      <c r="D90" s="81"/>
      <c r="E90" s="81"/>
      <c r="F90" s="83"/>
      <c r="G90" s="80"/>
      <c r="H90" s="81"/>
      <c r="I90" s="81"/>
      <c r="J90" s="83"/>
      <c r="K90" s="80"/>
      <c r="L90" s="81"/>
      <c r="M90" s="81"/>
      <c r="N90" s="83"/>
      <c r="O90" s="80"/>
      <c r="P90" s="81"/>
      <c r="Q90" s="81"/>
      <c r="R90" s="83"/>
      <c r="T90" s="100"/>
      <c r="U90" s="100"/>
    </row>
    <row r="91" spans="1:21" ht="15" customHeight="1">
      <c r="A91" s="4"/>
      <c r="B91" s="4"/>
      <c r="C91" s="84"/>
      <c r="D91" s="84"/>
      <c r="E91" s="84"/>
      <c r="F91" s="62"/>
      <c r="G91" s="84"/>
      <c r="H91" s="84"/>
      <c r="I91" s="84"/>
      <c r="J91" s="62"/>
      <c r="K91" s="84"/>
      <c r="L91" s="84"/>
      <c r="M91" s="84"/>
      <c r="N91" s="85"/>
      <c r="O91" s="4"/>
      <c r="P91" s="4"/>
      <c r="Q91" s="84"/>
      <c r="R91" s="7"/>
      <c r="T91" s="100"/>
      <c r="U91" s="100"/>
    </row>
    <row r="92" spans="1:21" ht="16.5" customHeight="1" hidden="1">
      <c r="A92" s="4"/>
      <c r="B92" s="4"/>
      <c r="C92" s="84"/>
      <c r="D92" s="84"/>
      <c r="E92" s="84"/>
      <c r="F92" s="62"/>
      <c r="G92" s="84"/>
      <c r="H92" s="84"/>
      <c r="I92" s="84"/>
      <c r="J92" s="62"/>
      <c r="K92" s="84"/>
      <c r="L92" s="84"/>
      <c r="M92" s="84"/>
      <c r="N92" s="85"/>
      <c r="O92" s="4"/>
      <c r="P92" s="4"/>
      <c r="Q92" s="84"/>
      <c r="R92" s="7"/>
      <c r="T92" s="100"/>
      <c r="U92" s="100"/>
    </row>
    <row r="93" spans="1:21" ht="16.5" customHeight="1" thickBot="1">
      <c r="A93" s="4"/>
      <c r="B93" s="4"/>
      <c r="C93" s="4"/>
      <c r="D93" s="4"/>
      <c r="E93" s="4"/>
      <c r="F93" s="62"/>
      <c r="G93" s="4"/>
      <c r="H93" s="4"/>
      <c r="I93" s="4"/>
      <c r="J93" s="62"/>
      <c r="K93" s="4"/>
      <c r="L93" s="4"/>
      <c r="M93" s="4"/>
      <c r="N93" s="85"/>
      <c r="O93" s="4"/>
      <c r="P93" s="4"/>
      <c r="Q93" s="4"/>
      <c r="R93" s="7"/>
      <c r="T93" s="100"/>
      <c r="U93" s="100"/>
    </row>
    <row r="94" spans="1:18" ht="18" customHeight="1" thickBot="1">
      <c r="A94" s="49" t="s">
        <v>33</v>
      </c>
      <c r="B94" s="4"/>
      <c r="C94" s="87">
        <f>SUM(C61:C89)</f>
        <v>16323</v>
      </c>
      <c r="D94" s="88">
        <f>SUM(D61:D89)</f>
        <v>12708</v>
      </c>
      <c r="E94" s="88">
        <f>SUM(E61:E89)</f>
        <v>9372</v>
      </c>
      <c r="F94" s="89">
        <f>SUM(E94/D94*100)</f>
        <v>73.74881964117091</v>
      </c>
      <c r="G94" s="87">
        <f>SUM(G61:G89)</f>
        <v>3188</v>
      </c>
      <c r="H94" s="88">
        <f>SUM(H61:H89)</f>
        <v>3385</v>
      </c>
      <c r="I94" s="88">
        <f>SUM(I61:I89)</f>
        <v>3728</v>
      </c>
      <c r="J94" s="89">
        <f>SUM(I94/H94*100)</f>
        <v>110.13293943870015</v>
      </c>
      <c r="K94" s="87">
        <f>SUM(K61:K89)</f>
        <v>42549</v>
      </c>
      <c r="L94" s="88">
        <f>SUM(L61:L89)</f>
        <v>49819</v>
      </c>
      <c r="M94" s="88">
        <f>SUM(M61:M89)</f>
        <v>51136</v>
      </c>
      <c r="N94" s="89">
        <f>SUM(M94/L94*100)</f>
        <v>102.64356972239509</v>
      </c>
      <c r="O94" s="87">
        <f>SUM(O61:O89)</f>
        <v>17</v>
      </c>
      <c r="P94" s="88">
        <f>SUM(P61:P93)</f>
        <v>205</v>
      </c>
      <c r="Q94" s="88">
        <f>SUM(Q60:Q90)</f>
        <v>205</v>
      </c>
      <c r="R94" s="89">
        <f>SUM(Q94/P94*100)</f>
        <v>100</v>
      </c>
    </row>
    <row r="95" ht="15" hidden="1">
      <c r="Q95" s="104"/>
    </row>
    <row r="96" spans="3:17" s="105" customFormat="1" ht="14.25" hidden="1">
      <c r="C96" s="105">
        <v>16323</v>
      </c>
      <c r="D96" s="105">
        <v>12708</v>
      </c>
      <c r="E96" s="105">
        <v>9371878</v>
      </c>
      <c r="G96" s="105">
        <v>3188</v>
      </c>
      <c r="H96" s="105">
        <v>3385</v>
      </c>
      <c r="I96" s="105">
        <v>3727599</v>
      </c>
      <c r="J96" s="106"/>
      <c r="K96" s="105">
        <v>42549</v>
      </c>
      <c r="L96" s="105">
        <v>49819</v>
      </c>
      <c r="M96" s="105">
        <v>51136393</v>
      </c>
      <c r="O96" s="105">
        <v>17</v>
      </c>
      <c r="P96" s="105">
        <v>205</v>
      </c>
      <c r="Q96" s="105">
        <v>204843</v>
      </c>
    </row>
    <row r="97" ht="15" hidden="1"/>
    <row r="98" ht="15" hidden="1"/>
  </sheetData>
  <mergeCells count="3">
    <mergeCell ref="V9:X9"/>
    <mergeCell ref="V10:W10"/>
    <mergeCell ref="A2:S2"/>
  </mergeCells>
  <printOptions horizontalCentered="1" verticalCentered="1"/>
  <pageMargins left="0.1968503937007874" right="0.1968503937007874" top="0.7480314960629921" bottom="0.7480314960629921" header="0.5118110236220472" footer="0.5118110236220472"/>
  <pageSetup horizontalDpi="600" verticalDpi="600" orientation="landscape" paperSize="9" scale="55" r:id="rId3"/>
  <rowBreaks count="1" manualBreakCount="1">
    <brk id="4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M50"/>
  <sheetViews>
    <sheetView showZeros="0" workbookViewId="0" topLeftCell="A1">
      <pane xSplit="2" ySplit="12" topLeftCell="S13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AA10" sqref="AA10"/>
    </sheetView>
  </sheetViews>
  <sheetFormatPr defaultColWidth="9.796875" defaultRowHeight="15"/>
  <cols>
    <col min="1" max="1" width="9.796875" style="187" customWidth="1"/>
    <col min="2" max="2" width="10.796875" style="187" customWidth="1"/>
    <col min="3" max="13" width="7.796875" style="187" customWidth="1"/>
    <col min="14" max="14" width="9.69921875" style="187" customWidth="1"/>
    <col min="15" max="27" width="7.796875" style="187" customWidth="1"/>
    <col min="28" max="28" width="10.796875" style="187" customWidth="1"/>
    <col min="29" max="52" width="7.796875" style="187" customWidth="1"/>
    <col min="53" max="16384" width="9.796875" style="187" customWidth="1"/>
  </cols>
  <sheetData>
    <row r="1" spans="1:27" ht="17.25" customHeight="1">
      <c r="A1" s="16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4" customHeight="1">
      <c r="A2" s="824" t="s">
        <v>317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4"/>
    </row>
    <row r="3" spans="1:39" ht="15" customHeight="1">
      <c r="A3" s="824"/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27" ht="21" customHeight="1">
      <c r="A4" s="837" t="s">
        <v>102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1"/>
    </row>
    <row r="5" spans="1:27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1" t="s">
        <v>103</v>
      </c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2.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16"/>
      <c r="N6" s="15"/>
      <c r="O6" s="3"/>
      <c r="P6" s="3"/>
      <c r="Q6" s="3"/>
      <c r="R6" s="3"/>
      <c r="S6" s="3"/>
      <c r="T6" s="3"/>
      <c r="U6" s="3"/>
      <c r="V6" s="3"/>
      <c r="W6" s="3"/>
      <c r="X6" s="3"/>
      <c r="Y6" s="11" t="s">
        <v>104</v>
      </c>
      <c r="Z6" s="777"/>
      <c r="AA6" s="4"/>
    </row>
    <row r="7" spans="1:27" ht="16.5" customHeight="1" thickBot="1">
      <c r="A7" s="3"/>
      <c r="B7" s="3"/>
      <c r="C7" s="188"/>
      <c r="D7" s="18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3"/>
      <c r="Y7" s="4"/>
      <c r="Z7" s="534" t="s">
        <v>3</v>
      </c>
      <c r="AA7" s="7"/>
    </row>
    <row r="8" spans="1:34" ht="18" customHeight="1">
      <c r="A8" s="18"/>
      <c r="B8" s="19"/>
      <c r="C8" s="345" t="s">
        <v>105</v>
      </c>
      <c r="D8" s="346"/>
      <c r="E8" s="346"/>
      <c r="F8" s="665"/>
      <c r="G8" s="234" t="s">
        <v>106</v>
      </c>
      <c r="H8" s="666"/>
      <c r="I8" s="235"/>
      <c r="J8" s="667"/>
      <c r="K8" s="345" t="s">
        <v>107</v>
      </c>
      <c r="L8" s="668"/>
      <c r="M8" s="346"/>
      <c r="N8" s="665"/>
      <c r="O8" s="234" t="s">
        <v>223</v>
      </c>
      <c r="P8" s="669"/>
      <c r="Q8" s="669"/>
      <c r="R8" s="670"/>
      <c r="S8" s="234" t="s">
        <v>108</v>
      </c>
      <c r="T8" s="669"/>
      <c r="U8" s="669"/>
      <c r="V8" s="670"/>
      <c r="W8" s="408" t="s">
        <v>305</v>
      </c>
      <c r="X8" s="409"/>
      <c r="Y8" s="409"/>
      <c r="Z8" s="410"/>
      <c r="AC8" s="386"/>
      <c r="AD8" s="671"/>
      <c r="AE8" s="671"/>
      <c r="AF8" s="386"/>
      <c r="AG8" s="386"/>
      <c r="AH8" s="386"/>
    </row>
    <row r="9" spans="1:34" ht="18" customHeight="1">
      <c r="A9" s="25" t="s">
        <v>45</v>
      </c>
      <c r="B9" s="14"/>
      <c r="C9" s="295" t="s">
        <v>71</v>
      </c>
      <c r="D9" s="296"/>
      <c r="E9" s="220" t="s">
        <v>72</v>
      </c>
      <c r="F9" s="238" t="s">
        <v>2</v>
      </c>
      <c r="G9" s="277" t="s">
        <v>71</v>
      </c>
      <c r="H9" s="237"/>
      <c r="I9" s="220" t="s">
        <v>72</v>
      </c>
      <c r="J9" s="238" t="s">
        <v>2</v>
      </c>
      <c r="K9" s="277" t="s">
        <v>71</v>
      </c>
      <c r="L9" s="237"/>
      <c r="M9" s="280" t="s">
        <v>72</v>
      </c>
      <c r="N9" s="281" t="s">
        <v>2</v>
      </c>
      <c r="O9" s="411" t="s">
        <v>71</v>
      </c>
      <c r="P9" s="412"/>
      <c r="Q9" s="220" t="s">
        <v>72</v>
      </c>
      <c r="R9" s="238" t="s">
        <v>2</v>
      </c>
      <c r="S9" s="411" t="s">
        <v>71</v>
      </c>
      <c r="T9" s="412"/>
      <c r="U9" s="220" t="s">
        <v>72</v>
      </c>
      <c r="V9" s="238" t="s">
        <v>2</v>
      </c>
      <c r="W9" s="411" t="s">
        <v>71</v>
      </c>
      <c r="X9" s="412"/>
      <c r="Y9" s="220" t="s">
        <v>72</v>
      </c>
      <c r="Z9" s="238" t="s">
        <v>2</v>
      </c>
      <c r="AA9" s="282"/>
      <c r="AC9" s="386"/>
      <c r="AD9" s="671"/>
      <c r="AE9" s="671"/>
      <c r="AF9" s="386"/>
      <c r="AG9" s="386"/>
      <c r="AH9" s="386"/>
    </row>
    <row r="10" spans="1:34" ht="18" customHeight="1" thickBot="1">
      <c r="A10" s="13"/>
      <c r="B10" s="42" t="s">
        <v>46</v>
      </c>
      <c r="C10" s="43" t="s">
        <v>109</v>
      </c>
      <c r="D10" s="45" t="s">
        <v>110</v>
      </c>
      <c r="E10" s="45" t="s">
        <v>319</v>
      </c>
      <c r="F10" s="46" t="s">
        <v>48</v>
      </c>
      <c r="G10" s="43" t="s">
        <v>109</v>
      </c>
      <c r="H10" s="44" t="s">
        <v>110</v>
      </c>
      <c r="I10" s="45" t="s">
        <v>319</v>
      </c>
      <c r="J10" s="46" t="s">
        <v>48</v>
      </c>
      <c r="K10" s="283" t="s">
        <v>109</v>
      </c>
      <c r="L10" s="284" t="s">
        <v>110</v>
      </c>
      <c r="M10" s="45" t="s">
        <v>319</v>
      </c>
      <c r="N10" s="285" t="s">
        <v>48</v>
      </c>
      <c r="O10" s="283" t="s">
        <v>109</v>
      </c>
      <c r="P10" s="284" t="s">
        <v>110</v>
      </c>
      <c r="Q10" s="45" t="s">
        <v>319</v>
      </c>
      <c r="R10" s="285" t="s">
        <v>48</v>
      </c>
      <c r="S10" s="283" t="s">
        <v>109</v>
      </c>
      <c r="T10" s="284" t="s">
        <v>110</v>
      </c>
      <c r="U10" s="45" t="s">
        <v>319</v>
      </c>
      <c r="V10" s="285" t="s">
        <v>48</v>
      </c>
      <c r="W10" s="283" t="s">
        <v>109</v>
      </c>
      <c r="X10" s="284" t="s">
        <v>110</v>
      </c>
      <c r="Y10" s="45" t="s">
        <v>319</v>
      </c>
      <c r="Z10" s="285" t="s">
        <v>48</v>
      </c>
      <c r="AA10" s="110"/>
      <c r="AC10" s="386"/>
      <c r="AD10" s="671"/>
      <c r="AE10" s="671"/>
      <c r="AF10" s="386"/>
      <c r="AG10" s="386"/>
      <c r="AH10" s="386"/>
    </row>
    <row r="11" spans="1:34" ht="15.75" customHeight="1" hidden="1" thickBot="1" thickTop="1">
      <c r="A11" s="4"/>
      <c r="B11" s="4"/>
      <c r="C11" s="4"/>
      <c r="D11" s="4" t="s">
        <v>111</v>
      </c>
      <c r="E11" s="4"/>
      <c r="F11" s="4"/>
      <c r="G11" s="4"/>
      <c r="H11" s="4" t="s">
        <v>112</v>
      </c>
      <c r="I11" s="4"/>
      <c r="J11" s="4"/>
      <c r="K11" s="4"/>
      <c r="L11" s="4" t="s">
        <v>113</v>
      </c>
      <c r="M11" s="4"/>
      <c r="N11" s="4"/>
      <c r="O11" s="4"/>
      <c r="P11" s="4" t="s">
        <v>114</v>
      </c>
      <c r="Q11" s="4"/>
      <c r="R11" s="4"/>
      <c r="S11" s="4"/>
      <c r="T11" s="4" t="s">
        <v>115</v>
      </c>
      <c r="U11" s="4"/>
      <c r="V11" s="4"/>
      <c r="W11" s="4" t="s">
        <v>71</v>
      </c>
      <c r="X11" s="4"/>
      <c r="Y11" s="4" t="s">
        <v>72</v>
      </c>
      <c r="Z11" s="4" t="s">
        <v>2</v>
      </c>
      <c r="AA11" s="4"/>
      <c r="AC11" s="386"/>
      <c r="AD11" s="386"/>
      <c r="AE11" s="386"/>
      <c r="AF11" s="386"/>
      <c r="AG11" s="386"/>
      <c r="AH11" s="386"/>
    </row>
    <row r="12" spans="1:34" ht="15.75" customHeight="1">
      <c r="A12" s="4"/>
      <c r="B12" s="4"/>
      <c r="C12" s="839" t="s">
        <v>116</v>
      </c>
      <c r="D12" s="839"/>
      <c r="E12" s="839"/>
      <c r="F12" s="839"/>
      <c r="G12" s="839" t="s">
        <v>117</v>
      </c>
      <c r="H12" s="839"/>
      <c r="I12" s="839"/>
      <c r="J12" s="839"/>
      <c r="K12" s="839" t="s">
        <v>118</v>
      </c>
      <c r="L12" s="839"/>
      <c r="M12" s="839"/>
      <c r="N12" s="839"/>
      <c r="O12" s="839" t="s">
        <v>240</v>
      </c>
      <c r="P12" s="839"/>
      <c r="Q12" s="839"/>
      <c r="R12" s="839"/>
      <c r="S12" s="839" t="s">
        <v>119</v>
      </c>
      <c r="T12" s="839"/>
      <c r="U12" s="839"/>
      <c r="V12" s="839"/>
      <c r="W12" s="839" t="s">
        <v>260</v>
      </c>
      <c r="X12" s="839"/>
      <c r="Y12" s="839"/>
      <c r="Z12" s="839"/>
      <c r="AA12" s="4"/>
      <c r="AC12" s="386"/>
      <c r="AD12" s="386"/>
      <c r="AE12" s="386"/>
      <c r="AF12" s="386"/>
      <c r="AG12" s="386"/>
      <c r="AH12" s="386"/>
    </row>
    <row r="13" spans="1:34" ht="15.75" customHeight="1" thickBot="1">
      <c r="A13" s="4"/>
      <c r="B13" s="4"/>
      <c r="C13" s="4" t="s">
        <v>121</v>
      </c>
      <c r="D13" s="49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C13" s="386"/>
      <c r="AD13" s="386"/>
      <c r="AE13" s="386"/>
      <c r="AF13" s="386"/>
      <c r="AG13" s="386"/>
      <c r="AH13" s="386"/>
    </row>
    <row r="14" spans="1:34" ht="16.5" customHeight="1">
      <c r="A14" s="65"/>
      <c r="B14" s="604"/>
      <c r="C14" s="413"/>
      <c r="D14" s="375"/>
      <c r="E14" s="375"/>
      <c r="F14" s="525"/>
      <c r="G14" s="413"/>
      <c r="H14" s="375"/>
      <c r="I14" s="375"/>
      <c r="J14" s="525"/>
      <c r="K14" s="672"/>
      <c r="L14" s="375"/>
      <c r="M14" s="375"/>
      <c r="N14" s="70"/>
      <c r="O14" s="413"/>
      <c r="P14" s="375"/>
      <c r="Q14" s="375"/>
      <c r="R14" s="70"/>
      <c r="S14" s="413"/>
      <c r="T14" s="375"/>
      <c r="U14" s="375"/>
      <c r="V14" s="70"/>
      <c r="W14" s="413"/>
      <c r="X14" s="375"/>
      <c r="Y14" s="375"/>
      <c r="Z14" s="70"/>
      <c r="AA14" s="425"/>
      <c r="AC14" s="386"/>
      <c r="AD14" s="386"/>
      <c r="AE14" s="386"/>
      <c r="AF14" s="386"/>
      <c r="AG14" s="386"/>
      <c r="AH14" s="386"/>
    </row>
    <row r="15" spans="1:34" ht="16.5" customHeight="1">
      <c r="A15" s="72" t="s">
        <v>6</v>
      </c>
      <c r="B15" s="77"/>
      <c r="C15" s="74">
        <v>2349</v>
      </c>
      <c r="D15" s="75">
        <v>2463</v>
      </c>
      <c r="E15" s="75">
        <v>2649</v>
      </c>
      <c r="F15" s="76">
        <f aca="true" t="shared" si="0" ref="F15:F33">E15/D15*100</f>
        <v>107.55176613885507</v>
      </c>
      <c r="G15" s="74"/>
      <c r="H15" s="75"/>
      <c r="I15" s="75"/>
      <c r="J15" s="76"/>
      <c r="K15" s="74">
        <v>6637</v>
      </c>
      <c r="L15" s="75">
        <v>7039</v>
      </c>
      <c r="M15" s="75">
        <v>5511</v>
      </c>
      <c r="N15" s="76">
        <f aca="true" t="shared" si="1" ref="N15:N43">M15/L15*100</f>
        <v>78.29237107543685</v>
      </c>
      <c r="O15" s="74">
        <v>1600</v>
      </c>
      <c r="P15" s="75">
        <v>4200</v>
      </c>
      <c r="Q15" s="75">
        <v>3703</v>
      </c>
      <c r="R15" s="76">
        <f>Q15/P15*100</f>
        <v>88.16666666666667</v>
      </c>
      <c r="S15" s="74">
        <v>2580</v>
      </c>
      <c r="T15" s="75">
        <v>4080</v>
      </c>
      <c r="U15" s="75">
        <v>4172</v>
      </c>
      <c r="V15" s="76">
        <f aca="true" t="shared" si="2" ref="V15:V23">U15/T15*100</f>
        <v>102.25490196078431</v>
      </c>
      <c r="W15" s="74"/>
      <c r="X15" s="75">
        <v>17208</v>
      </c>
      <c r="Y15" s="75">
        <v>17208</v>
      </c>
      <c r="Z15" s="76">
        <f aca="true" t="shared" si="3" ref="Z15:Z43">Y15/X15*100</f>
        <v>100</v>
      </c>
      <c r="AA15" s="293"/>
      <c r="AB15" s="384"/>
      <c r="AD15" s="385"/>
      <c r="AE15" s="386"/>
      <c r="AF15" s="386"/>
      <c r="AG15" s="386"/>
      <c r="AH15" s="386"/>
    </row>
    <row r="16" spans="1:34" ht="16.5" customHeight="1">
      <c r="A16" s="72" t="s">
        <v>7</v>
      </c>
      <c r="B16" s="77"/>
      <c r="C16" s="74">
        <v>285</v>
      </c>
      <c r="D16" s="75">
        <v>340</v>
      </c>
      <c r="E16" s="75">
        <v>429</v>
      </c>
      <c r="F16" s="76">
        <f t="shared" si="0"/>
        <v>126.17647058823529</v>
      </c>
      <c r="G16" s="74"/>
      <c r="H16" s="75">
        <v>995</v>
      </c>
      <c r="I16" s="75">
        <v>991</v>
      </c>
      <c r="J16" s="76">
        <f>I16/H16*100</f>
        <v>99.59798994974875</v>
      </c>
      <c r="K16" s="74">
        <v>4156</v>
      </c>
      <c r="L16" s="75">
        <v>4356</v>
      </c>
      <c r="M16" s="75">
        <v>4656</v>
      </c>
      <c r="N16" s="76">
        <f t="shared" si="1"/>
        <v>106.8870523415978</v>
      </c>
      <c r="O16" s="74">
        <v>80</v>
      </c>
      <c r="P16" s="75">
        <v>180</v>
      </c>
      <c r="Q16" s="75">
        <v>192</v>
      </c>
      <c r="R16" s="76">
        <f>Q16/P16*100</f>
        <v>106.66666666666667</v>
      </c>
      <c r="S16" s="74">
        <v>25</v>
      </c>
      <c r="T16" s="75">
        <v>25</v>
      </c>
      <c r="U16" s="75">
        <v>9</v>
      </c>
      <c r="V16" s="76">
        <f t="shared" si="2"/>
        <v>36</v>
      </c>
      <c r="W16" s="74"/>
      <c r="X16" s="75">
        <v>1599</v>
      </c>
      <c r="Y16" s="75">
        <v>1599</v>
      </c>
      <c r="Z16" s="76">
        <f t="shared" si="3"/>
        <v>100</v>
      </c>
      <c r="AA16" s="293"/>
      <c r="AB16" s="384"/>
      <c r="AD16" s="385"/>
      <c r="AE16" s="386"/>
      <c r="AF16" s="386"/>
      <c r="AG16" s="386"/>
      <c r="AH16" s="386"/>
    </row>
    <row r="17" spans="1:34" ht="16.5" customHeight="1">
      <c r="A17" s="72" t="s">
        <v>8</v>
      </c>
      <c r="B17" s="77"/>
      <c r="C17" s="74">
        <v>35</v>
      </c>
      <c r="D17" s="75">
        <v>35</v>
      </c>
      <c r="E17" s="75">
        <v>21</v>
      </c>
      <c r="F17" s="76">
        <f t="shared" si="0"/>
        <v>60</v>
      </c>
      <c r="G17" s="74"/>
      <c r="H17" s="75"/>
      <c r="I17" s="75"/>
      <c r="J17" s="76"/>
      <c r="K17" s="74">
        <v>2780</v>
      </c>
      <c r="L17" s="75">
        <v>2650</v>
      </c>
      <c r="M17" s="75">
        <v>2633</v>
      </c>
      <c r="N17" s="76">
        <f t="shared" si="1"/>
        <v>99.35849056603774</v>
      </c>
      <c r="O17" s="74">
        <v>100</v>
      </c>
      <c r="P17" s="75">
        <v>251</v>
      </c>
      <c r="Q17" s="102">
        <v>316</v>
      </c>
      <c r="R17" s="76">
        <f aca="true" t="shared" si="4" ref="R17:R43">Q17/P17*100</f>
        <v>125.89641434262948</v>
      </c>
      <c r="S17" s="74">
        <v>1</v>
      </c>
      <c r="T17" s="75">
        <v>16</v>
      </c>
      <c r="U17" s="75">
        <f>16-1</f>
        <v>15</v>
      </c>
      <c r="V17" s="76">
        <f t="shared" si="2"/>
        <v>93.75</v>
      </c>
      <c r="W17" s="74"/>
      <c r="X17" s="75">
        <v>1512</v>
      </c>
      <c r="Y17" s="75">
        <v>1512</v>
      </c>
      <c r="Z17" s="76">
        <f t="shared" si="3"/>
        <v>100</v>
      </c>
      <c r="AA17" s="293"/>
      <c r="AB17" s="384"/>
      <c r="AD17" s="385"/>
      <c r="AE17" s="386"/>
      <c r="AF17" s="386"/>
      <c r="AG17" s="386"/>
      <c r="AH17" s="386"/>
    </row>
    <row r="18" spans="1:34" ht="16.5" customHeight="1">
      <c r="A18" s="72" t="s">
        <v>9</v>
      </c>
      <c r="B18" s="77"/>
      <c r="C18" s="74">
        <v>180</v>
      </c>
      <c r="D18" s="75">
        <v>1426</v>
      </c>
      <c r="E18" s="75">
        <v>1216</v>
      </c>
      <c r="F18" s="76">
        <f t="shared" si="0"/>
        <v>85.273492286115</v>
      </c>
      <c r="G18" s="74"/>
      <c r="H18" s="75"/>
      <c r="I18" s="75"/>
      <c r="J18" s="76"/>
      <c r="K18" s="74">
        <v>2200</v>
      </c>
      <c r="L18" s="75">
        <v>2704</v>
      </c>
      <c r="M18" s="75">
        <v>3008</v>
      </c>
      <c r="N18" s="76">
        <f t="shared" si="1"/>
        <v>111.24260355029585</v>
      </c>
      <c r="O18" s="74">
        <v>100</v>
      </c>
      <c r="P18" s="75">
        <v>100</v>
      </c>
      <c r="Q18" s="75">
        <v>326</v>
      </c>
      <c r="R18" s="76">
        <f t="shared" si="4"/>
        <v>326</v>
      </c>
      <c r="S18" s="74"/>
      <c r="T18" s="75"/>
      <c r="U18" s="75">
        <v>46</v>
      </c>
      <c r="V18" s="76"/>
      <c r="W18" s="74"/>
      <c r="X18" s="75">
        <v>1236</v>
      </c>
      <c r="Y18" s="75">
        <v>1236</v>
      </c>
      <c r="Z18" s="76">
        <f t="shared" si="3"/>
        <v>100</v>
      </c>
      <c r="AA18" s="293"/>
      <c r="AB18" s="384"/>
      <c r="AD18" s="385"/>
      <c r="AE18" s="386"/>
      <c r="AF18" s="386"/>
      <c r="AG18" s="386"/>
      <c r="AH18" s="386"/>
    </row>
    <row r="19" spans="1:34" ht="16.5" customHeight="1">
      <c r="A19" s="72" t="s">
        <v>10</v>
      </c>
      <c r="B19" s="77"/>
      <c r="C19" s="74">
        <v>80</v>
      </c>
      <c r="D19" s="75">
        <v>177</v>
      </c>
      <c r="E19" s="75">
        <v>190</v>
      </c>
      <c r="F19" s="76">
        <f t="shared" si="0"/>
        <v>107.34463276836159</v>
      </c>
      <c r="G19" s="74"/>
      <c r="H19" s="75"/>
      <c r="I19" s="75"/>
      <c r="J19" s="76"/>
      <c r="K19" s="74">
        <v>2412</v>
      </c>
      <c r="L19" s="75">
        <v>2696</v>
      </c>
      <c r="M19" s="75">
        <v>3065</v>
      </c>
      <c r="N19" s="76">
        <f t="shared" si="1"/>
        <v>113.68694362017804</v>
      </c>
      <c r="O19" s="74">
        <v>300</v>
      </c>
      <c r="P19" s="75">
        <v>430</v>
      </c>
      <c r="Q19" s="75">
        <v>499</v>
      </c>
      <c r="R19" s="76">
        <f t="shared" si="4"/>
        <v>116.04651162790698</v>
      </c>
      <c r="S19" s="74">
        <v>5</v>
      </c>
      <c r="T19" s="75">
        <v>52</v>
      </c>
      <c r="U19" s="75">
        <v>54</v>
      </c>
      <c r="V19" s="76">
        <f t="shared" si="2"/>
        <v>103.84615384615385</v>
      </c>
      <c r="W19" s="74"/>
      <c r="X19" s="75">
        <v>1512</v>
      </c>
      <c r="Y19" s="75">
        <v>1512</v>
      </c>
      <c r="Z19" s="76">
        <f t="shared" si="3"/>
        <v>100</v>
      </c>
      <c r="AA19" s="293"/>
      <c r="AB19" s="384"/>
      <c r="AD19" s="385"/>
      <c r="AE19" s="386"/>
      <c r="AF19" s="386"/>
      <c r="AG19" s="386"/>
      <c r="AH19" s="386"/>
    </row>
    <row r="20" spans="1:34" ht="16.5" customHeight="1">
      <c r="A20" s="72" t="s">
        <v>11</v>
      </c>
      <c r="B20" s="77"/>
      <c r="C20" s="74">
        <v>65</v>
      </c>
      <c r="D20" s="75">
        <v>81</v>
      </c>
      <c r="E20" s="75">
        <v>87</v>
      </c>
      <c r="F20" s="76">
        <f t="shared" si="0"/>
        <v>107.40740740740742</v>
      </c>
      <c r="G20" s="74"/>
      <c r="H20" s="75"/>
      <c r="I20" s="75"/>
      <c r="J20" s="76"/>
      <c r="K20" s="74">
        <v>2793</v>
      </c>
      <c r="L20" s="75">
        <v>2793</v>
      </c>
      <c r="M20" s="75">
        <v>2801</v>
      </c>
      <c r="N20" s="76">
        <f t="shared" si="1"/>
        <v>100.28643036161833</v>
      </c>
      <c r="O20" s="74">
        <v>70</v>
      </c>
      <c r="P20" s="75">
        <v>70</v>
      </c>
      <c r="Q20" s="75">
        <v>59</v>
      </c>
      <c r="R20" s="76">
        <f t="shared" si="4"/>
        <v>84.28571428571429</v>
      </c>
      <c r="S20" s="74">
        <v>14</v>
      </c>
      <c r="T20" s="75">
        <v>20</v>
      </c>
      <c r="U20" s="75">
        <v>47</v>
      </c>
      <c r="V20" s="76">
        <f t="shared" si="2"/>
        <v>235</v>
      </c>
      <c r="W20" s="74"/>
      <c r="X20" s="75">
        <v>465</v>
      </c>
      <c r="Y20" s="75">
        <v>465</v>
      </c>
      <c r="Z20" s="76">
        <f t="shared" si="3"/>
        <v>100</v>
      </c>
      <c r="AA20" s="293"/>
      <c r="AB20" s="384"/>
      <c r="AD20" s="385"/>
      <c r="AE20" s="386"/>
      <c r="AF20" s="386"/>
      <c r="AG20" s="386"/>
      <c r="AH20" s="386"/>
    </row>
    <row r="21" spans="1:34" ht="16.5" customHeight="1">
      <c r="A21" s="72" t="s">
        <v>242</v>
      </c>
      <c r="B21" s="77"/>
      <c r="C21" s="74">
        <v>5135</v>
      </c>
      <c r="D21" s="75">
        <v>5425</v>
      </c>
      <c r="E21" s="75">
        <f>5552+1</f>
        <v>5553</v>
      </c>
      <c r="F21" s="76">
        <f t="shared" si="0"/>
        <v>102.35944700460831</v>
      </c>
      <c r="G21" s="74"/>
      <c r="H21" s="75"/>
      <c r="I21" s="75"/>
      <c r="J21" s="76"/>
      <c r="K21" s="74">
        <v>4610</v>
      </c>
      <c r="L21" s="75">
        <v>5010</v>
      </c>
      <c r="M21" s="75">
        <v>5060</v>
      </c>
      <c r="N21" s="76">
        <f t="shared" si="1"/>
        <v>100.99800399201597</v>
      </c>
      <c r="O21" s="74">
        <v>700</v>
      </c>
      <c r="P21" s="75">
        <v>754</v>
      </c>
      <c r="Q21" s="75">
        <v>401</v>
      </c>
      <c r="R21" s="76">
        <f t="shared" si="4"/>
        <v>53.183023872679044</v>
      </c>
      <c r="S21" s="74">
        <v>150</v>
      </c>
      <c r="T21" s="75">
        <v>150</v>
      </c>
      <c r="U21" s="75">
        <v>130</v>
      </c>
      <c r="V21" s="76">
        <f t="shared" si="2"/>
        <v>86.66666666666667</v>
      </c>
      <c r="W21" s="74"/>
      <c r="X21" s="75">
        <v>4047</v>
      </c>
      <c r="Y21" s="75">
        <v>4047</v>
      </c>
      <c r="Z21" s="76">
        <f t="shared" si="3"/>
        <v>100</v>
      </c>
      <c r="AA21" s="293"/>
      <c r="AB21" s="384"/>
      <c r="AD21" s="385"/>
      <c r="AE21" s="386"/>
      <c r="AF21" s="386"/>
      <c r="AG21" s="386"/>
      <c r="AH21" s="386"/>
    </row>
    <row r="22" spans="1:34" ht="16.5" customHeight="1">
      <c r="A22" s="72" t="s">
        <v>13</v>
      </c>
      <c r="B22" s="77"/>
      <c r="C22" s="74">
        <v>6377</v>
      </c>
      <c r="D22" s="75">
        <v>6436</v>
      </c>
      <c r="E22" s="75">
        <v>6013</v>
      </c>
      <c r="F22" s="76">
        <f t="shared" si="0"/>
        <v>93.42759477936606</v>
      </c>
      <c r="G22" s="74"/>
      <c r="H22" s="75"/>
      <c r="I22" s="75"/>
      <c r="J22" s="76"/>
      <c r="K22" s="74">
        <v>953</v>
      </c>
      <c r="L22" s="75">
        <v>1653</v>
      </c>
      <c r="M22" s="75">
        <v>1759</v>
      </c>
      <c r="N22" s="76">
        <f t="shared" si="1"/>
        <v>106.41258318209317</v>
      </c>
      <c r="O22" s="74">
        <v>450</v>
      </c>
      <c r="P22" s="75">
        <v>1100</v>
      </c>
      <c r="Q22" s="75">
        <v>1457</v>
      </c>
      <c r="R22" s="76">
        <f t="shared" si="4"/>
        <v>132.45454545454544</v>
      </c>
      <c r="S22" s="74">
        <v>100</v>
      </c>
      <c r="T22" s="75">
        <v>313</v>
      </c>
      <c r="U22" s="75">
        <v>362</v>
      </c>
      <c r="V22" s="76">
        <f t="shared" si="2"/>
        <v>115.6549520766773</v>
      </c>
      <c r="W22" s="74"/>
      <c r="X22" s="75">
        <v>4609</v>
      </c>
      <c r="Y22" s="75">
        <v>4609</v>
      </c>
      <c r="Z22" s="76">
        <f t="shared" si="3"/>
        <v>100</v>
      </c>
      <c r="AA22" s="293"/>
      <c r="AB22" s="384"/>
      <c r="AD22" s="385"/>
      <c r="AE22" s="386"/>
      <c r="AF22" s="386"/>
      <c r="AG22" s="386"/>
      <c r="AH22" s="386"/>
    </row>
    <row r="23" spans="1:34" ht="16.5" customHeight="1">
      <c r="A23" s="72" t="s">
        <v>14</v>
      </c>
      <c r="B23" s="77"/>
      <c r="C23" s="74">
        <v>1</v>
      </c>
      <c r="D23" s="75">
        <v>1</v>
      </c>
      <c r="E23" s="75"/>
      <c r="F23" s="76">
        <f t="shared" si="0"/>
        <v>0</v>
      </c>
      <c r="G23" s="74"/>
      <c r="H23" s="75"/>
      <c r="I23" s="75"/>
      <c r="J23" s="76"/>
      <c r="K23" s="74">
        <v>180</v>
      </c>
      <c r="L23" s="75">
        <v>218</v>
      </c>
      <c r="M23" s="75">
        <v>217</v>
      </c>
      <c r="N23" s="76">
        <f t="shared" si="1"/>
        <v>99.54128440366972</v>
      </c>
      <c r="O23" s="74">
        <v>30</v>
      </c>
      <c r="P23" s="75">
        <v>85</v>
      </c>
      <c r="Q23" s="75">
        <v>81</v>
      </c>
      <c r="R23" s="76">
        <f t="shared" si="4"/>
        <v>95.29411764705881</v>
      </c>
      <c r="S23" s="74">
        <v>10</v>
      </c>
      <c r="T23" s="75">
        <v>10</v>
      </c>
      <c r="U23" s="75">
        <f>1-1</f>
        <v>0</v>
      </c>
      <c r="V23" s="76">
        <f t="shared" si="2"/>
        <v>0</v>
      </c>
      <c r="W23" s="74"/>
      <c r="X23" s="75">
        <v>585</v>
      </c>
      <c r="Y23" s="75">
        <v>585</v>
      </c>
      <c r="Z23" s="76">
        <f t="shared" si="3"/>
        <v>100</v>
      </c>
      <c r="AA23" s="293"/>
      <c r="AB23" s="384"/>
      <c r="AD23" s="385"/>
      <c r="AE23" s="386"/>
      <c r="AF23" s="386"/>
      <c r="AG23" s="386"/>
      <c r="AH23" s="386"/>
    </row>
    <row r="24" spans="1:34" ht="16.5" customHeight="1">
      <c r="A24" s="72" t="s">
        <v>15</v>
      </c>
      <c r="B24" s="77"/>
      <c r="C24" s="74">
        <v>70</v>
      </c>
      <c r="D24" s="75">
        <v>121</v>
      </c>
      <c r="E24" s="75">
        <v>127</v>
      </c>
      <c r="F24" s="76">
        <f t="shared" si="0"/>
        <v>104.95867768595042</v>
      </c>
      <c r="G24" s="74"/>
      <c r="H24" s="75"/>
      <c r="I24" s="75"/>
      <c r="J24" s="76"/>
      <c r="K24" s="74">
        <v>1650</v>
      </c>
      <c r="L24" s="75">
        <v>1450</v>
      </c>
      <c r="M24" s="75">
        <v>1468</v>
      </c>
      <c r="N24" s="76">
        <f t="shared" si="1"/>
        <v>101.24137931034483</v>
      </c>
      <c r="O24" s="74">
        <v>50</v>
      </c>
      <c r="P24" s="75">
        <v>110</v>
      </c>
      <c r="Q24" s="75">
        <v>107</v>
      </c>
      <c r="R24" s="76">
        <f t="shared" si="4"/>
        <v>97.27272727272728</v>
      </c>
      <c r="S24" s="74">
        <v>100</v>
      </c>
      <c r="T24" s="75">
        <v>353</v>
      </c>
      <c r="U24" s="75">
        <v>330</v>
      </c>
      <c r="V24" s="76">
        <f>U24/T24*100</f>
        <v>93.48441926345609</v>
      </c>
      <c r="W24" s="74"/>
      <c r="X24" s="75">
        <v>979</v>
      </c>
      <c r="Y24" s="75">
        <v>979</v>
      </c>
      <c r="Z24" s="76">
        <f t="shared" si="3"/>
        <v>100</v>
      </c>
      <c r="AA24" s="293"/>
      <c r="AB24" s="384"/>
      <c r="AD24" s="385"/>
      <c r="AE24" s="386"/>
      <c r="AF24" s="386"/>
      <c r="AG24" s="386"/>
      <c r="AH24" s="386"/>
    </row>
    <row r="25" spans="1:34" ht="16.5" customHeight="1">
      <c r="A25" s="72" t="s">
        <v>16</v>
      </c>
      <c r="B25" s="77"/>
      <c r="C25" s="74">
        <v>77</v>
      </c>
      <c r="D25" s="75">
        <v>126</v>
      </c>
      <c r="E25" s="75">
        <v>112</v>
      </c>
      <c r="F25" s="76">
        <f t="shared" si="0"/>
        <v>88.88888888888889</v>
      </c>
      <c r="G25" s="74"/>
      <c r="H25" s="75"/>
      <c r="I25" s="75"/>
      <c r="J25" s="76"/>
      <c r="K25" s="74">
        <v>1369</v>
      </c>
      <c r="L25" s="75">
        <v>1436</v>
      </c>
      <c r="M25" s="75">
        <v>1487</v>
      </c>
      <c r="N25" s="76">
        <f t="shared" si="1"/>
        <v>103.55153203342617</v>
      </c>
      <c r="O25" s="74">
        <v>110</v>
      </c>
      <c r="P25" s="75">
        <v>280</v>
      </c>
      <c r="Q25" s="75">
        <v>314</v>
      </c>
      <c r="R25" s="76">
        <f t="shared" si="4"/>
        <v>112.14285714285714</v>
      </c>
      <c r="S25" s="74">
        <v>10</v>
      </c>
      <c r="T25" s="75">
        <v>18</v>
      </c>
      <c r="U25" s="75">
        <v>18</v>
      </c>
      <c r="V25" s="76">
        <f>U25/T25*100</f>
        <v>100</v>
      </c>
      <c r="W25" s="74"/>
      <c r="X25" s="75">
        <v>640</v>
      </c>
      <c r="Y25" s="75">
        <v>640</v>
      </c>
      <c r="Z25" s="76">
        <f t="shared" si="3"/>
        <v>100</v>
      </c>
      <c r="AA25" s="293"/>
      <c r="AB25" s="384"/>
      <c r="AD25" s="385"/>
      <c r="AE25" s="386"/>
      <c r="AF25" s="386"/>
      <c r="AG25" s="386"/>
      <c r="AH25" s="386"/>
    </row>
    <row r="26" spans="1:34" ht="16.5" customHeight="1">
      <c r="A26" s="72" t="s">
        <v>244</v>
      </c>
      <c r="B26" s="77"/>
      <c r="C26" s="74">
        <v>160</v>
      </c>
      <c r="D26" s="75">
        <v>136</v>
      </c>
      <c r="E26" s="75">
        <v>146</v>
      </c>
      <c r="F26" s="76">
        <f t="shared" si="0"/>
        <v>107.35294117647058</v>
      </c>
      <c r="G26" s="74"/>
      <c r="H26" s="75"/>
      <c r="I26" s="75"/>
      <c r="J26" s="76"/>
      <c r="K26" s="74">
        <v>240</v>
      </c>
      <c r="L26" s="75">
        <v>261</v>
      </c>
      <c r="M26" s="75">
        <v>279</v>
      </c>
      <c r="N26" s="76">
        <f t="shared" si="1"/>
        <v>106.89655172413792</v>
      </c>
      <c r="O26" s="74">
        <v>25</v>
      </c>
      <c r="P26" s="75">
        <v>48</v>
      </c>
      <c r="Q26" s="75">
        <v>48</v>
      </c>
      <c r="R26" s="76">
        <f t="shared" si="4"/>
        <v>100</v>
      </c>
      <c r="S26" s="74"/>
      <c r="T26" s="75">
        <v>52</v>
      </c>
      <c r="U26" s="75">
        <v>62</v>
      </c>
      <c r="V26" s="76">
        <f>U26/T26*100</f>
        <v>119.23076923076923</v>
      </c>
      <c r="W26" s="74"/>
      <c r="X26" s="75">
        <v>610</v>
      </c>
      <c r="Y26" s="75">
        <v>610</v>
      </c>
      <c r="Z26" s="76">
        <f t="shared" si="3"/>
        <v>100</v>
      </c>
      <c r="AA26" s="293"/>
      <c r="AB26" s="384"/>
      <c r="AD26" s="385"/>
      <c r="AE26" s="386"/>
      <c r="AF26" s="386"/>
      <c r="AG26" s="386"/>
      <c r="AH26" s="386"/>
    </row>
    <row r="27" spans="1:34" ht="16.5" customHeight="1">
      <c r="A27" s="72" t="s">
        <v>18</v>
      </c>
      <c r="B27" s="77"/>
      <c r="C27" s="74">
        <v>2332</v>
      </c>
      <c r="D27" s="75">
        <v>2389</v>
      </c>
      <c r="E27" s="75">
        <v>3017</v>
      </c>
      <c r="F27" s="76">
        <f t="shared" si="0"/>
        <v>126.28714943490999</v>
      </c>
      <c r="G27" s="74"/>
      <c r="H27" s="75"/>
      <c r="I27" s="75"/>
      <c r="J27" s="76"/>
      <c r="K27" s="74">
        <v>7241</v>
      </c>
      <c r="L27" s="75">
        <v>7375</v>
      </c>
      <c r="M27" s="75">
        <v>7878</v>
      </c>
      <c r="N27" s="76">
        <f t="shared" si="1"/>
        <v>106.82033898305086</v>
      </c>
      <c r="O27" s="74">
        <v>500</v>
      </c>
      <c r="P27" s="75">
        <v>1035</v>
      </c>
      <c r="Q27" s="75">
        <v>1317</v>
      </c>
      <c r="R27" s="76">
        <f t="shared" si="4"/>
        <v>127.2463768115942</v>
      </c>
      <c r="S27" s="74">
        <v>420</v>
      </c>
      <c r="T27" s="75">
        <v>285</v>
      </c>
      <c r="U27" s="75">
        <v>290</v>
      </c>
      <c r="V27" s="76">
        <f aca="true" t="shared" si="5" ref="V27:V36">U27/T27*100</f>
        <v>101.75438596491229</v>
      </c>
      <c r="W27" s="74"/>
      <c r="X27" s="75">
        <v>5131</v>
      </c>
      <c r="Y27" s="75">
        <v>5131</v>
      </c>
      <c r="Z27" s="76">
        <f t="shared" si="3"/>
        <v>100</v>
      </c>
      <c r="AA27" s="293"/>
      <c r="AB27" s="384"/>
      <c r="AD27" s="385"/>
      <c r="AE27" s="386"/>
      <c r="AF27" s="386"/>
      <c r="AG27" s="386"/>
      <c r="AH27" s="386"/>
    </row>
    <row r="28" spans="1:30" ht="16.5" customHeight="1">
      <c r="A28" s="72" t="s">
        <v>58</v>
      </c>
      <c r="B28" s="77"/>
      <c r="C28" s="74">
        <v>12</v>
      </c>
      <c r="D28" s="75">
        <v>12</v>
      </c>
      <c r="E28" s="75">
        <v>10</v>
      </c>
      <c r="F28" s="76">
        <f t="shared" si="0"/>
        <v>83.33333333333334</v>
      </c>
      <c r="G28" s="74"/>
      <c r="H28" s="75"/>
      <c r="I28" s="75"/>
      <c r="J28" s="76"/>
      <c r="K28" s="74">
        <v>397</v>
      </c>
      <c r="L28" s="75">
        <v>397</v>
      </c>
      <c r="M28" s="75">
        <v>607</v>
      </c>
      <c r="N28" s="76">
        <f t="shared" si="1"/>
        <v>152.89672544080602</v>
      </c>
      <c r="O28" s="74">
        <v>53</v>
      </c>
      <c r="P28" s="75">
        <v>132</v>
      </c>
      <c r="Q28" s="75">
        <v>257</v>
      </c>
      <c r="R28" s="76">
        <f t="shared" si="4"/>
        <v>194.6969696969697</v>
      </c>
      <c r="S28" s="74">
        <v>30</v>
      </c>
      <c r="T28" s="75">
        <v>30</v>
      </c>
      <c r="U28" s="75">
        <v>24</v>
      </c>
      <c r="V28" s="76">
        <f t="shared" si="5"/>
        <v>80</v>
      </c>
      <c r="W28" s="74"/>
      <c r="X28" s="75">
        <v>990</v>
      </c>
      <c r="Y28" s="75">
        <v>990</v>
      </c>
      <c r="Z28" s="76">
        <f t="shared" si="3"/>
        <v>100</v>
      </c>
      <c r="AA28" s="293"/>
      <c r="AB28" s="384"/>
      <c r="AD28" s="385"/>
    </row>
    <row r="29" spans="1:30" ht="16.5" customHeight="1">
      <c r="A29" s="72" t="s">
        <v>19</v>
      </c>
      <c r="B29" s="77"/>
      <c r="C29" s="74">
        <v>3513</v>
      </c>
      <c r="D29" s="75">
        <v>3584</v>
      </c>
      <c r="E29" s="75">
        <v>3802</v>
      </c>
      <c r="F29" s="76">
        <f t="shared" si="0"/>
        <v>106.08258928571428</v>
      </c>
      <c r="G29" s="74"/>
      <c r="H29" s="75">
        <v>566</v>
      </c>
      <c r="I29" s="75">
        <v>566</v>
      </c>
      <c r="J29" s="76">
        <f>I29/H29*100</f>
        <v>100</v>
      </c>
      <c r="K29" s="74">
        <v>3111</v>
      </c>
      <c r="L29" s="75">
        <v>3120</v>
      </c>
      <c r="M29" s="75">
        <v>3637</v>
      </c>
      <c r="N29" s="76">
        <f t="shared" si="1"/>
        <v>116.57051282051283</v>
      </c>
      <c r="O29" s="74">
        <v>120</v>
      </c>
      <c r="P29" s="75">
        <v>270</v>
      </c>
      <c r="Q29" s="75">
        <v>436</v>
      </c>
      <c r="R29" s="76">
        <f t="shared" si="4"/>
        <v>161.4814814814815</v>
      </c>
      <c r="S29" s="74">
        <v>110</v>
      </c>
      <c r="T29" s="75">
        <v>68</v>
      </c>
      <c r="U29" s="75">
        <v>91</v>
      </c>
      <c r="V29" s="76">
        <f t="shared" si="5"/>
        <v>133.8235294117647</v>
      </c>
      <c r="W29" s="74"/>
      <c r="X29" s="75">
        <v>3483</v>
      </c>
      <c r="Y29" s="75">
        <v>3483</v>
      </c>
      <c r="Z29" s="76">
        <f t="shared" si="3"/>
        <v>100</v>
      </c>
      <c r="AA29" s="293"/>
      <c r="AB29" s="384"/>
      <c r="AD29" s="385"/>
    </row>
    <row r="30" spans="1:30" ht="16.5" customHeight="1">
      <c r="A30" s="72" t="s">
        <v>20</v>
      </c>
      <c r="B30" s="77"/>
      <c r="C30" s="74">
        <v>20</v>
      </c>
      <c r="D30" s="75">
        <v>166</v>
      </c>
      <c r="E30" s="75">
        <v>181</v>
      </c>
      <c r="F30" s="76">
        <f t="shared" si="0"/>
        <v>109.03614457831326</v>
      </c>
      <c r="G30" s="74"/>
      <c r="H30" s="75"/>
      <c r="I30" s="75"/>
      <c r="J30" s="76"/>
      <c r="K30" s="74">
        <v>4504</v>
      </c>
      <c r="L30" s="75">
        <v>5845</v>
      </c>
      <c r="M30" s="75">
        <v>6128</v>
      </c>
      <c r="N30" s="76">
        <f t="shared" si="1"/>
        <v>104.84174508126604</v>
      </c>
      <c r="O30" s="74">
        <v>100</v>
      </c>
      <c r="P30" s="75">
        <v>2190</v>
      </c>
      <c r="Q30" s="75">
        <v>2218</v>
      </c>
      <c r="R30" s="76">
        <f t="shared" si="4"/>
        <v>101.27853881278538</v>
      </c>
      <c r="S30" s="436">
        <v>10</v>
      </c>
      <c r="T30" s="75">
        <v>10</v>
      </c>
      <c r="U30" s="75">
        <v>25</v>
      </c>
      <c r="V30" s="76">
        <f t="shared" si="5"/>
        <v>250</v>
      </c>
      <c r="W30" s="74"/>
      <c r="X30" s="75">
        <v>1209</v>
      </c>
      <c r="Y30" s="75">
        <v>1209</v>
      </c>
      <c r="Z30" s="76">
        <f t="shared" si="3"/>
        <v>100</v>
      </c>
      <c r="AA30" s="293"/>
      <c r="AB30" s="384"/>
      <c r="AD30" s="385"/>
    </row>
    <row r="31" spans="1:30" ht="16.5" customHeight="1">
      <c r="A31" s="72" t="s">
        <v>21</v>
      </c>
      <c r="B31" s="77"/>
      <c r="C31" s="74">
        <v>508</v>
      </c>
      <c r="D31" s="75">
        <v>631</v>
      </c>
      <c r="E31" s="75">
        <v>563</v>
      </c>
      <c r="F31" s="76">
        <f t="shared" si="0"/>
        <v>89.22345483359746</v>
      </c>
      <c r="G31" s="74"/>
      <c r="H31" s="75">
        <v>87</v>
      </c>
      <c r="I31" s="75">
        <v>87</v>
      </c>
      <c r="J31" s="76">
        <f>I31/H31*100</f>
        <v>100</v>
      </c>
      <c r="K31" s="74">
        <v>5887</v>
      </c>
      <c r="L31" s="75">
        <v>5894</v>
      </c>
      <c r="M31" s="75">
        <v>6661</v>
      </c>
      <c r="N31" s="76">
        <f t="shared" si="1"/>
        <v>113.01323379708177</v>
      </c>
      <c r="O31" s="74">
        <v>200</v>
      </c>
      <c r="P31" s="75">
        <v>1150</v>
      </c>
      <c r="Q31" s="75">
        <v>1165</v>
      </c>
      <c r="R31" s="76">
        <f t="shared" si="4"/>
        <v>101.30434782608695</v>
      </c>
      <c r="S31" s="74">
        <v>100</v>
      </c>
      <c r="T31" s="75">
        <v>473</v>
      </c>
      <c r="U31" s="75">
        <v>505</v>
      </c>
      <c r="V31" s="76">
        <f t="shared" si="5"/>
        <v>106.76532769556026</v>
      </c>
      <c r="W31" s="74"/>
      <c r="X31" s="75">
        <v>1718</v>
      </c>
      <c r="Y31" s="75">
        <v>1718</v>
      </c>
      <c r="Z31" s="76">
        <f t="shared" si="3"/>
        <v>100</v>
      </c>
      <c r="AA31" s="293"/>
      <c r="AB31" s="384"/>
      <c r="AD31" s="385"/>
    </row>
    <row r="32" spans="1:30" ht="16.5" customHeight="1">
      <c r="A32" s="72" t="s">
        <v>22</v>
      </c>
      <c r="B32" s="77"/>
      <c r="C32" s="74">
        <v>2370</v>
      </c>
      <c r="D32" s="75">
        <v>2518</v>
      </c>
      <c r="E32" s="75">
        <v>2428</v>
      </c>
      <c r="F32" s="76">
        <f t="shared" si="0"/>
        <v>96.42573471008737</v>
      </c>
      <c r="G32" s="74"/>
      <c r="H32" s="75"/>
      <c r="I32" s="75"/>
      <c r="J32" s="76"/>
      <c r="K32" s="74">
        <v>4672</v>
      </c>
      <c r="L32" s="75">
        <v>5017</v>
      </c>
      <c r="M32" s="75">
        <v>5037</v>
      </c>
      <c r="N32" s="76">
        <f t="shared" si="1"/>
        <v>100.39864460833168</v>
      </c>
      <c r="O32" s="74">
        <v>450</v>
      </c>
      <c r="P32" s="75">
        <v>640</v>
      </c>
      <c r="Q32" s="75">
        <v>659</v>
      </c>
      <c r="R32" s="76">
        <f t="shared" si="4"/>
        <v>102.96875000000001</v>
      </c>
      <c r="S32" s="436">
        <v>8</v>
      </c>
      <c r="T32" s="75">
        <v>8</v>
      </c>
      <c r="U32" s="75">
        <v>10</v>
      </c>
      <c r="V32" s="76">
        <f t="shared" si="5"/>
        <v>125</v>
      </c>
      <c r="W32" s="74"/>
      <c r="X32" s="75">
        <v>1232</v>
      </c>
      <c r="Y32" s="75">
        <v>1232</v>
      </c>
      <c r="Z32" s="76">
        <f t="shared" si="3"/>
        <v>100</v>
      </c>
      <c r="AA32" s="293"/>
      <c r="AB32" s="384"/>
      <c r="AD32" s="385"/>
    </row>
    <row r="33" spans="1:30" ht="16.5" customHeight="1">
      <c r="A33" s="72" t="s">
        <v>23</v>
      </c>
      <c r="B33" s="77"/>
      <c r="C33" s="74">
        <v>15</v>
      </c>
      <c r="D33" s="75">
        <v>10</v>
      </c>
      <c r="E33" s="75">
        <v>15</v>
      </c>
      <c r="F33" s="76">
        <f t="shared" si="0"/>
        <v>150</v>
      </c>
      <c r="G33" s="74"/>
      <c r="H33" s="75"/>
      <c r="I33" s="75"/>
      <c r="J33" s="76"/>
      <c r="K33" s="74">
        <v>4600</v>
      </c>
      <c r="L33" s="75">
        <v>4872</v>
      </c>
      <c r="M33" s="75">
        <v>5164</v>
      </c>
      <c r="N33" s="76">
        <f t="shared" si="1"/>
        <v>105.99343185550083</v>
      </c>
      <c r="O33" s="74">
        <v>500</v>
      </c>
      <c r="P33" s="75">
        <v>1403</v>
      </c>
      <c r="Q33" s="75">
        <v>1484</v>
      </c>
      <c r="R33" s="76">
        <f t="shared" si="4"/>
        <v>105.77334283677833</v>
      </c>
      <c r="S33" s="74">
        <v>85</v>
      </c>
      <c r="T33" s="75">
        <v>79</v>
      </c>
      <c r="U33" s="75">
        <v>86</v>
      </c>
      <c r="V33" s="76">
        <f t="shared" si="5"/>
        <v>108.86075949367088</v>
      </c>
      <c r="W33" s="74"/>
      <c r="X33" s="75">
        <v>3275</v>
      </c>
      <c r="Y33" s="75">
        <v>3275</v>
      </c>
      <c r="Z33" s="76">
        <f t="shared" si="3"/>
        <v>100</v>
      </c>
      <c r="AA33" s="293"/>
      <c r="AB33" s="384"/>
      <c r="AD33" s="385"/>
    </row>
    <row r="34" spans="1:30" ht="16.5" customHeight="1">
      <c r="A34" s="72" t="s">
        <v>24</v>
      </c>
      <c r="B34" s="77"/>
      <c r="C34" s="74">
        <v>109</v>
      </c>
      <c r="D34" s="75">
        <v>140</v>
      </c>
      <c r="E34" s="75">
        <v>156</v>
      </c>
      <c r="F34" s="76">
        <f aca="true" t="shared" si="6" ref="F34:F43">E34/D34*100</f>
        <v>111.42857142857143</v>
      </c>
      <c r="G34" s="74"/>
      <c r="H34" s="75"/>
      <c r="I34" s="75"/>
      <c r="J34" s="76"/>
      <c r="K34" s="74">
        <v>1792</v>
      </c>
      <c r="L34" s="75">
        <v>1902</v>
      </c>
      <c r="M34" s="75">
        <v>2185</v>
      </c>
      <c r="N34" s="76">
        <f t="shared" si="1"/>
        <v>114.87907465825447</v>
      </c>
      <c r="O34" s="74">
        <v>200</v>
      </c>
      <c r="P34" s="75">
        <v>300</v>
      </c>
      <c r="Q34" s="75">
        <v>324</v>
      </c>
      <c r="R34" s="76">
        <f t="shared" si="4"/>
        <v>108</v>
      </c>
      <c r="S34" s="376">
        <v>220</v>
      </c>
      <c r="T34" s="438">
        <v>125</v>
      </c>
      <c r="U34" s="75">
        <v>127</v>
      </c>
      <c r="V34" s="76">
        <f t="shared" si="5"/>
        <v>101.6</v>
      </c>
      <c r="W34" s="74"/>
      <c r="X34" s="75">
        <v>1569</v>
      </c>
      <c r="Y34" s="75">
        <v>1569</v>
      </c>
      <c r="Z34" s="76">
        <f t="shared" si="3"/>
        <v>100</v>
      </c>
      <c r="AA34" s="293"/>
      <c r="AB34" s="384"/>
      <c r="AD34" s="385"/>
    </row>
    <row r="35" spans="1:30" ht="16.5" customHeight="1">
      <c r="A35" s="72" t="s">
        <v>25</v>
      </c>
      <c r="B35" s="77"/>
      <c r="C35" s="74">
        <v>20</v>
      </c>
      <c r="D35" s="75">
        <v>50</v>
      </c>
      <c r="E35" s="75">
        <v>47</v>
      </c>
      <c r="F35" s="76">
        <f t="shared" si="6"/>
        <v>94</v>
      </c>
      <c r="G35" s="74"/>
      <c r="H35" s="75">
        <v>110</v>
      </c>
      <c r="I35" s="75">
        <v>110</v>
      </c>
      <c r="J35" s="76">
        <f>I35/H35*100</f>
        <v>100</v>
      </c>
      <c r="K35" s="74">
        <v>2160</v>
      </c>
      <c r="L35" s="75">
        <v>2371</v>
      </c>
      <c r="M35" s="75">
        <v>2456</v>
      </c>
      <c r="N35" s="76">
        <f t="shared" si="1"/>
        <v>103.58498523829607</v>
      </c>
      <c r="O35" s="74">
        <v>100</v>
      </c>
      <c r="P35" s="75">
        <v>180</v>
      </c>
      <c r="Q35" s="75">
        <v>184</v>
      </c>
      <c r="R35" s="76">
        <f t="shared" si="4"/>
        <v>102.22222222222221</v>
      </c>
      <c r="S35" s="74"/>
      <c r="T35" s="75">
        <v>120</v>
      </c>
      <c r="U35" s="75">
        <v>120</v>
      </c>
      <c r="V35" s="76">
        <f t="shared" si="5"/>
        <v>100</v>
      </c>
      <c r="W35" s="74"/>
      <c r="X35" s="75">
        <v>1155</v>
      </c>
      <c r="Y35" s="75">
        <v>1155</v>
      </c>
      <c r="Z35" s="76">
        <f t="shared" si="3"/>
        <v>100</v>
      </c>
      <c r="AA35" s="293"/>
      <c r="AB35" s="384"/>
      <c r="AD35" s="385"/>
    </row>
    <row r="36" spans="1:30" ht="16.5" customHeight="1">
      <c r="A36" s="72" t="s">
        <v>26</v>
      </c>
      <c r="B36" s="77"/>
      <c r="C36" s="74">
        <v>20</v>
      </c>
      <c r="D36" s="75">
        <v>45</v>
      </c>
      <c r="E36" s="75">
        <v>62</v>
      </c>
      <c r="F36" s="76">
        <f t="shared" si="6"/>
        <v>137.77777777777777</v>
      </c>
      <c r="G36" s="74"/>
      <c r="H36" s="75"/>
      <c r="I36" s="75"/>
      <c r="J36" s="76"/>
      <c r="K36" s="74">
        <v>480</v>
      </c>
      <c r="L36" s="75">
        <v>680</v>
      </c>
      <c r="M36" s="75">
        <v>781</v>
      </c>
      <c r="N36" s="76">
        <f t="shared" si="1"/>
        <v>114.85294117647058</v>
      </c>
      <c r="O36" s="74">
        <v>50</v>
      </c>
      <c r="P36" s="75">
        <v>145</v>
      </c>
      <c r="Q36" s="75">
        <v>197</v>
      </c>
      <c r="R36" s="76">
        <f t="shared" si="4"/>
        <v>135.86206896551724</v>
      </c>
      <c r="S36" s="74">
        <v>10</v>
      </c>
      <c r="T36" s="75">
        <v>10</v>
      </c>
      <c r="U36" s="75">
        <v>15</v>
      </c>
      <c r="V36" s="76">
        <f t="shared" si="5"/>
        <v>150</v>
      </c>
      <c r="W36" s="74"/>
      <c r="X36" s="75">
        <v>676</v>
      </c>
      <c r="Y36" s="75">
        <v>676</v>
      </c>
      <c r="Z36" s="76">
        <f t="shared" si="3"/>
        <v>100</v>
      </c>
      <c r="AA36" s="293"/>
      <c r="AB36" s="384"/>
      <c r="AD36" s="385"/>
    </row>
    <row r="37" spans="1:30" ht="16.5" customHeight="1">
      <c r="A37" s="72" t="s">
        <v>27</v>
      </c>
      <c r="B37" s="77"/>
      <c r="C37" s="74">
        <v>2115</v>
      </c>
      <c r="D37" s="75">
        <v>2340</v>
      </c>
      <c r="E37" s="75">
        <v>2566</v>
      </c>
      <c r="F37" s="76">
        <f t="shared" si="6"/>
        <v>109.65811965811967</v>
      </c>
      <c r="G37" s="74">
        <v>2234</v>
      </c>
      <c r="H37" s="75">
        <v>2292</v>
      </c>
      <c r="I37" s="75">
        <v>2293</v>
      </c>
      <c r="J37" s="76">
        <f>I37/H37*100</f>
        <v>100.043630017452</v>
      </c>
      <c r="K37" s="74">
        <v>4902</v>
      </c>
      <c r="L37" s="75">
        <v>4847</v>
      </c>
      <c r="M37" s="75">
        <v>5047</v>
      </c>
      <c r="N37" s="76">
        <f t="shared" si="1"/>
        <v>104.1262636682484</v>
      </c>
      <c r="O37" s="74">
        <v>400</v>
      </c>
      <c r="P37" s="75">
        <v>1572</v>
      </c>
      <c r="Q37" s="75">
        <v>1604</v>
      </c>
      <c r="R37" s="76">
        <f t="shared" si="4"/>
        <v>102.03562340966921</v>
      </c>
      <c r="S37" s="74">
        <v>170</v>
      </c>
      <c r="T37" s="75">
        <v>460</v>
      </c>
      <c r="U37" s="75">
        <v>440</v>
      </c>
      <c r="V37" s="76">
        <f>U37/T37*100</f>
        <v>95.65217391304348</v>
      </c>
      <c r="W37" s="74"/>
      <c r="X37" s="75">
        <v>9506</v>
      </c>
      <c r="Y37" s="75">
        <v>9506</v>
      </c>
      <c r="Z37" s="76">
        <f t="shared" si="3"/>
        <v>100</v>
      </c>
      <c r="AA37" s="293"/>
      <c r="AB37" s="384"/>
      <c r="AD37" s="385"/>
    </row>
    <row r="38" spans="1:30" ht="16.5" customHeight="1">
      <c r="A38" s="72" t="s">
        <v>28</v>
      </c>
      <c r="B38" s="77"/>
      <c r="C38" s="74">
        <v>200</v>
      </c>
      <c r="D38" s="75">
        <v>215</v>
      </c>
      <c r="E38" s="75">
        <v>287</v>
      </c>
      <c r="F38" s="76">
        <f t="shared" si="6"/>
        <v>133.48837209302326</v>
      </c>
      <c r="G38" s="74"/>
      <c r="H38" s="75"/>
      <c r="I38" s="75"/>
      <c r="J38" s="76"/>
      <c r="K38" s="74">
        <v>500</v>
      </c>
      <c r="L38" s="75">
        <v>476</v>
      </c>
      <c r="M38" s="75">
        <v>620</v>
      </c>
      <c r="N38" s="76">
        <f t="shared" si="1"/>
        <v>130.25210084033614</v>
      </c>
      <c r="O38" s="74">
        <v>60</v>
      </c>
      <c r="P38" s="75">
        <v>73</v>
      </c>
      <c r="Q38" s="75">
        <v>85</v>
      </c>
      <c r="R38" s="76">
        <f t="shared" si="4"/>
        <v>116.43835616438356</v>
      </c>
      <c r="S38" s="74">
        <v>10</v>
      </c>
      <c r="T38" s="75">
        <v>10</v>
      </c>
      <c r="U38" s="75"/>
      <c r="V38" s="76">
        <f>U38/T38*100</f>
        <v>0</v>
      </c>
      <c r="W38" s="74"/>
      <c r="X38" s="75">
        <v>562</v>
      </c>
      <c r="Y38" s="75">
        <v>562</v>
      </c>
      <c r="Z38" s="76">
        <f t="shared" si="3"/>
        <v>100</v>
      </c>
      <c r="AA38" s="293"/>
      <c r="AB38" s="384"/>
      <c r="AD38" s="385"/>
    </row>
    <row r="39" spans="1:30" ht="16.5" customHeight="1">
      <c r="A39" s="72" t="s">
        <v>325</v>
      </c>
      <c r="B39" s="77"/>
      <c r="C39" s="74">
        <v>180</v>
      </c>
      <c r="D39" s="75">
        <v>189</v>
      </c>
      <c r="E39" s="75">
        <v>334</v>
      </c>
      <c r="F39" s="76">
        <f t="shared" si="6"/>
        <v>176.7195767195767</v>
      </c>
      <c r="G39" s="74"/>
      <c r="H39" s="75"/>
      <c r="I39" s="75"/>
      <c r="J39" s="76"/>
      <c r="K39" s="74">
        <v>3300</v>
      </c>
      <c r="L39" s="75">
        <v>3300</v>
      </c>
      <c r="M39" s="75">
        <v>3908</v>
      </c>
      <c r="N39" s="76">
        <f t="shared" si="1"/>
        <v>118.42424242424244</v>
      </c>
      <c r="O39" s="74">
        <v>320</v>
      </c>
      <c r="P39" s="75">
        <v>320</v>
      </c>
      <c r="Q39" s="75">
        <v>608</v>
      </c>
      <c r="R39" s="76">
        <f t="shared" si="4"/>
        <v>190</v>
      </c>
      <c r="S39" s="74">
        <v>85</v>
      </c>
      <c r="T39" s="75">
        <v>187</v>
      </c>
      <c r="U39" s="75">
        <v>217</v>
      </c>
      <c r="V39" s="76">
        <f>U39/T39*100</f>
        <v>116.0427807486631</v>
      </c>
      <c r="W39" s="74"/>
      <c r="X39" s="75">
        <v>2624</v>
      </c>
      <c r="Y39" s="75">
        <v>2624</v>
      </c>
      <c r="Z39" s="76">
        <f t="shared" si="3"/>
        <v>100</v>
      </c>
      <c r="AA39" s="293"/>
      <c r="AB39" s="384"/>
      <c r="AD39" s="385"/>
    </row>
    <row r="40" spans="1:30" ht="16.5" customHeight="1">
      <c r="A40" s="72" t="s">
        <v>29</v>
      </c>
      <c r="B40" s="77"/>
      <c r="C40" s="74">
        <v>150</v>
      </c>
      <c r="D40" s="75">
        <v>195</v>
      </c>
      <c r="E40" s="75">
        <v>212</v>
      </c>
      <c r="F40" s="76">
        <f t="shared" si="6"/>
        <v>108.71794871794872</v>
      </c>
      <c r="G40" s="74"/>
      <c r="H40" s="75"/>
      <c r="I40" s="75"/>
      <c r="J40" s="76"/>
      <c r="K40" s="74">
        <v>145</v>
      </c>
      <c r="L40" s="75">
        <v>147</v>
      </c>
      <c r="M40" s="75">
        <v>151</v>
      </c>
      <c r="N40" s="76">
        <f t="shared" si="1"/>
        <v>102.72108843537416</v>
      </c>
      <c r="O40" s="74">
        <v>2</v>
      </c>
      <c r="P40" s="75">
        <v>7</v>
      </c>
      <c r="Q40" s="75">
        <v>7</v>
      </c>
      <c r="R40" s="76">
        <f t="shared" si="4"/>
        <v>100</v>
      </c>
      <c r="S40" s="74">
        <v>27</v>
      </c>
      <c r="T40" s="75">
        <v>148</v>
      </c>
      <c r="U40" s="75">
        <v>146</v>
      </c>
      <c r="V40" s="76">
        <f>U40/T40*100</f>
        <v>98.64864864864865</v>
      </c>
      <c r="W40" s="74"/>
      <c r="X40" s="75">
        <v>173</v>
      </c>
      <c r="Y40" s="75">
        <v>173</v>
      </c>
      <c r="Z40" s="76">
        <f t="shared" si="3"/>
        <v>100</v>
      </c>
      <c r="AA40" s="293"/>
      <c r="AB40" s="384"/>
      <c r="AD40" s="385"/>
    </row>
    <row r="41" spans="1:30" ht="16.5" customHeight="1">
      <c r="A41" s="72" t="s">
        <v>30</v>
      </c>
      <c r="B41" s="73"/>
      <c r="C41" s="74">
        <v>96</v>
      </c>
      <c r="D41" s="75">
        <v>214</v>
      </c>
      <c r="E41" s="75">
        <v>194</v>
      </c>
      <c r="F41" s="76">
        <f t="shared" si="6"/>
        <v>90.65420560747664</v>
      </c>
      <c r="G41" s="74"/>
      <c r="H41" s="75"/>
      <c r="I41" s="75"/>
      <c r="J41" s="76"/>
      <c r="K41" s="74">
        <v>202</v>
      </c>
      <c r="L41" s="75">
        <v>260</v>
      </c>
      <c r="M41" s="75">
        <v>263</v>
      </c>
      <c r="N41" s="76">
        <f t="shared" si="1"/>
        <v>101.15384615384615</v>
      </c>
      <c r="O41" s="74">
        <v>2</v>
      </c>
      <c r="P41" s="75">
        <v>2</v>
      </c>
      <c r="Q41" s="75">
        <v>2</v>
      </c>
      <c r="R41" s="76">
        <f t="shared" si="4"/>
        <v>100</v>
      </c>
      <c r="S41" s="74"/>
      <c r="T41" s="75"/>
      <c r="U41" s="75"/>
      <c r="V41" s="76"/>
      <c r="W41" s="74"/>
      <c r="X41" s="75">
        <v>241</v>
      </c>
      <c r="Y41" s="75">
        <v>241</v>
      </c>
      <c r="Z41" s="76">
        <f t="shared" si="3"/>
        <v>100</v>
      </c>
      <c r="AA41" s="293"/>
      <c r="AB41" s="384"/>
      <c r="AD41" s="385"/>
    </row>
    <row r="42" spans="1:30" ht="15" customHeight="1">
      <c r="A42" s="72" t="s">
        <v>31</v>
      </c>
      <c r="B42" s="73"/>
      <c r="C42" s="444">
        <v>4</v>
      </c>
      <c r="D42" s="445">
        <v>29</v>
      </c>
      <c r="E42" s="75">
        <v>24</v>
      </c>
      <c r="F42" s="76">
        <f t="shared" si="6"/>
        <v>82.75862068965517</v>
      </c>
      <c r="G42" s="74"/>
      <c r="H42" s="75"/>
      <c r="I42" s="75"/>
      <c r="J42" s="416"/>
      <c r="K42" s="74">
        <v>47</v>
      </c>
      <c r="L42" s="75">
        <v>273</v>
      </c>
      <c r="M42" s="75">
        <v>88</v>
      </c>
      <c r="N42" s="76">
        <f t="shared" si="1"/>
        <v>32.234432234432234</v>
      </c>
      <c r="O42" s="74">
        <v>6</v>
      </c>
      <c r="P42" s="75">
        <v>6</v>
      </c>
      <c r="Q42" s="445">
        <v>5</v>
      </c>
      <c r="R42" s="76">
        <f t="shared" si="4"/>
        <v>83.33333333333334</v>
      </c>
      <c r="S42" s="74"/>
      <c r="T42" s="75"/>
      <c r="U42" s="75"/>
      <c r="V42" s="76"/>
      <c r="W42" s="74"/>
      <c r="X42" s="75">
        <v>133</v>
      </c>
      <c r="Y42" s="75">
        <v>133</v>
      </c>
      <c r="Z42" s="76">
        <f t="shared" si="3"/>
        <v>100</v>
      </c>
      <c r="AA42" s="293"/>
      <c r="AB42" s="384"/>
      <c r="AD42" s="385"/>
    </row>
    <row r="43" spans="1:30" ht="15" customHeight="1">
      <c r="A43" s="448" t="s">
        <v>32</v>
      </c>
      <c r="B43" s="449"/>
      <c r="C43" s="444">
        <v>50</v>
      </c>
      <c r="D43" s="445">
        <v>84</v>
      </c>
      <c r="E43" s="75">
        <v>83</v>
      </c>
      <c r="F43" s="76">
        <f t="shared" si="6"/>
        <v>98.80952380952381</v>
      </c>
      <c r="G43" s="74"/>
      <c r="H43" s="75"/>
      <c r="I43" s="75"/>
      <c r="J43" s="416"/>
      <c r="K43" s="444">
        <v>120</v>
      </c>
      <c r="L43" s="75">
        <v>103</v>
      </c>
      <c r="M43" s="445">
        <v>102</v>
      </c>
      <c r="N43" s="76">
        <f t="shared" si="1"/>
        <v>99.02912621359224</v>
      </c>
      <c r="O43" s="74">
        <v>7</v>
      </c>
      <c r="P43" s="75">
        <v>7</v>
      </c>
      <c r="Q43" s="445">
        <v>5</v>
      </c>
      <c r="R43" s="76">
        <f t="shared" si="4"/>
        <v>71.42857142857143</v>
      </c>
      <c r="S43" s="74"/>
      <c r="T43" s="75"/>
      <c r="U43" s="75"/>
      <c r="V43" s="76"/>
      <c r="W43" s="74"/>
      <c r="X43" s="75">
        <v>106</v>
      </c>
      <c r="Y43" s="75">
        <v>106</v>
      </c>
      <c r="Z43" s="76">
        <f t="shared" si="3"/>
        <v>100</v>
      </c>
      <c r="AA43" s="293"/>
      <c r="AB43" s="384"/>
      <c r="AD43" s="385"/>
    </row>
    <row r="44" spans="1:30" ht="15" customHeight="1" thickBot="1">
      <c r="A44" s="13"/>
      <c r="B44" s="223"/>
      <c r="C44" s="508"/>
      <c r="D44" s="509"/>
      <c r="E44" s="509"/>
      <c r="F44" s="452"/>
      <c r="G44" s="588"/>
      <c r="H44" s="579"/>
      <c r="I44" s="579"/>
      <c r="J44" s="452"/>
      <c r="K44" s="508"/>
      <c r="L44" s="82"/>
      <c r="M44" s="509"/>
      <c r="N44" s="452"/>
      <c r="O44" s="508"/>
      <c r="P44" s="509"/>
      <c r="Q44" s="509"/>
      <c r="R44" s="510"/>
      <c r="S44" s="583"/>
      <c r="T44" s="578"/>
      <c r="U44" s="578"/>
      <c r="V44" s="470"/>
      <c r="W44" s="80"/>
      <c r="X44" s="81"/>
      <c r="Y44" s="81"/>
      <c r="Z44" s="414"/>
      <c r="AA44" s="293"/>
      <c r="AB44" s="386"/>
      <c r="AC44" s="386"/>
      <c r="AD44" s="386"/>
    </row>
    <row r="45" spans="1:30" ht="16.5" customHeight="1">
      <c r="A45" s="4"/>
      <c r="B45" s="4"/>
      <c r="C45" s="4"/>
      <c r="D45" s="4"/>
      <c r="E45" s="4"/>
      <c r="F45" s="7"/>
      <c r="G45" s="580"/>
      <c r="H45" s="580"/>
      <c r="I45" s="580"/>
      <c r="J45" s="4"/>
      <c r="K45" s="4"/>
      <c r="L45" s="4"/>
      <c r="M45" s="4"/>
      <c r="N45" s="7"/>
      <c r="O45" s="4"/>
      <c r="P45" s="4"/>
      <c r="Q45" s="4"/>
      <c r="R45" s="7"/>
      <c r="S45" s="7"/>
      <c r="T45" s="7"/>
      <c r="U45" s="7"/>
      <c r="V45" s="7"/>
      <c r="W45" s="84"/>
      <c r="X45" s="84"/>
      <c r="Y45" s="84"/>
      <c r="Z45" s="415"/>
      <c r="AA45" s="415"/>
      <c r="AB45" s="386"/>
      <c r="AC45" s="386"/>
      <c r="AD45" s="386"/>
    </row>
    <row r="46" spans="1:30" ht="16.5" customHeight="1" thickBot="1">
      <c r="A46" s="4"/>
      <c r="B46" s="4"/>
      <c r="C46" s="4"/>
      <c r="D46" s="4"/>
      <c r="E46" s="4"/>
      <c r="F46" s="7"/>
      <c r="G46" s="580"/>
      <c r="H46" s="580"/>
      <c r="I46" s="580"/>
      <c r="J46" s="4"/>
      <c r="K46" s="4"/>
      <c r="L46" s="4"/>
      <c r="M46" s="4"/>
      <c r="N46" s="7"/>
      <c r="O46" s="4"/>
      <c r="P46" s="4"/>
      <c r="Q46" s="4"/>
      <c r="R46" s="7"/>
      <c r="S46" s="7"/>
      <c r="T46" s="7"/>
      <c r="U46" s="7"/>
      <c r="V46" s="7"/>
      <c r="W46" s="4"/>
      <c r="X46" s="4"/>
      <c r="Y46" s="4"/>
      <c r="Z46" s="415"/>
      <c r="AA46" s="415"/>
      <c r="AB46" s="386"/>
      <c r="AC46" s="386"/>
      <c r="AD46" s="386"/>
    </row>
    <row r="47" spans="1:27" ht="18" customHeight="1" thickBot="1">
      <c r="A47" s="49" t="s">
        <v>33</v>
      </c>
      <c r="B47" s="4"/>
      <c r="C47" s="87">
        <f>SUM(C15:C43)</f>
        <v>26528</v>
      </c>
      <c r="D47" s="88">
        <f>SUM(D15:D43)</f>
        <v>29578</v>
      </c>
      <c r="E47" s="88">
        <f>SUM(E15:E43)</f>
        <v>30524</v>
      </c>
      <c r="F47" s="89">
        <f>E47/D47*100</f>
        <v>103.19832307796335</v>
      </c>
      <c r="G47" s="87">
        <f>SUM(G14:G43)</f>
        <v>2234</v>
      </c>
      <c r="H47" s="88">
        <f>SUM(H15:H43)</f>
        <v>4050</v>
      </c>
      <c r="I47" s="88">
        <f>SUM(I15:I43)</f>
        <v>4047</v>
      </c>
      <c r="J47" s="89">
        <f>I47/H47*100</f>
        <v>99.92592592592592</v>
      </c>
      <c r="K47" s="462">
        <f>SUM(K15:K43)</f>
        <v>74040</v>
      </c>
      <c r="L47" s="88">
        <f>SUM(L15:L43)</f>
        <v>79145</v>
      </c>
      <c r="M47" s="88">
        <f>SUM(M15:M43)</f>
        <v>82657</v>
      </c>
      <c r="N47" s="89">
        <f>M47/L47*100</f>
        <v>104.43742497946806</v>
      </c>
      <c r="O47" s="87">
        <f>SUM(O15:O43)</f>
        <v>6685</v>
      </c>
      <c r="P47" s="88">
        <f>SUM(P15:P43)</f>
        <v>17040</v>
      </c>
      <c r="Q47" s="88">
        <f>SUM(Q15:Q43)</f>
        <v>18060</v>
      </c>
      <c r="R47" s="89">
        <f>Q47/P47*100</f>
        <v>105.98591549295774</v>
      </c>
      <c r="S47" s="87">
        <f>SUM(S15:S43)</f>
        <v>4280</v>
      </c>
      <c r="T47" s="88">
        <f>SUM(T15:T43)</f>
        <v>7102</v>
      </c>
      <c r="U47" s="88">
        <f>SUM(U15:U43)</f>
        <v>7341</v>
      </c>
      <c r="V47" s="89">
        <f>U47/T47*100</f>
        <v>103.36524922557027</v>
      </c>
      <c r="W47" s="87"/>
      <c r="X47" s="88">
        <f>SUM(X15:X46)</f>
        <v>68785</v>
      </c>
      <c r="Y47" s="88">
        <f>SUM(Y15:Y43)</f>
        <v>68785</v>
      </c>
      <c r="Z47" s="89">
        <f>Y47/X47*100</f>
        <v>100</v>
      </c>
      <c r="AA47" s="293"/>
    </row>
    <row r="48" spans="21:25" ht="15.75" customHeight="1">
      <c r="U48" s="196"/>
      <c r="Y48" s="12"/>
    </row>
    <row r="49" spans="1:24" ht="19.5" customHeight="1">
      <c r="A49" s="5"/>
      <c r="B49" s="5"/>
      <c r="C49" s="5"/>
      <c r="D49" s="301"/>
      <c r="E49" s="5"/>
      <c r="F49" s="5"/>
      <c r="G49" s="96"/>
      <c r="H49" s="5"/>
      <c r="J49" s="5"/>
      <c r="K49" s="5"/>
      <c r="L49" s="5"/>
      <c r="M49" s="5"/>
      <c r="N49" s="5"/>
      <c r="O49" s="5"/>
      <c r="P49" s="5"/>
      <c r="Q49" s="5"/>
      <c r="R49" s="5"/>
      <c r="X49" s="290"/>
    </row>
    <row r="50" spans="2:26" ht="15.75" customHeight="1">
      <c r="B50" s="187" t="s">
        <v>281</v>
      </c>
      <c r="C50" s="290">
        <v>26528</v>
      </c>
      <c r="D50" s="290">
        <v>29578</v>
      </c>
      <c r="E50" s="290">
        <v>30524</v>
      </c>
      <c r="F50" s="290"/>
      <c r="G50" s="290">
        <v>2234</v>
      </c>
      <c r="H50" s="290">
        <v>4050</v>
      </c>
      <c r="I50" s="290">
        <v>4047</v>
      </c>
      <c r="J50" s="290"/>
      <c r="K50" s="290">
        <v>74040</v>
      </c>
      <c r="L50" s="290">
        <v>79145</v>
      </c>
      <c r="M50" s="290">
        <v>82657</v>
      </c>
      <c r="N50" s="290"/>
      <c r="O50" s="290">
        <v>6685</v>
      </c>
      <c r="P50" s="290">
        <v>17040</v>
      </c>
      <c r="Q50" s="290">
        <v>18060</v>
      </c>
      <c r="R50" s="290"/>
      <c r="S50" s="290">
        <v>4280</v>
      </c>
      <c r="T50" s="290">
        <v>7102</v>
      </c>
      <c r="U50" s="290">
        <v>7341</v>
      </c>
      <c r="V50" s="290"/>
      <c r="W50" s="290"/>
      <c r="X50" s="290">
        <v>68785</v>
      </c>
      <c r="Y50" s="290">
        <v>68785</v>
      </c>
      <c r="Z50" s="290"/>
    </row>
    <row r="51" ht="15.75" customHeight="1"/>
  </sheetData>
  <mergeCells count="9">
    <mergeCell ref="A3:Z3"/>
    <mergeCell ref="A4:Z4"/>
    <mergeCell ref="A2:Z2"/>
    <mergeCell ref="W12:Z12"/>
    <mergeCell ref="S12:V12"/>
    <mergeCell ref="O12:R12"/>
    <mergeCell ref="K12:N12"/>
    <mergeCell ref="G12:J12"/>
    <mergeCell ref="C12:F12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BG112"/>
  <sheetViews>
    <sheetView showZeros="0" workbookViewId="0" topLeftCell="A1">
      <pane xSplit="1" ySplit="13" topLeftCell="N38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X6" sqref="X6"/>
    </sheetView>
  </sheetViews>
  <sheetFormatPr defaultColWidth="9.796875" defaultRowHeight="15"/>
  <cols>
    <col min="1" max="1" width="9.796875" style="2" customWidth="1"/>
    <col min="2" max="2" width="8.796875" style="2" customWidth="1"/>
    <col min="3" max="5" width="7.796875" style="2" customWidth="1"/>
    <col min="6" max="6" width="7.59765625" style="2" customWidth="1"/>
    <col min="7" max="9" width="6.8984375" style="2" customWidth="1"/>
    <col min="10" max="10" width="8" style="2" customWidth="1"/>
    <col min="11" max="14" width="6.8984375" style="2" customWidth="1"/>
    <col min="15" max="16" width="7.296875" style="2" customWidth="1"/>
    <col min="17" max="18" width="7.796875" style="2" customWidth="1"/>
    <col min="19" max="21" width="7.296875" style="2" customWidth="1"/>
    <col min="22" max="23" width="7.796875" style="2" customWidth="1"/>
    <col min="24" max="24" width="9" style="701" customWidth="1"/>
    <col min="25" max="25" width="10.3984375" style="701" customWidth="1"/>
    <col min="26" max="26" width="9.3984375" style="701" customWidth="1"/>
    <col min="27" max="27" width="10.19921875" style="2" customWidth="1"/>
    <col min="28" max="28" width="4.19921875" style="2" customWidth="1"/>
    <col min="29" max="34" width="9.796875" style="2" customWidth="1"/>
    <col min="35" max="35" width="10.796875" style="2" customWidth="1"/>
    <col min="36" max="38" width="7.796875" style="2" customWidth="1"/>
    <col min="39" max="39" width="8.796875" style="2" customWidth="1"/>
    <col min="40" max="48" width="7.796875" style="2" customWidth="1"/>
    <col min="49" max="49" width="6.796875" style="2" customWidth="1"/>
    <col min="50" max="50" width="7.796875" style="2" customWidth="1"/>
    <col min="51" max="51" width="6.796875" style="2" customWidth="1"/>
    <col min="52" max="56" width="7.796875" style="2" customWidth="1"/>
    <col min="57" max="57" width="6.796875" style="2" customWidth="1"/>
    <col min="58" max="58" width="7.796875" style="2" customWidth="1"/>
    <col min="59" max="59" width="6.796875" style="2" customWidth="1"/>
    <col min="60" max="62" width="7.796875" style="2" customWidth="1"/>
    <col min="63" max="63" width="6.796875" style="2" customWidth="1"/>
    <col min="64" max="16384" width="9.796875" style="2" customWidth="1"/>
  </cols>
  <sheetData>
    <row r="1" spans="1:43" ht="17.25" customHeight="1">
      <c r="A1" s="9"/>
      <c r="B1" s="1"/>
      <c r="C1" s="1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87"/>
      <c r="Y1" s="187"/>
      <c r="Z1" s="187"/>
      <c r="AK1" s="190"/>
      <c r="AM1" s="191"/>
      <c r="AO1" s="191" t="s">
        <v>122</v>
      </c>
      <c r="AQ1" s="191"/>
    </row>
    <row r="2" spans="1:39" ht="24" customHeight="1">
      <c r="A2" s="824" t="s">
        <v>315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X2" s="187"/>
      <c r="Y2" s="187"/>
      <c r="Z2" s="187"/>
      <c r="AM2" s="192"/>
    </row>
    <row r="3" spans="1:39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X3" s="187"/>
      <c r="Y3" s="187"/>
      <c r="Z3" s="187"/>
      <c r="AM3" s="192"/>
    </row>
    <row r="4" spans="1:47" ht="21" customHeight="1">
      <c r="A4" s="10" t="s">
        <v>216</v>
      </c>
      <c r="B4" s="1"/>
      <c r="C4" s="141"/>
      <c r="D4" s="8"/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187"/>
      <c r="Y4" s="187"/>
      <c r="Z4" s="187"/>
      <c r="AM4" s="192"/>
      <c r="AO4" s="193"/>
      <c r="AP4" s="192"/>
      <c r="AQ4" s="193" t="s">
        <v>123</v>
      </c>
      <c r="AR4" s="194"/>
      <c r="AU4" s="195"/>
    </row>
    <row r="5" spans="1:59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1" t="s">
        <v>124</v>
      </c>
      <c r="V5" s="777"/>
      <c r="W5" s="195"/>
      <c r="X5" s="196"/>
      <c r="Y5" s="196"/>
      <c r="Z5" s="196"/>
      <c r="AL5" s="197"/>
      <c r="AM5" s="195"/>
      <c r="AP5" s="192"/>
      <c r="BF5" s="145" t="s">
        <v>124</v>
      </c>
      <c r="BG5" s="195"/>
    </row>
    <row r="6" spans="1:59" ht="22.5" customHeight="1" thickBo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1" t="s">
        <v>125</v>
      </c>
      <c r="V6" s="775"/>
      <c r="W6" s="198"/>
      <c r="X6" s="199"/>
      <c r="Y6" s="199"/>
      <c r="Z6" s="199"/>
      <c r="AB6" s="5"/>
      <c r="AC6" s="5"/>
      <c r="AD6" s="5"/>
      <c r="AE6" s="5"/>
      <c r="AF6" s="5"/>
      <c r="AG6" s="197"/>
      <c r="AK6" s="5" t="s">
        <v>120</v>
      </c>
      <c r="AL6" s="197"/>
      <c r="AM6" s="195"/>
      <c r="AO6" s="5" t="s">
        <v>126</v>
      </c>
      <c r="AP6" s="5"/>
      <c r="AQ6" s="5"/>
      <c r="AR6" s="5"/>
      <c r="AS6" s="5"/>
      <c r="AT6" s="5"/>
      <c r="AU6" s="5"/>
      <c r="AV6" s="5"/>
      <c r="AW6" s="5" t="s">
        <v>127</v>
      </c>
      <c r="AX6" s="5"/>
      <c r="AY6" s="5"/>
      <c r="AZ6" s="5"/>
      <c r="BA6" s="5" t="s">
        <v>128</v>
      </c>
      <c r="BB6" s="5"/>
      <c r="BC6" s="5"/>
      <c r="BD6" s="5" t="s">
        <v>129</v>
      </c>
      <c r="BE6" s="5"/>
      <c r="BF6" s="145" t="s">
        <v>125</v>
      </c>
      <c r="BG6" s="198"/>
    </row>
    <row r="7" spans="1:58" ht="16.5" customHeight="1" thickBot="1" thickTop="1">
      <c r="A7" s="18"/>
      <c r="B7" s="24"/>
      <c r="C7" s="122" t="s">
        <v>130</v>
      </c>
      <c r="D7" s="22"/>
      <c r="E7" s="22"/>
      <c r="F7" s="22"/>
      <c r="G7" s="23" t="s">
        <v>224</v>
      </c>
      <c r="H7" s="19"/>
      <c r="I7" s="19"/>
      <c r="J7" s="19"/>
      <c r="K7" s="23"/>
      <c r="L7" s="19"/>
      <c r="M7" s="19"/>
      <c r="N7" s="19"/>
      <c r="O7" s="19"/>
      <c r="P7" s="19"/>
      <c r="Q7" s="19"/>
      <c r="R7" s="19"/>
      <c r="S7" s="19"/>
      <c r="T7" s="19"/>
      <c r="U7" s="19"/>
      <c r="V7" s="24"/>
      <c r="W7" s="169"/>
      <c r="X7" s="200"/>
      <c r="Y7" s="200"/>
      <c r="Z7" s="200"/>
      <c r="AG7" s="201"/>
      <c r="AH7" s="202"/>
      <c r="AI7" s="203"/>
      <c r="AJ7" s="204"/>
      <c r="AK7" s="204"/>
      <c r="AL7" s="202"/>
      <c r="AM7" s="204"/>
      <c r="AN7" s="204"/>
      <c r="AO7" s="204"/>
      <c r="AP7" s="202"/>
      <c r="AQ7" s="205" t="s">
        <v>132</v>
      </c>
      <c r="AR7" s="204"/>
      <c r="AS7" s="204"/>
      <c r="AT7" s="204"/>
      <c r="AU7" s="206" t="s">
        <v>131</v>
      </c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2"/>
    </row>
    <row r="8" spans="1:58" ht="16.5" customHeight="1" thickTop="1">
      <c r="A8" s="25" t="s">
        <v>133</v>
      </c>
      <c r="B8" s="124"/>
      <c r="C8" s="207" t="s">
        <v>134</v>
      </c>
      <c r="D8" s="208"/>
      <c r="E8" s="209"/>
      <c r="F8" s="153"/>
      <c r="G8" s="20"/>
      <c r="H8" s="22"/>
      <c r="I8" s="22"/>
      <c r="J8" s="50"/>
      <c r="K8" s="846" t="s">
        <v>135</v>
      </c>
      <c r="L8" s="847"/>
      <c r="M8" s="847"/>
      <c r="N8" s="848"/>
      <c r="O8" s="51" t="s">
        <v>136</v>
      </c>
      <c r="P8" s="53"/>
      <c r="Q8" s="53"/>
      <c r="R8" s="54"/>
      <c r="S8" s="20" t="s">
        <v>137</v>
      </c>
      <c r="T8" s="22"/>
      <c r="U8" s="22"/>
      <c r="V8" s="50"/>
      <c r="W8" s="169"/>
      <c r="X8" s="200"/>
      <c r="Y8" s="210"/>
      <c r="Z8" s="210"/>
      <c r="AG8" s="211" t="s">
        <v>133</v>
      </c>
      <c r="AH8" s="212"/>
      <c r="AI8" s="213" t="s">
        <v>138</v>
      </c>
      <c r="AJ8" s="169"/>
      <c r="AK8" s="169"/>
      <c r="AL8" s="214"/>
      <c r="AM8" s="215" t="s">
        <v>139</v>
      </c>
      <c r="AN8" s="169"/>
      <c r="AO8" s="169"/>
      <c r="AP8" s="214"/>
      <c r="AQ8" s="216"/>
      <c r="AR8" s="217" t="s">
        <v>140</v>
      </c>
      <c r="AS8" s="169"/>
      <c r="AT8" s="214"/>
      <c r="AU8" s="203" t="s">
        <v>141</v>
      </c>
      <c r="AV8" s="204"/>
      <c r="AW8" s="204"/>
      <c r="AX8" s="202"/>
      <c r="AY8" s="203" t="s">
        <v>142</v>
      </c>
      <c r="AZ8" s="204"/>
      <c r="BA8" s="204"/>
      <c r="BB8" s="202"/>
      <c r="BC8" s="203" t="s">
        <v>143</v>
      </c>
      <c r="BD8" s="204"/>
      <c r="BE8" s="204"/>
      <c r="BF8" s="202"/>
    </row>
    <row r="9" spans="1:58" ht="16.5" customHeight="1" thickBot="1">
      <c r="A9" s="37"/>
      <c r="B9" s="218" t="s">
        <v>144</v>
      </c>
      <c r="C9" s="14"/>
      <c r="D9" s="110"/>
      <c r="E9" s="14"/>
      <c r="F9" s="14"/>
      <c r="G9" s="843" t="s">
        <v>145</v>
      </c>
      <c r="H9" s="844"/>
      <c r="I9" s="844"/>
      <c r="J9" s="845"/>
      <c r="K9" s="812" t="s">
        <v>146</v>
      </c>
      <c r="L9" s="813"/>
      <c r="M9" s="813"/>
      <c r="N9" s="814"/>
      <c r="O9" s="207"/>
      <c r="P9" s="14"/>
      <c r="Q9" s="14"/>
      <c r="R9" s="124"/>
      <c r="S9" s="221"/>
      <c r="T9" s="222" t="s">
        <v>41</v>
      </c>
      <c r="U9" s="223"/>
      <c r="V9" s="224"/>
      <c r="W9" s="169"/>
      <c r="X9" s="200"/>
      <c r="Y9" s="210"/>
      <c r="Z9" s="210"/>
      <c r="AG9" s="225"/>
      <c r="AH9" s="226" t="s">
        <v>144</v>
      </c>
      <c r="AI9" s="227"/>
      <c r="AJ9" s="228"/>
      <c r="AK9" s="228"/>
      <c r="AL9" s="229"/>
      <c r="AM9" s="230"/>
      <c r="AN9" s="228"/>
      <c r="AO9" s="228"/>
      <c r="AP9" s="231"/>
      <c r="AQ9" s="232"/>
      <c r="AR9" s="233"/>
      <c r="AS9" s="228"/>
      <c r="AT9" s="231"/>
      <c r="AU9" s="227" t="s">
        <v>147</v>
      </c>
      <c r="AV9" s="228"/>
      <c r="AW9" s="228"/>
      <c r="AX9" s="231"/>
      <c r="AY9" s="227"/>
      <c r="AZ9" s="228"/>
      <c r="BA9" s="228"/>
      <c r="BB9" s="231"/>
      <c r="BC9" s="227"/>
      <c r="BD9" s="230" t="s">
        <v>148</v>
      </c>
      <c r="BE9" s="228"/>
      <c r="BF9" s="231"/>
    </row>
    <row r="10" spans="1:58" ht="16.5" customHeight="1">
      <c r="A10" s="37"/>
      <c r="B10" s="218"/>
      <c r="C10" s="234" t="s">
        <v>71</v>
      </c>
      <c r="D10" s="235"/>
      <c r="E10" s="40" t="s">
        <v>72</v>
      </c>
      <c r="F10" s="41" t="s">
        <v>2</v>
      </c>
      <c r="G10" s="236" t="s">
        <v>71</v>
      </c>
      <c r="H10" s="237"/>
      <c r="I10" s="220" t="s">
        <v>72</v>
      </c>
      <c r="J10" s="238" t="s">
        <v>2</v>
      </c>
      <c r="K10" s="234" t="s">
        <v>71</v>
      </c>
      <c r="L10" s="235"/>
      <c r="M10" s="40" t="s">
        <v>72</v>
      </c>
      <c r="N10" s="41" t="s">
        <v>2</v>
      </c>
      <c r="O10" s="234" t="s">
        <v>71</v>
      </c>
      <c r="P10" s="235"/>
      <c r="Q10" s="40" t="s">
        <v>72</v>
      </c>
      <c r="R10" s="41" t="s">
        <v>2</v>
      </c>
      <c r="S10" s="234" t="s">
        <v>71</v>
      </c>
      <c r="T10" s="235"/>
      <c r="U10" s="40" t="s">
        <v>72</v>
      </c>
      <c r="V10" s="41" t="s">
        <v>2</v>
      </c>
      <c r="W10" s="239"/>
      <c r="X10" s="240"/>
      <c r="Y10" s="210"/>
      <c r="Z10" s="210"/>
      <c r="AG10" s="216"/>
      <c r="AH10" s="226"/>
      <c r="AI10" s="241" t="s">
        <v>149</v>
      </c>
      <c r="AJ10" s="242"/>
      <c r="AK10" s="243" t="s">
        <v>72</v>
      </c>
      <c r="AL10" s="244" t="s">
        <v>2</v>
      </c>
      <c r="AM10" s="245" t="s">
        <v>149</v>
      </c>
      <c r="AN10" s="242"/>
      <c r="AO10" s="243" t="s">
        <v>72</v>
      </c>
      <c r="AP10" s="244" t="s">
        <v>2</v>
      </c>
      <c r="AQ10" s="241" t="s">
        <v>149</v>
      </c>
      <c r="AR10" s="242"/>
      <c r="AS10" s="243" t="s">
        <v>72</v>
      </c>
      <c r="AT10" s="244" t="s">
        <v>2</v>
      </c>
      <c r="AU10" s="241" t="s">
        <v>149</v>
      </c>
      <c r="AV10" s="242"/>
      <c r="AW10" s="243" t="s">
        <v>72</v>
      </c>
      <c r="AX10" s="244" t="s">
        <v>2</v>
      </c>
      <c r="AY10" s="241" t="s">
        <v>149</v>
      </c>
      <c r="AZ10" s="242"/>
      <c r="BA10" s="243" t="s">
        <v>72</v>
      </c>
      <c r="BB10" s="244" t="s">
        <v>2</v>
      </c>
      <c r="BC10" s="241" t="s">
        <v>149</v>
      </c>
      <c r="BD10" s="242"/>
      <c r="BE10" s="243" t="s">
        <v>72</v>
      </c>
      <c r="BF10" s="244" t="s">
        <v>2</v>
      </c>
    </row>
    <row r="11" spans="1:58" ht="16.5" customHeight="1" thickBot="1">
      <c r="A11" s="13"/>
      <c r="B11" s="224"/>
      <c r="C11" s="43" t="s">
        <v>109</v>
      </c>
      <c r="D11" s="44" t="s">
        <v>110</v>
      </c>
      <c r="E11" s="45" t="s">
        <v>319</v>
      </c>
      <c r="F11" s="46" t="s">
        <v>48</v>
      </c>
      <c r="G11" s="185" t="s">
        <v>109</v>
      </c>
      <c r="H11" s="44" t="s">
        <v>110</v>
      </c>
      <c r="I11" s="45" t="s">
        <v>319</v>
      </c>
      <c r="J11" s="46" t="s">
        <v>48</v>
      </c>
      <c r="K11" s="43" t="s">
        <v>109</v>
      </c>
      <c r="L11" s="44" t="s">
        <v>110</v>
      </c>
      <c r="M11" s="45" t="s">
        <v>319</v>
      </c>
      <c r="N11" s="46" t="s">
        <v>48</v>
      </c>
      <c r="O11" s="43" t="s">
        <v>109</v>
      </c>
      <c r="P11" s="44" t="s">
        <v>110</v>
      </c>
      <c r="Q11" s="45" t="s">
        <v>319</v>
      </c>
      <c r="R11" s="46" t="s">
        <v>48</v>
      </c>
      <c r="S11" s="43" t="s">
        <v>109</v>
      </c>
      <c r="T11" s="44" t="s">
        <v>110</v>
      </c>
      <c r="U11" s="45" t="s">
        <v>319</v>
      </c>
      <c r="V11" s="46" t="s">
        <v>48</v>
      </c>
      <c r="W11" s="246"/>
      <c r="X11" s="240"/>
      <c r="Y11" s="210"/>
      <c r="Z11" s="210"/>
      <c r="AE11" s="195"/>
      <c r="AG11" s="232"/>
      <c r="AH11" s="231"/>
      <c r="AI11" s="247" t="s">
        <v>109</v>
      </c>
      <c r="AJ11" s="248" t="s">
        <v>110</v>
      </c>
      <c r="AK11" s="249" t="s">
        <v>150</v>
      </c>
      <c r="AL11" s="250" t="s">
        <v>151</v>
      </c>
      <c r="AM11" s="247" t="s">
        <v>109</v>
      </c>
      <c r="AN11" s="248" t="s">
        <v>110</v>
      </c>
      <c r="AO11" s="249" t="s">
        <v>150</v>
      </c>
      <c r="AP11" s="250" t="s">
        <v>151</v>
      </c>
      <c r="AQ11" s="247" t="s">
        <v>109</v>
      </c>
      <c r="AR11" s="248" t="s">
        <v>110</v>
      </c>
      <c r="AS11" s="249" t="s">
        <v>150</v>
      </c>
      <c r="AT11" s="250" t="s">
        <v>151</v>
      </c>
      <c r="AU11" s="247" t="s">
        <v>109</v>
      </c>
      <c r="AV11" s="248" t="s">
        <v>110</v>
      </c>
      <c r="AW11" s="249" t="s">
        <v>150</v>
      </c>
      <c r="AX11" s="250" t="s">
        <v>151</v>
      </c>
      <c r="AY11" s="247" t="s">
        <v>109</v>
      </c>
      <c r="AZ11" s="248" t="s">
        <v>110</v>
      </c>
      <c r="BA11" s="249" t="s">
        <v>150</v>
      </c>
      <c r="BB11" s="250" t="s">
        <v>151</v>
      </c>
      <c r="BC11" s="247" t="s">
        <v>109</v>
      </c>
      <c r="BD11" s="248" t="s">
        <v>110</v>
      </c>
      <c r="BE11" s="249" t="s">
        <v>150</v>
      </c>
      <c r="BF11" s="250" t="s">
        <v>151</v>
      </c>
    </row>
    <row r="12" spans="1:58" ht="15" customHeight="1" thickBot="1">
      <c r="A12" s="4"/>
      <c r="B12" s="4"/>
      <c r="C12" s="47"/>
      <c r="D12" s="47"/>
      <c r="E12" s="47"/>
      <c r="F12" s="63"/>
      <c r="G12" s="815" t="s">
        <v>152</v>
      </c>
      <c r="H12" s="815"/>
      <c r="I12" s="815"/>
      <c r="J12" s="815"/>
      <c r="K12" s="832" t="s">
        <v>153</v>
      </c>
      <c r="L12" s="832"/>
      <c r="M12" s="832"/>
      <c r="N12" s="832"/>
      <c r="O12" s="832" t="s">
        <v>154</v>
      </c>
      <c r="P12" s="832"/>
      <c r="Q12" s="832"/>
      <c r="R12" s="832"/>
      <c r="S12" s="832" t="s">
        <v>155</v>
      </c>
      <c r="T12" s="832"/>
      <c r="U12" s="832"/>
      <c r="V12" s="832"/>
      <c r="W12" s="251"/>
      <c r="X12" s="840" t="s">
        <v>261</v>
      </c>
      <c r="Y12" s="841"/>
      <c r="Z12" s="842"/>
      <c r="AA12" s="137" t="s">
        <v>282</v>
      </c>
      <c r="AE12" s="252"/>
      <c r="AL12" s="251"/>
      <c r="AP12" s="251"/>
      <c r="AT12" s="251"/>
      <c r="AX12" s="251"/>
      <c r="BB12" s="251"/>
      <c r="BF12" s="251"/>
    </row>
    <row r="13" spans="1:58" ht="13.5" customHeight="1" thickBot="1">
      <c r="A13" s="4"/>
      <c r="B13" s="4"/>
      <c r="C13" s="4"/>
      <c r="D13" s="4"/>
      <c r="E13" s="4"/>
      <c r="F13" s="62"/>
      <c r="G13" s="62"/>
      <c r="H13" s="62"/>
      <c r="I13" s="62"/>
      <c r="J13" s="62"/>
      <c r="K13" s="4"/>
      <c r="L13" s="4"/>
      <c r="M13" s="4"/>
      <c r="N13" s="62"/>
      <c r="O13" s="4"/>
      <c r="P13" s="4"/>
      <c r="Q13" s="4"/>
      <c r="R13" s="62"/>
      <c r="S13" s="4"/>
      <c r="T13" s="4"/>
      <c r="U13" s="4"/>
      <c r="V13" s="62"/>
      <c r="W13" s="251"/>
      <c r="X13" s="673" t="s">
        <v>49</v>
      </c>
      <c r="Y13" s="674" t="s">
        <v>50</v>
      </c>
      <c r="Z13" s="675" t="s">
        <v>184</v>
      </c>
      <c r="AA13" s="45" t="s">
        <v>283</v>
      </c>
      <c r="AL13" s="251"/>
      <c r="AP13" s="251"/>
      <c r="AT13" s="251"/>
      <c r="AX13" s="251"/>
      <c r="BB13" s="251"/>
      <c r="BF13" s="251"/>
    </row>
    <row r="14" spans="1:58" ht="16.5" customHeight="1" thickTop="1">
      <c r="A14" s="65"/>
      <c r="B14" s="66"/>
      <c r="C14" s="67"/>
      <c r="D14" s="68"/>
      <c r="E14" s="68"/>
      <c r="F14" s="69"/>
      <c r="G14" s="676"/>
      <c r="H14" s="677"/>
      <c r="I14" s="677"/>
      <c r="J14" s="69"/>
      <c r="K14" s="678"/>
      <c r="L14" s="68"/>
      <c r="M14" s="68"/>
      <c r="N14" s="69"/>
      <c r="O14" s="67"/>
      <c r="P14" s="68"/>
      <c r="Q14" s="68"/>
      <c r="R14" s="69"/>
      <c r="S14" s="67"/>
      <c r="T14" s="68"/>
      <c r="U14" s="68"/>
      <c r="V14" s="69"/>
      <c r="W14" s="215"/>
      <c r="X14" s="679"/>
      <c r="Y14" s="679"/>
      <c r="Z14" s="679"/>
      <c r="AA14" s="649"/>
      <c r="AG14" s="680"/>
      <c r="AH14" s="681"/>
      <c r="AI14" s="682"/>
      <c r="AJ14" s="683"/>
      <c r="AK14" s="684"/>
      <c r="AL14" s="685"/>
      <c r="AM14" s="682"/>
      <c r="AN14" s="683"/>
      <c r="AO14" s="684"/>
      <c r="AP14" s="686"/>
      <c r="AQ14" s="682"/>
      <c r="AR14" s="683"/>
      <c r="AS14" s="684"/>
      <c r="AT14" s="686"/>
      <c r="AU14" s="682"/>
      <c r="AV14" s="683"/>
      <c r="AW14" s="684"/>
      <c r="AX14" s="686"/>
      <c r="AY14" s="682"/>
      <c r="AZ14" s="683"/>
      <c r="BA14" s="687"/>
      <c r="BB14" s="686"/>
      <c r="BC14" s="682"/>
      <c r="BD14" s="683"/>
      <c r="BE14" s="684"/>
      <c r="BF14" s="686"/>
    </row>
    <row r="15" spans="1:58" s="187" customFormat="1" ht="16.5" customHeight="1">
      <c r="A15" s="72" t="s">
        <v>80</v>
      </c>
      <c r="B15" s="73"/>
      <c r="C15" s="74">
        <f>SUM(G15+K15+O15+S15)</f>
        <v>1591</v>
      </c>
      <c r="D15" s="75">
        <f>SUM(H15+L15+P15+T15)</f>
        <v>4366</v>
      </c>
      <c r="E15" s="75">
        <f>SUM(I15+M15+Q15+U15)</f>
        <v>3794</v>
      </c>
      <c r="F15" s="76">
        <f aca="true" t="shared" si="0" ref="F15:F26">E15/D15*100</f>
        <v>86.89876316994962</v>
      </c>
      <c r="G15" s="387"/>
      <c r="H15" s="388">
        <v>20</v>
      </c>
      <c r="I15" s="388">
        <v>23</v>
      </c>
      <c r="J15" s="76">
        <f>I15/H15*100</f>
        <v>114.99999999999999</v>
      </c>
      <c r="K15" s="389">
        <v>10</v>
      </c>
      <c r="L15" s="75">
        <v>50</v>
      </c>
      <c r="M15" s="75">
        <v>42</v>
      </c>
      <c r="N15" s="76">
        <f>M15/L15*100</f>
        <v>84</v>
      </c>
      <c r="O15" s="74">
        <v>1481</v>
      </c>
      <c r="P15" s="75">
        <v>4196</v>
      </c>
      <c r="Q15" s="102">
        <v>3647</v>
      </c>
      <c r="R15" s="76">
        <f aca="true" t="shared" si="1" ref="R15:R22">Q15/P15*100</f>
        <v>86.9161105815062</v>
      </c>
      <c r="S15" s="74">
        <v>100</v>
      </c>
      <c r="T15" s="75">
        <v>100</v>
      </c>
      <c r="U15" s="75">
        <v>82</v>
      </c>
      <c r="V15" s="76">
        <f>U15/T15*100</f>
        <v>82</v>
      </c>
      <c r="W15" s="390"/>
      <c r="X15" s="391">
        <f>C15+'Nedaňové příjmy'!C15+'Nedaňové příjmy'!G15+'Nedaňové příjmy'!K15+'Nedaňové příjmy'!O15+'Nedaňové příjmy'!S15+'Nedaňové příjmy'!W15</f>
        <v>14757</v>
      </c>
      <c r="Y15" s="391">
        <f>D15+'Nedaňové příjmy'!D15+'Nedaňové příjmy'!H15+'Nedaňové příjmy'!L15+'Nedaňové příjmy'!P15+'Nedaňové příjmy'!T15+'Nedaňové příjmy'!X15</f>
        <v>39356</v>
      </c>
      <c r="Z15" s="391">
        <f>E15+'Nedaňové příjmy'!E15+'Nedaňové příjmy'!I15+'Nedaňové příjmy'!M15+'Nedaňové příjmy'!Q15+'Nedaňové příjmy'!U15+'Nedaňové příjmy'!Y15</f>
        <v>37037</v>
      </c>
      <c r="AA15" s="392">
        <v>37037442</v>
      </c>
      <c r="AB15" s="290">
        <f>AA15/1000-Z15</f>
        <v>0.44200000000273576</v>
      </c>
      <c r="AE15" s="393"/>
      <c r="AG15" s="394" t="s">
        <v>80</v>
      </c>
      <c r="AH15" s="395"/>
      <c r="AI15" s="396">
        <v>0</v>
      </c>
      <c r="AJ15" s="397"/>
      <c r="AK15" s="398">
        <v>5526</v>
      </c>
      <c r="AL15" s="399">
        <v>0</v>
      </c>
      <c r="AM15" s="400"/>
      <c r="AN15" s="401"/>
      <c r="AO15" s="402"/>
      <c r="AP15" s="403"/>
      <c r="AQ15" s="404">
        <f aca="true" t="shared" si="2" ref="AQ15:AQ43">SUM(AU15+AY15+BC15)</f>
        <v>4400</v>
      </c>
      <c r="AR15" s="401"/>
      <c r="AS15" s="401">
        <f aca="true" t="shared" si="3" ref="AS15:AS43">SUM(AW15+BA15+BE15)</f>
        <v>3349</v>
      </c>
      <c r="AT15" s="399">
        <f aca="true" t="shared" si="4" ref="AT15:AT27">AS15/AQ15*100</f>
        <v>76.11363636363636</v>
      </c>
      <c r="AU15" s="400"/>
      <c r="AV15" s="405"/>
      <c r="AW15" s="402"/>
      <c r="AX15" s="399"/>
      <c r="AY15" s="400">
        <v>4250</v>
      </c>
      <c r="AZ15" s="401"/>
      <c r="BA15" s="406">
        <v>3308</v>
      </c>
      <c r="BB15" s="399">
        <f aca="true" t="shared" si="5" ref="BB15:BB27">BA15/AY15*100</f>
        <v>77.83529411764705</v>
      </c>
      <c r="BC15" s="400">
        <v>150</v>
      </c>
      <c r="BD15" s="401"/>
      <c r="BE15" s="402">
        <v>41</v>
      </c>
      <c r="BF15" s="399">
        <f>BE15/BC15*100</f>
        <v>27.333333333333332</v>
      </c>
    </row>
    <row r="16" spans="1:58" ht="16.5" customHeight="1">
      <c r="A16" s="72" t="s">
        <v>7</v>
      </c>
      <c r="B16" s="77"/>
      <c r="C16" s="74">
        <f aca="true" t="shared" si="6" ref="C16:D43">SUM(G16+K16+O16+S16)</f>
        <v>250</v>
      </c>
      <c r="D16" s="75">
        <f aca="true" t="shared" si="7" ref="D16:D43">SUM(H16+L16+P16+T16)</f>
        <v>275</v>
      </c>
      <c r="E16" s="75">
        <f aca="true" t="shared" si="8" ref="E16:E43">SUM(I16+M16+Q16+U16)</f>
        <v>282</v>
      </c>
      <c r="F16" s="76">
        <f t="shared" si="0"/>
        <v>102.54545454545453</v>
      </c>
      <c r="G16" s="387"/>
      <c r="H16" s="388"/>
      <c r="I16" s="388"/>
      <c r="J16" s="76"/>
      <c r="K16" s="74"/>
      <c r="L16" s="75"/>
      <c r="M16" s="75"/>
      <c r="N16" s="76"/>
      <c r="O16" s="74">
        <v>250</v>
      </c>
      <c r="P16" s="75">
        <v>275</v>
      </c>
      <c r="Q16" s="102">
        <v>282</v>
      </c>
      <c r="R16" s="76">
        <f t="shared" si="1"/>
        <v>102.54545454545453</v>
      </c>
      <c r="S16" s="74"/>
      <c r="T16" s="75"/>
      <c r="U16" s="75"/>
      <c r="V16" s="76"/>
      <c r="W16" s="390"/>
      <c r="X16" s="407">
        <f>C16+'Nedaňové příjmy'!C16+'Nedaňové příjmy'!G16+'Nedaňové příjmy'!K16+'Nedaňové příjmy'!O16+'Nedaňové příjmy'!S16+'Nedaňové příjmy'!W16</f>
        <v>4796</v>
      </c>
      <c r="Y16" s="407">
        <f>D16+'Nedaňové příjmy'!D16+'Nedaňové příjmy'!H16+'Nedaňové příjmy'!L16+'Nedaňové příjmy'!P16+'Nedaňové příjmy'!T16+'Nedaňové příjmy'!X16</f>
        <v>7770</v>
      </c>
      <c r="Z16" s="407">
        <f>E16+'Nedaňové příjmy'!E16+'Nedaňové příjmy'!I16+'Nedaňové příjmy'!M16+'Nedaňové příjmy'!Q16+'Nedaňové příjmy'!U16+'Nedaňové příjmy'!Y16</f>
        <v>8158</v>
      </c>
      <c r="AA16" s="392">
        <v>8157283</v>
      </c>
      <c r="AB16" s="290">
        <f aca="true" t="shared" si="9" ref="AB16:AB43">AA16/1000-Z16</f>
        <v>-0.7169999999996435</v>
      </c>
      <c r="AE16" s="100"/>
      <c r="AG16" s="394" t="s">
        <v>7</v>
      </c>
      <c r="AH16" s="417"/>
      <c r="AI16" s="396">
        <v>0</v>
      </c>
      <c r="AJ16" s="397"/>
      <c r="AK16" s="398">
        <v>1284</v>
      </c>
      <c r="AL16" s="399">
        <v>0</v>
      </c>
      <c r="AM16" s="418"/>
      <c r="AN16" s="419"/>
      <c r="AO16" s="420"/>
      <c r="AP16" s="403"/>
      <c r="AQ16" s="421">
        <f t="shared" si="2"/>
        <v>300</v>
      </c>
      <c r="AR16" s="419"/>
      <c r="AS16" s="419">
        <f t="shared" si="3"/>
        <v>388</v>
      </c>
      <c r="AT16" s="399">
        <f t="shared" si="4"/>
        <v>129.33333333333331</v>
      </c>
      <c r="AU16" s="418"/>
      <c r="AV16" s="422"/>
      <c r="AW16" s="420"/>
      <c r="AX16" s="399"/>
      <c r="AY16" s="418">
        <v>300</v>
      </c>
      <c r="AZ16" s="419"/>
      <c r="BA16" s="423">
        <v>388</v>
      </c>
      <c r="BB16" s="399">
        <f t="shared" si="5"/>
        <v>129.33333333333331</v>
      </c>
      <c r="BC16" s="418"/>
      <c r="BD16" s="419"/>
      <c r="BE16" s="420"/>
      <c r="BF16" s="399"/>
    </row>
    <row r="17" spans="1:58" ht="16.5" customHeight="1">
      <c r="A17" s="72" t="s">
        <v>8</v>
      </c>
      <c r="B17" s="77"/>
      <c r="C17" s="74">
        <f t="shared" si="6"/>
        <v>118</v>
      </c>
      <c r="D17" s="75">
        <f t="shared" si="7"/>
        <v>160</v>
      </c>
      <c r="E17" s="75">
        <f t="shared" si="8"/>
        <v>151</v>
      </c>
      <c r="F17" s="76">
        <f t="shared" si="0"/>
        <v>94.375</v>
      </c>
      <c r="G17" s="387"/>
      <c r="H17" s="388"/>
      <c r="I17" s="388"/>
      <c r="J17" s="416"/>
      <c r="K17" s="74"/>
      <c r="L17" s="75"/>
      <c r="M17" s="75"/>
      <c r="N17" s="76"/>
      <c r="O17" s="74">
        <v>118</v>
      </c>
      <c r="P17" s="75">
        <v>160</v>
      </c>
      <c r="Q17" s="102">
        <v>151</v>
      </c>
      <c r="R17" s="76">
        <f t="shared" si="1"/>
        <v>94.375</v>
      </c>
      <c r="S17" s="74"/>
      <c r="T17" s="75"/>
      <c r="U17" s="75"/>
      <c r="V17" s="76"/>
      <c r="W17" s="390"/>
      <c r="X17" s="407">
        <f>C17+'Nedaňové příjmy'!C17+'Nedaňové příjmy'!G17+'Nedaňové příjmy'!K17+'Nedaňové příjmy'!O17+'Nedaňové příjmy'!S17+'Nedaňové příjmy'!W17</f>
        <v>3034</v>
      </c>
      <c r="Y17" s="407">
        <f>D17+'Nedaňové příjmy'!D17+'Nedaňové příjmy'!H17+'Nedaňové příjmy'!L17+'Nedaňové příjmy'!P17+'Nedaňové příjmy'!T17+'Nedaňové příjmy'!X17</f>
        <v>4624</v>
      </c>
      <c r="Z17" s="407">
        <f>E17+'Nedaňové příjmy'!E17+'Nedaňové příjmy'!I17+'Nedaňové příjmy'!M17+'Nedaňové příjmy'!Q17+'Nedaňové příjmy'!U17+'Nedaňové příjmy'!Y17</f>
        <v>4648</v>
      </c>
      <c r="AA17" s="392">
        <v>4648228</v>
      </c>
      <c r="AB17" s="290">
        <f t="shared" si="9"/>
        <v>0.22800000000006548</v>
      </c>
      <c r="AE17" s="100"/>
      <c r="AG17" s="394" t="s">
        <v>8</v>
      </c>
      <c r="AH17" s="417"/>
      <c r="AI17" s="396">
        <v>0</v>
      </c>
      <c r="AJ17" s="397"/>
      <c r="AK17" s="398">
        <v>1127</v>
      </c>
      <c r="AL17" s="399">
        <v>0</v>
      </c>
      <c r="AM17" s="418"/>
      <c r="AN17" s="419"/>
      <c r="AO17" s="420"/>
      <c r="AP17" s="403"/>
      <c r="AQ17" s="421">
        <f t="shared" si="2"/>
        <v>160</v>
      </c>
      <c r="AR17" s="419"/>
      <c r="AS17" s="419">
        <f t="shared" si="3"/>
        <v>202</v>
      </c>
      <c r="AT17" s="399">
        <f t="shared" si="4"/>
        <v>126.25</v>
      </c>
      <c r="AU17" s="418"/>
      <c r="AV17" s="422"/>
      <c r="AW17" s="420"/>
      <c r="AX17" s="399"/>
      <c r="AY17" s="418">
        <v>160</v>
      </c>
      <c r="AZ17" s="419"/>
      <c r="BA17" s="423">
        <v>202</v>
      </c>
      <c r="BB17" s="399">
        <f t="shared" si="5"/>
        <v>126.25</v>
      </c>
      <c r="BC17" s="418"/>
      <c r="BD17" s="419"/>
      <c r="BE17" s="420"/>
      <c r="BF17" s="399"/>
    </row>
    <row r="18" spans="1:58" ht="16.5" customHeight="1">
      <c r="A18" s="72" t="s">
        <v>9</v>
      </c>
      <c r="B18" s="77"/>
      <c r="C18" s="74">
        <f t="shared" si="6"/>
        <v>0</v>
      </c>
      <c r="D18" s="75">
        <f t="shared" si="7"/>
        <v>0</v>
      </c>
      <c r="E18" s="75">
        <f t="shared" si="8"/>
        <v>43</v>
      </c>
      <c r="F18" s="76"/>
      <c r="G18" s="387"/>
      <c r="H18" s="388"/>
      <c r="I18" s="388"/>
      <c r="J18" s="76"/>
      <c r="K18" s="74"/>
      <c r="L18" s="75"/>
      <c r="M18" s="75"/>
      <c r="N18" s="76"/>
      <c r="O18" s="74"/>
      <c r="P18" s="75"/>
      <c r="Q18" s="102">
        <v>43</v>
      </c>
      <c r="R18" s="76"/>
      <c r="S18" s="74"/>
      <c r="T18" s="75"/>
      <c r="U18" s="75"/>
      <c r="V18" s="76"/>
      <c r="W18" s="390"/>
      <c r="X18" s="407">
        <f>C18+'Nedaňové příjmy'!C18+'Nedaňové příjmy'!G18+'Nedaňové příjmy'!K18+'Nedaňové příjmy'!O18+'Nedaňové příjmy'!S18+'Nedaňové příjmy'!W18</f>
        <v>2480</v>
      </c>
      <c r="Y18" s="407">
        <f>D18+'Nedaňové příjmy'!D18+'Nedaňové příjmy'!H18+'Nedaňové příjmy'!L18+'Nedaňové příjmy'!P18+'Nedaňové příjmy'!T18+'Nedaňové příjmy'!X18</f>
        <v>5466</v>
      </c>
      <c r="Z18" s="407">
        <f>E18+'Nedaňové příjmy'!E18+'Nedaňové příjmy'!I18+'Nedaňové příjmy'!M18+'Nedaňové příjmy'!Q18+'Nedaňové příjmy'!U18+'Nedaňové příjmy'!Y18</f>
        <v>5875</v>
      </c>
      <c r="AA18" s="392">
        <v>5875281</v>
      </c>
      <c r="AB18" s="290">
        <f t="shared" si="9"/>
        <v>0.28099999999994907</v>
      </c>
      <c r="AE18" s="100"/>
      <c r="AG18" s="394" t="s">
        <v>9</v>
      </c>
      <c r="AH18" s="417"/>
      <c r="AI18" s="396">
        <v>0</v>
      </c>
      <c r="AJ18" s="397"/>
      <c r="AK18" s="398">
        <v>792</v>
      </c>
      <c r="AL18" s="399">
        <v>0</v>
      </c>
      <c r="AM18" s="418"/>
      <c r="AN18" s="419"/>
      <c r="AO18" s="420"/>
      <c r="AP18" s="403"/>
      <c r="AQ18" s="421">
        <f t="shared" si="2"/>
        <v>80</v>
      </c>
      <c r="AR18" s="419"/>
      <c r="AS18" s="419">
        <f t="shared" si="3"/>
        <v>30</v>
      </c>
      <c r="AT18" s="399">
        <f t="shared" si="4"/>
        <v>37.5</v>
      </c>
      <c r="AU18" s="418"/>
      <c r="AV18" s="422"/>
      <c r="AW18" s="420"/>
      <c r="AX18" s="399"/>
      <c r="AY18" s="418">
        <v>50</v>
      </c>
      <c r="AZ18" s="419"/>
      <c r="BA18" s="423">
        <v>20</v>
      </c>
      <c r="BB18" s="399">
        <f t="shared" si="5"/>
        <v>40</v>
      </c>
      <c r="BC18" s="418">
        <v>30</v>
      </c>
      <c r="BD18" s="419"/>
      <c r="BE18" s="420">
        <v>10</v>
      </c>
      <c r="BF18" s="399">
        <f>BE18/BC18*100</f>
        <v>33.33333333333333</v>
      </c>
    </row>
    <row r="19" spans="1:58" ht="16.5" customHeight="1">
      <c r="A19" s="72" t="s">
        <v>10</v>
      </c>
      <c r="B19" s="77"/>
      <c r="C19" s="74">
        <f t="shared" si="6"/>
        <v>91</v>
      </c>
      <c r="D19" s="75">
        <f t="shared" si="7"/>
        <v>893</v>
      </c>
      <c r="E19" s="75">
        <f t="shared" si="8"/>
        <v>932</v>
      </c>
      <c r="F19" s="76">
        <f t="shared" si="0"/>
        <v>104.36730123180291</v>
      </c>
      <c r="G19" s="387"/>
      <c r="H19" s="388"/>
      <c r="I19" s="388"/>
      <c r="J19" s="416"/>
      <c r="K19" s="74"/>
      <c r="L19" s="75">
        <v>4</v>
      </c>
      <c r="M19" s="75">
        <v>4</v>
      </c>
      <c r="N19" s="76">
        <f>M19/L19*100</f>
        <v>100</v>
      </c>
      <c r="O19" s="74">
        <v>55</v>
      </c>
      <c r="P19" s="75">
        <v>831</v>
      </c>
      <c r="Q19" s="102">
        <v>871</v>
      </c>
      <c r="R19" s="76">
        <f t="shared" si="1"/>
        <v>104.81347773766547</v>
      </c>
      <c r="S19" s="74">
        <v>36</v>
      </c>
      <c r="T19" s="75">
        <v>58</v>
      </c>
      <c r="U19" s="75">
        <v>57</v>
      </c>
      <c r="V19" s="76">
        <f>U19/T19*100</f>
        <v>98.27586206896551</v>
      </c>
      <c r="W19" s="390"/>
      <c r="X19" s="407">
        <f>C19+'Nedaňové příjmy'!C19+'Nedaňové příjmy'!G19+'Nedaňové příjmy'!K19+'Nedaňové příjmy'!O19+'Nedaňové příjmy'!S19+'Nedaňové příjmy'!W19</f>
        <v>2888</v>
      </c>
      <c r="Y19" s="407">
        <f>D19+'Nedaňové příjmy'!D19+'Nedaňové příjmy'!H19+'Nedaňové příjmy'!L19+'Nedaňové příjmy'!P19+'Nedaňové příjmy'!T19+'Nedaňové příjmy'!X19</f>
        <v>5760</v>
      </c>
      <c r="Z19" s="407">
        <f>E19+'Nedaňové příjmy'!E19+'Nedaňové příjmy'!I19+'Nedaňové příjmy'!M19+'Nedaňové příjmy'!Q19+'Nedaňové příjmy'!U19+'Nedaňové příjmy'!Y19</f>
        <v>6252</v>
      </c>
      <c r="AA19" s="392">
        <v>6251133</v>
      </c>
      <c r="AB19" s="290">
        <f t="shared" si="9"/>
        <v>-0.8670000000001892</v>
      </c>
      <c r="AE19" s="100"/>
      <c r="AG19" s="394" t="s">
        <v>10</v>
      </c>
      <c r="AH19" s="417"/>
      <c r="AI19" s="396">
        <v>0</v>
      </c>
      <c r="AJ19" s="397"/>
      <c r="AK19" s="398">
        <v>10532</v>
      </c>
      <c r="AL19" s="399">
        <v>0</v>
      </c>
      <c r="AM19" s="418"/>
      <c r="AN19" s="419"/>
      <c r="AO19" s="420"/>
      <c r="AP19" s="403"/>
      <c r="AQ19" s="421">
        <f t="shared" si="2"/>
        <v>275</v>
      </c>
      <c r="AR19" s="419"/>
      <c r="AS19" s="419">
        <f t="shared" si="3"/>
        <v>669</v>
      </c>
      <c r="AT19" s="399">
        <f t="shared" si="4"/>
        <v>243.27272727272725</v>
      </c>
      <c r="AU19" s="418"/>
      <c r="AV19" s="422"/>
      <c r="AW19" s="420"/>
      <c r="AX19" s="399"/>
      <c r="AY19" s="418">
        <v>250</v>
      </c>
      <c r="AZ19" s="419"/>
      <c r="BA19" s="423">
        <v>656</v>
      </c>
      <c r="BB19" s="399">
        <f t="shared" si="5"/>
        <v>262.40000000000003</v>
      </c>
      <c r="BC19" s="418">
        <v>25</v>
      </c>
      <c r="BD19" s="419"/>
      <c r="BE19" s="420">
        <v>13</v>
      </c>
      <c r="BF19" s="399">
        <f>BE19/BC19*100</f>
        <v>52</v>
      </c>
    </row>
    <row r="20" spans="1:58" ht="16.5" customHeight="1">
      <c r="A20" s="72" t="s">
        <v>11</v>
      </c>
      <c r="B20" s="77"/>
      <c r="C20" s="74">
        <f t="shared" si="6"/>
        <v>70</v>
      </c>
      <c r="D20" s="75">
        <f t="shared" si="7"/>
        <v>76</v>
      </c>
      <c r="E20" s="75">
        <f t="shared" si="8"/>
        <v>44</v>
      </c>
      <c r="F20" s="76">
        <f t="shared" si="0"/>
        <v>57.89473684210527</v>
      </c>
      <c r="G20" s="387"/>
      <c r="H20" s="388"/>
      <c r="I20" s="388"/>
      <c r="J20" s="76"/>
      <c r="K20" s="74"/>
      <c r="L20" s="75">
        <v>5</v>
      </c>
      <c r="M20" s="75">
        <f>5-1</f>
        <v>4</v>
      </c>
      <c r="N20" s="76">
        <f>M20/L20*100</f>
        <v>80</v>
      </c>
      <c r="O20" s="74">
        <v>70</v>
      </c>
      <c r="P20" s="75">
        <v>71</v>
      </c>
      <c r="Q20" s="102">
        <v>40</v>
      </c>
      <c r="R20" s="76">
        <f t="shared" si="1"/>
        <v>56.33802816901409</v>
      </c>
      <c r="S20" s="74"/>
      <c r="T20" s="75"/>
      <c r="U20" s="75"/>
      <c r="V20" s="76"/>
      <c r="W20" s="390"/>
      <c r="X20" s="407">
        <f>C20+'Nedaňové příjmy'!C20+'Nedaňové příjmy'!G20+'Nedaňové příjmy'!K20+'Nedaňové příjmy'!O20+'Nedaňové příjmy'!S20+'Nedaňové příjmy'!W20</f>
        <v>3012</v>
      </c>
      <c r="Y20" s="407">
        <f>D20+'Nedaňové příjmy'!D20+'Nedaňové příjmy'!H20+'Nedaňové příjmy'!L20+'Nedaňové příjmy'!P20+'Nedaňové příjmy'!T20+'Nedaňové příjmy'!X20</f>
        <v>3505</v>
      </c>
      <c r="Z20" s="407">
        <f>E20+'Nedaňové příjmy'!E20+'Nedaňové příjmy'!I20+'Nedaňové příjmy'!M20+'Nedaňové příjmy'!Q20+'Nedaňové příjmy'!U20+'Nedaňové příjmy'!Y20</f>
        <v>3503</v>
      </c>
      <c r="AA20" s="392">
        <v>3503989</v>
      </c>
      <c r="AB20" s="290">
        <f t="shared" si="9"/>
        <v>0.9890000000000327</v>
      </c>
      <c r="AE20" s="100"/>
      <c r="AG20" s="394" t="s">
        <v>11</v>
      </c>
      <c r="AH20" s="417"/>
      <c r="AI20" s="396">
        <v>0</v>
      </c>
      <c r="AJ20" s="397"/>
      <c r="AK20" s="398">
        <v>181</v>
      </c>
      <c r="AL20" s="399">
        <v>0</v>
      </c>
      <c r="AM20" s="418"/>
      <c r="AN20" s="419"/>
      <c r="AO20" s="420"/>
      <c r="AP20" s="403"/>
      <c r="AQ20" s="421">
        <f t="shared" si="2"/>
        <v>191</v>
      </c>
      <c r="AR20" s="419"/>
      <c r="AS20" s="419">
        <f t="shared" si="3"/>
        <v>8</v>
      </c>
      <c r="AT20" s="399">
        <f t="shared" si="4"/>
        <v>4.18848167539267</v>
      </c>
      <c r="AU20" s="418"/>
      <c r="AV20" s="422"/>
      <c r="AW20" s="420"/>
      <c r="AX20" s="399"/>
      <c r="AY20" s="418">
        <v>91</v>
      </c>
      <c r="AZ20" s="419"/>
      <c r="BA20" s="423">
        <v>8</v>
      </c>
      <c r="BB20" s="399">
        <f t="shared" si="5"/>
        <v>8.791208791208792</v>
      </c>
      <c r="BC20" s="418">
        <v>100</v>
      </c>
      <c r="BD20" s="419"/>
      <c r="BE20" s="420">
        <v>0</v>
      </c>
      <c r="BF20" s="399">
        <f>BE20/BC20*100</f>
        <v>0</v>
      </c>
    </row>
    <row r="21" spans="1:58" ht="16.5" customHeight="1">
      <c r="A21" s="72" t="s">
        <v>242</v>
      </c>
      <c r="B21" s="77"/>
      <c r="C21" s="74">
        <f t="shared" si="6"/>
        <v>8363</v>
      </c>
      <c r="D21" s="75">
        <f t="shared" si="7"/>
        <v>2191</v>
      </c>
      <c r="E21" s="75">
        <f t="shared" si="8"/>
        <v>1104</v>
      </c>
      <c r="F21" s="76">
        <f t="shared" si="0"/>
        <v>50.38795070743952</v>
      </c>
      <c r="G21" s="387"/>
      <c r="H21" s="388"/>
      <c r="I21" s="388"/>
      <c r="J21" s="416"/>
      <c r="K21" s="74"/>
      <c r="L21" s="75"/>
      <c r="M21" s="75"/>
      <c r="N21" s="76"/>
      <c r="O21" s="74">
        <v>8363</v>
      </c>
      <c r="P21" s="75">
        <v>2191</v>
      </c>
      <c r="Q21" s="102">
        <v>1104</v>
      </c>
      <c r="R21" s="76">
        <f t="shared" si="1"/>
        <v>50.38795070743952</v>
      </c>
      <c r="S21" s="74"/>
      <c r="T21" s="75"/>
      <c r="U21" s="75"/>
      <c r="V21" s="76"/>
      <c r="W21" s="390"/>
      <c r="X21" s="407">
        <f>C21+'Nedaňové příjmy'!C21+'Nedaňové příjmy'!G21+'Nedaňové příjmy'!K21+'Nedaňové příjmy'!O21+'Nedaňové příjmy'!S21+'Nedaňové příjmy'!W21</f>
        <v>18958</v>
      </c>
      <c r="Y21" s="407">
        <f>D21+'Nedaňové příjmy'!D21+'Nedaňové příjmy'!H21+'Nedaňové příjmy'!L21+'Nedaňové příjmy'!P21+'Nedaňové příjmy'!T21+'Nedaňové příjmy'!X21</f>
        <v>17577</v>
      </c>
      <c r="Z21" s="391">
        <f>E21+'Nedaňové příjmy'!E21+'Nedaňové příjmy'!I21+'Nedaňové příjmy'!M21+'Nedaňové příjmy'!Q21+'Nedaňové příjmy'!U21+'Nedaňové příjmy'!Y21</f>
        <v>16295</v>
      </c>
      <c r="AA21" s="392">
        <v>16294599</v>
      </c>
      <c r="AB21" s="290">
        <f t="shared" si="9"/>
        <v>-0.40099999999983993</v>
      </c>
      <c r="AE21" s="100"/>
      <c r="AG21" s="394" t="s">
        <v>12</v>
      </c>
      <c r="AH21" s="417"/>
      <c r="AI21" s="396">
        <v>0</v>
      </c>
      <c r="AJ21" s="397"/>
      <c r="AK21" s="398">
        <v>1746</v>
      </c>
      <c r="AL21" s="399">
        <v>0</v>
      </c>
      <c r="AM21" s="418"/>
      <c r="AN21" s="419"/>
      <c r="AO21" s="420"/>
      <c r="AP21" s="403"/>
      <c r="AQ21" s="421">
        <f t="shared" si="2"/>
        <v>1100</v>
      </c>
      <c r="AR21" s="419"/>
      <c r="AS21" s="419">
        <f t="shared" si="3"/>
        <v>437</v>
      </c>
      <c r="AT21" s="399">
        <f t="shared" si="4"/>
        <v>39.72727272727273</v>
      </c>
      <c r="AU21" s="418"/>
      <c r="AV21" s="422"/>
      <c r="AW21" s="420"/>
      <c r="AX21" s="399"/>
      <c r="AY21" s="418">
        <v>1100</v>
      </c>
      <c r="AZ21" s="419"/>
      <c r="BA21" s="423">
        <v>437</v>
      </c>
      <c r="BB21" s="399">
        <f t="shared" si="5"/>
        <v>39.72727272727273</v>
      </c>
      <c r="BC21" s="418"/>
      <c r="BD21" s="419"/>
      <c r="BE21" s="420"/>
      <c r="BF21" s="399"/>
    </row>
    <row r="22" spans="1:58" ht="16.5" customHeight="1">
      <c r="A22" s="72" t="s">
        <v>13</v>
      </c>
      <c r="B22" s="77"/>
      <c r="C22" s="74">
        <f t="shared" si="6"/>
        <v>6098</v>
      </c>
      <c r="D22" s="75">
        <f t="shared" si="7"/>
        <v>1355</v>
      </c>
      <c r="E22" s="75">
        <f t="shared" si="8"/>
        <v>1467</v>
      </c>
      <c r="F22" s="76">
        <f t="shared" si="0"/>
        <v>108.26568265682657</v>
      </c>
      <c r="G22" s="387"/>
      <c r="H22" s="388"/>
      <c r="I22" s="388"/>
      <c r="J22" s="76"/>
      <c r="K22" s="74"/>
      <c r="L22" s="75"/>
      <c r="M22" s="75"/>
      <c r="N22" s="76"/>
      <c r="O22" s="74">
        <v>6098</v>
      </c>
      <c r="P22" s="75">
        <v>1355</v>
      </c>
      <c r="Q22" s="102">
        <v>1467</v>
      </c>
      <c r="R22" s="76">
        <f t="shared" si="1"/>
        <v>108.26568265682657</v>
      </c>
      <c r="S22" s="376"/>
      <c r="T22" s="75"/>
      <c r="U22" s="75"/>
      <c r="V22" s="76"/>
      <c r="W22" s="390"/>
      <c r="X22" s="407">
        <f>C22+'Nedaňové příjmy'!C22+'Nedaňové příjmy'!G22+'Nedaňové příjmy'!K22+'Nedaňové příjmy'!O22+'Nedaňové příjmy'!S22+'Nedaňové příjmy'!W22</f>
        <v>13978</v>
      </c>
      <c r="Y22" s="407">
        <f>D22+'Nedaňové příjmy'!D22+'Nedaňové příjmy'!H22+'Nedaňové příjmy'!L22+'Nedaňové příjmy'!P22+'Nedaňové příjmy'!T22+'Nedaňové příjmy'!X22</f>
        <v>15466</v>
      </c>
      <c r="Z22" s="407">
        <f>E22+'Nedaňové příjmy'!E22+'Nedaňové příjmy'!I22+'Nedaňové příjmy'!M22+'Nedaňové příjmy'!Q22+'Nedaňové příjmy'!U22+'Nedaňové příjmy'!Y22</f>
        <v>15667</v>
      </c>
      <c r="AA22" s="392">
        <v>15666190</v>
      </c>
      <c r="AB22" s="290">
        <f t="shared" si="9"/>
        <v>-0.8099999999994907</v>
      </c>
      <c r="AE22" s="100"/>
      <c r="AG22" s="394" t="s">
        <v>13</v>
      </c>
      <c r="AH22" s="417"/>
      <c r="AI22" s="396">
        <v>0</v>
      </c>
      <c r="AJ22" s="397"/>
      <c r="AK22" s="398">
        <v>1834</v>
      </c>
      <c r="AL22" s="399">
        <v>0</v>
      </c>
      <c r="AM22" s="418"/>
      <c r="AN22" s="419"/>
      <c r="AO22" s="420"/>
      <c r="AP22" s="399"/>
      <c r="AQ22" s="421">
        <f t="shared" si="2"/>
        <v>23590</v>
      </c>
      <c r="AR22" s="419"/>
      <c r="AS22" s="419">
        <f t="shared" si="3"/>
        <v>390</v>
      </c>
      <c r="AT22" s="399">
        <f t="shared" si="4"/>
        <v>1.6532428995337005</v>
      </c>
      <c r="AU22" s="418"/>
      <c r="AV22" s="422"/>
      <c r="AW22" s="420"/>
      <c r="AX22" s="399"/>
      <c r="AY22" s="418">
        <v>23590</v>
      </c>
      <c r="AZ22" s="419"/>
      <c r="BA22" s="423">
        <v>390</v>
      </c>
      <c r="BB22" s="399">
        <f t="shared" si="5"/>
        <v>1.6532428995337005</v>
      </c>
      <c r="BC22" s="688"/>
      <c r="BD22" s="419"/>
      <c r="BE22" s="420"/>
      <c r="BF22" s="399"/>
    </row>
    <row r="23" spans="1:58" ht="16.5" customHeight="1">
      <c r="A23" s="72" t="s">
        <v>14</v>
      </c>
      <c r="B23" s="77"/>
      <c r="C23" s="74">
        <f t="shared" si="6"/>
        <v>0</v>
      </c>
      <c r="D23" s="75">
        <f t="shared" si="7"/>
        <v>0</v>
      </c>
      <c r="E23" s="75">
        <f t="shared" si="8"/>
        <v>0</v>
      </c>
      <c r="F23" s="76"/>
      <c r="G23" s="387"/>
      <c r="H23" s="388"/>
      <c r="I23" s="388"/>
      <c r="J23" s="416"/>
      <c r="K23" s="74"/>
      <c r="L23" s="75"/>
      <c r="M23" s="75"/>
      <c r="N23" s="76"/>
      <c r="O23" s="74"/>
      <c r="P23" s="75"/>
      <c r="Q23" s="102"/>
      <c r="R23" s="76"/>
      <c r="S23" s="74"/>
      <c r="T23" s="75"/>
      <c r="U23" s="75"/>
      <c r="V23" s="76"/>
      <c r="W23" s="390"/>
      <c r="X23" s="407">
        <f>C23+'Nedaňové příjmy'!C23+'Nedaňové příjmy'!G23+'Nedaňové příjmy'!K23+'Nedaňové příjmy'!O23+'Nedaňové příjmy'!S23+'Nedaňové příjmy'!W23</f>
        <v>221</v>
      </c>
      <c r="Y23" s="407">
        <f>D23+'Nedaňové příjmy'!D23+'Nedaňové příjmy'!H23+'Nedaňové příjmy'!L23+'Nedaňové příjmy'!P23+'Nedaňové příjmy'!T23+'Nedaňové příjmy'!X23</f>
        <v>899</v>
      </c>
      <c r="Z23" s="407">
        <f>E23+'Nedaňové příjmy'!E23+'Nedaňové příjmy'!I23+'Nedaňové příjmy'!M23+'Nedaňové příjmy'!Q23+'Nedaňové příjmy'!U23+'Nedaňové příjmy'!Y23</f>
        <v>883</v>
      </c>
      <c r="AA23" s="392">
        <v>882672</v>
      </c>
      <c r="AB23" s="290">
        <f t="shared" si="9"/>
        <v>-0.32799999999997453</v>
      </c>
      <c r="AE23" s="100"/>
      <c r="AG23" s="394" t="s">
        <v>14</v>
      </c>
      <c r="AH23" s="417"/>
      <c r="AI23" s="396">
        <v>0</v>
      </c>
      <c r="AJ23" s="397"/>
      <c r="AK23" s="398">
        <v>52</v>
      </c>
      <c r="AL23" s="399">
        <v>0</v>
      </c>
      <c r="AM23" s="418"/>
      <c r="AN23" s="419"/>
      <c r="AO23" s="420"/>
      <c r="AP23" s="403"/>
      <c r="AQ23" s="421">
        <f t="shared" si="2"/>
        <v>30</v>
      </c>
      <c r="AR23" s="419"/>
      <c r="AS23" s="419">
        <f t="shared" si="3"/>
        <v>0</v>
      </c>
      <c r="AT23" s="399">
        <f t="shared" si="4"/>
        <v>0</v>
      </c>
      <c r="AU23" s="418"/>
      <c r="AV23" s="422"/>
      <c r="AW23" s="420"/>
      <c r="AX23" s="399"/>
      <c r="AY23" s="418">
        <v>30</v>
      </c>
      <c r="AZ23" s="419"/>
      <c r="BA23" s="423">
        <v>0</v>
      </c>
      <c r="BB23" s="399">
        <f t="shared" si="5"/>
        <v>0</v>
      </c>
      <c r="BC23" s="418"/>
      <c r="BD23" s="419"/>
      <c r="BE23" s="420"/>
      <c r="BF23" s="399"/>
    </row>
    <row r="24" spans="1:58" ht="16.5" customHeight="1">
      <c r="A24" s="72" t="s">
        <v>15</v>
      </c>
      <c r="B24" s="77"/>
      <c r="C24" s="74">
        <f t="shared" si="6"/>
        <v>0</v>
      </c>
      <c r="D24" s="75">
        <f t="shared" si="7"/>
        <v>257</v>
      </c>
      <c r="E24" s="75">
        <f t="shared" si="8"/>
        <v>258</v>
      </c>
      <c r="F24" s="76">
        <f t="shared" si="0"/>
        <v>100.38910505836576</v>
      </c>
      <c r="G24" s="387"/>
      <c r="H24" s="388"/>
      <c r="I24" s="388"/>
      <c r="J24" s="416"/>
      <c r="K24" s="74"/>
      <c r="L24" s="75"/>
      <c r="M24" s="75"/>
      <c r="N24" s="76"/>
      <c r="O24" s="74"/>
      <c r="P24" s="75">
        <v>257</v>
      </c>
      <c r="Q24" s="102">
        <v>258</v>
      </c>
      <c r="R24" s="76">
        <f>Q24/P24*100</f>
        <v>100.38910505836576</v>
      </c>
      <c r="S24" s="74"/>
      <c r="T24" s="75"/>
      <c r="U24" s="75"/>
      <c r="V24" s="76"/>
      <c r="W24" s="390"/>
      <c r="X24" s="407">
        <f>C24+'Nedaňové příjmy'!C24+'Nedaňové příjmy'!G24+'Nedaňové příjmy'!K24+'Nedaňové příjmy'!O24+'Nedaňové příjmy'!S24+'Nedaňové příjmy'!W24</f>
        <v>1870</v>
      </c>
      <c r="Y24" s="407">
        <f>D24+'Nedaňové příjmy'!D24+'Nedaňové příjmy'!H24+'Nedaňové příjmy'!L24+'Nedaňové příjmy'!P24+'Nedaňové příjmy'!T24+'Nedaňové příjmy'!X24</f>
        <v>3270</v>
      </c>
      <c r="Z24" s="407">
        <f>E24+'Nedaňové příjmy'!E24+'Nedaňové příjmy'!I24+'Nedaňové příjmy'!M24+'Nedaňové příjmy'!Q24+'Nedaňové příjmy'!U24+'Nedaňové příjmy'!Y24</f>
        <v>3269</v>
      </c>
      <c r="AA24" s="392">
        <v>3270058</v>
      </c>
      <c r="AB24" s="290">
        <f t="shared" si="9"/>
        <v>1.0579999999999927</v>
      </c>
      <c r="AE24" s="100"/>
      <c r="AG24" s="394" t="s">
        <v>15</v>
      </c>
      <c r="AH24" s="417"/>
      <c r="AI24" s="396">
        <v>0</v>
      </c>
      <c r="AJ24" s="397"/>
      <c r="AK24" s="398">
        <v>572</v>
      </c>
      <c r="AL24" s="399">
        <v>0</v>
      </c>
      <c r="AM24" s="418"/>
      <c r="AN24" s="419"/>
      <c r="AO24" s="420"/>
      <c r="AP24" s="403"/>
      <c r="AQ24" s="421">
        <f t="shared" si="2"/>
        <v>250</v>
      </c>
      <c r="AR24" s="419"/>
      <c r="AS24" s="419">
        <f t="shared" si="3"/>
        <v>24</v>
      </c>
      <c r="AT24" s="399">
        <f t="shared" si="4"/>
        <v>9.6</v>
      </c>
      <c r="AU24" s="418"/>
      <c r="AV24" s="422"/>
      <c r="AW24" s="420"/>
      <c r="AX24" s="399"/>
      <c r="AY24" s="418">
        <v>250</v>
      </c>
      <c r="AZ24" s="419"/>
      <c r="BA24" s="423">
        <v>24</v>
      </c>
      <c r="BB24" s="399">
        <f t="shared" si="5"/>
        <v>9.6</v>
      </c>
      <c r="BC24" s="418"/>
      <c r="BD24" s="419"/>
      <c r="BE24" s="420"/>
      <c r="BF24" s="399"/>
    </row>
    <row r="25" spans="1:58" ht="16.5" customHeight="1">
      <c r="A25" s="72" t="s">
        <v>16</v>
      </c>
      <c r="B25" s="77"/>
      <c r="C25" s="74">
        <f t="shared" si="6"/>
        <v>10</v>
      </c>
      <c r="D25" s="75">
        <f t="shared" si="7"/>
        <v>111</v>
      </c>
      <c r="E25" s="75">
        <f t="shared" si="8"/>
        <v>111</v>
      </c>
      <c r="F25" s="76">
        <f>E25/D25*100</f>
        <v>100</v>
      </c>
      <c r="G25" s="387"/>
      <c r="H25" s="388"/>
      <c r="I25" s="388"/>
      <c r="J25" s="416"/>
      <c r="K25" s="74"/>
      <c r="L25" s="75"/>
      <c r="M25" s="75"/>
      <c r="N25" s="76"/>
      <c r="O25" s="74">
        <v>10</v>
      </c>
      <c r="P25" s="75">
        <v>111</v>
      </c>
      <c r="Q25" s="102">
        <v>111</v>
      </c>
      <c r="R25" s="76">
        <f>Q25/P25*100</f>
        <v>100</v>
      </c>
      <c r="S25" s="74"/>
      <c r="T25" s="75"/>
      <c r="U25" s="75"/>
      <c r="V25" s="76"/>
      <c r="W25" s="390"/>
      <c r="X25" s="407">
        <f>C25+'Nedaňové příjmy'!C25+'Nedaňové příjmy'!G25+'Nedaňové příjmy'!K25+'Nedaňové příjmy'!O25+'Nedaňové příjmy'!S25+'Nedaňové příjmy'!W25</f>
        <v>1576</v>
      </c>
      <c r="Y25" s="407">
        <f>D25+'Nedaňové příjmy'!D25+'Nedaňové příjmy'!H25+'Nedaňové příjmy'!L25+'Nedaňové příjmy'!P25+'Nedaňové příjmy'!T25+'Nedaňové příjmy'!X25</f>
        <v>2611</v>
      </c>
      <c r="Z25" s="407">
        <f>E25+'Nedaňové příjmy'!E25+'Nedaňové příjmy'!I25+'Nedaňové příjmy'!M25+'Nedaňové příjmy'!Q25+'Nedaňové příjmy'!U25+'Nedaňové příjmy'!Y25</f>
        <v>2682</v>
      </c>
      <c r="AA25" s="392">
        <v>2680650</v>
      </c>
      <c r="AB25" s="290">
        <f t="shared" si="9"/>
        <v>-1.349999999999909</v>
      </c>
      <c r="AE25" s="100"/>
      <c r="AG25" s="394" t="s">
        <v>16</v>
      </c>
      <c r="AH25" s="417"/>
      <c r="AI25" s="396">
        <v>0</v>
      </c>
      <c r="AJ25" s="397"/>
      <c r="AK25" s="398">
        <v>311</v>
      </c>
      <c r="AL25" s="399">
        <v>0</v>
      </c>
      <c r="AM25" s="418"/>
      <c r="AN25" s="419"/>
      <c r="AO25" s="420"/>
      <c r="AP25" s="403"/>
      <c r="AQ25" s="421">
        <f t="shared" si="2"/>
        <v>150</v>
      </c>
      <c r="AR25" s="419"/>
      <c r="AS25" s="419">
        <f t="shared" si="3"/>
        <v>75</v>
      </c>
      <c r="AT25" s="399">
        <f t="shared" si="4"/>
        <v>50</v>
      </c>
      <c r="AU25" s="418"/>
      <c r="AV25" s="422"/>
      <c r="AW25" s="420"/>
      <c r="AX25" s="399"/>
      <c r="AY25" s="418">
        <v>150</v>
      </c>
      <c r="AZ25" s="419"/>
      <c r="BA25" s="423">
        <v>75</v>
      </c>
      <c r="BB25" s="399">
        <f t="shared" si="5"/>
        <v>50</v>
      </c>
      <c r="BC25" s="418"/>
      <c r="BD25" s="419"/>
      <c r="BE25" s="420"/>
      <c r="BF25" s="399"/>
    </row>
    <row r="26" spans="1:58" ht="16.5" customHeight="1">
      <c r="A26" s="72" t="s">
        <v>244</v>
      </c>
      <c r="B26" s="77"/>
      <c r="C26" s="74">
        <f t="shared" si="6"/>
        <v>4</v>
      </c>
      <c r="D26" s="75">
        <f t="shared" si="7"/>
        <v>278</v>
      </c>
      <c r="E26" s="102">
        <f t="shared" si="8"/>
        <v>279</v>
      </c>
      <c r="F26" s="76">
        <f t="shared" si="0"/>
        <v>100.35971223021582</v>
      </c>
      <c r="G26" s="387"/>
      <c r="H26" s="388"/>
      <c r="I26" s="388"/>
      <c r="J26" s="416"/>
      <c r="K26" s="74"/>
      <c r="L26" s="75"/>
      <c r="M26" s="75"/>
      <c r="N26" s="76"/>
      <c r="O26" s="74">
        <v>4</v>
      </c>
      <c r="P26" s="75">
        <v>278</v>
      </c>
      <c r="Q26" s="102">
        <f>280-1</f>
        <v>279</v>
      </c>
      <c r="R26" s="76">
        <f>Q26/P26*100</f>
        <v>100.35971223021582</v>
      </c>
      <c r="S26" s="74"/>
      <c r="T26" s="75"/>
      <c r="U26" s="75"/>
      <c r="V26" s="76"/>
      <c r="W26" s="390"/>
      <c r="X26" s="407">
        <f>C26+'Nedaňové příjmy'!C26+'Nedaňové příjmy'!G26+'Nedaňové příjmy'!K26+'Nedaňové příjmy'!O26+'Nedaňové příjmy'!S26+'Nedaňové příjmy'!W26</f>
        <v>429</v>
      </c>
      <c r="Y26" s="407">
        <f>D26+'Nedaňové příjmy'!D26+'Nedaňové příjmy'!H26+'Nedaňové příjmy'!L26+'Nedaňové příjmy'!P26+'Nedaňové příjmy'!T26+'Nedaňové příjmy'!X26</f>
        <v>1385</v>
      </c>
      <c r="Z26" s="407">
        <f>E26+'Nedaňové příjmy'!E26+'Nedaňové příjmy'!I26+'Nedaňové příjmy'!M26+'Nedaňové příjmy'!Q26+'Nedaňové příjmy'!U26+'Nedaňové příjmy'!Y26</f>
        <v>1424</v>
      </c>
      <c r="AA26" s="392">
        <v>1425094</v>
      </c>
      <c r="AB26" s="290">
        <f t="shared" si="9"/>
        <v>1.094000000000051</v>
      </c>
      <c r="AE26" s="100"/>
      <c r="AG26" s="394" t="s">
        <v>17</v>
      </c>
      <c r="AH26" s="417"/>
      <c r="AI26" s="396">
        <v>0</v>
      </c>
      <c r="AJ26" s="397"/>
      <c r="AK26" s="398">
        <v>164</v>
      </c>
      <c r="AL26" s="399">
        <v>0</v>
      </c>
      <c r="AM26" s="418"/>
      <c r="AN26" s="419"/>
      <c r="AO26" s="420"/>
      <c r="AP26" s="403"/>
      <c r="AQ26" s="421">
        <f t="shared" si="2"/>
        <v>285</v>
      </c>
      <c r="AR26" s="419"/>
      <c r="AS26" s="419">
        <f t="shared" si="3"/>
        <v>219</v>
      </c>
      <c r="AT26" s="399">
        <f t="shared" si="4"/>
        <v>76.84210526315789</v>
      </c>
      <c r="AU26" s="418"/>
      <c r="AV26" s="422"/>
      <c r="AW26" s="420"/>
      <c r="AX26" s="399"/>
      <c r="AY26" s="418">
        <v>285</v>
      </c>
      <c r="AZ26" s="419"/>
      <c r="BA26" s="423">
        <v>219</v>
      </c>
      <c r="BB26" s="399">
        <f t="shared" si="5"/>
        <v>76.84210526315789</v>
      </c>
      <c r="BC26" s="418"/>
      <c r="BD26" s="419"/>
      <c r="BE26" s="420"/>
      <c r="BF26" s="399"/>
    </row>
    <row r="27" spans="1:58" ht="16.5" customHeight="1">
      <c r="A27" s="72" t="s">
        <v>18</v>
      </c>
      <c r="B27" s="77"/>
      <c r="C27" s="74">
        <f t="shared" si="6"/>
        <v>85</v>
      </c>
      <c r="D27" s="75">
        <f t="shared" si="7"/>
        <v>646</v>
      </c>
      <c r="E27" s="75">
        <f t="shared" si="8"/>
        <v>667</v>
      </c>
      <c r="F27" s="76">
        <f>E27/D27*100</f>
        <v>103.25077399380804</v>
      </c>
      <c r="G27" s="387"/>
      <c r="H27" s="388"/>
      <c r="I27" s="388"/>
      <c r="J27" s="76"/>
      <c r="K27" s="74"/>
      <c r="L27" s="75">
        <v>36</v>
      </c>
      <c r="M27" s="75">
        <v>36</v>
      </c>
      <c r="N27" s="76">
        <f>M27/L27*100</f>
        <v>100</v>
      </c>
      <c r="O27" s="74">
        <v>80</v>
      </c>
      <c r="P27" s="75">
        <v>605</v>
      </c>
      <c r="Q27" s="102">
        <v>631</v>
      </c>
      <c r="R27" s="76">
        <f>Q27/P27*100</f>
        <v>104.29752066115702</v>
      </c>
      <c r="S27" s="74">
        <v>5</v>
      </c>
      <c r="T27" s="75">
        <v>5</v>
      </c>
      <c r="U27" s="75"/>
      <c r="V27" s="76">
        <f>U27/T27*100</f>
        <v>0</v>
      </c>
      <c r="W27" s="390"/>
      <c r="X27" s="407">
        <f>C27+'Nedaňové příjmy'!C27+'Nedaňové příjmy'!G27+'Nedaňové příjmy'!K27+'Nedaňové příjmy'!O27+'Nedaňové příjmy'!S27+'Nedaňové příjmy'!W27</f>
        <v>10578</v>
      </c>
      <c r="Y27" s="407">
        <f>D27+'Nedaňové příjmy'!D27+'Nedaňové příjmy'!H27+'Nedaňové příjmy'!L27+'Nedaňové příjmy'!P27+'Nedaňové příjmy'!T27+'Nedaňové příjmy'!X27</f>
        <v>16861</v>
      </c>
      <c r="Z27" s="391">
        <f>E27+'Nedaňové příjmy'!E27+'Nedaňové příjmy'!I27+'Nedaňové příjmy'!M27+'Nedaňové příjmy'!Q27+'Nedaňové příjmy'!U27+'Nedaňové příjmy'!Y27</f>
        <v>18300</v>
      </c>
      <c r="AA27" s="392">
        <v>18299623</v>
      </c>
      <c r="AB27" s="290">
        <f t="shared" si="9"/>
        <v>-0.37700000000040745</v>
      </c>
      <c r="AE27" s="100"/>
      <c r="AG27" s="394" t="s">
        <v>18</v>
      </c>
      <c r="AH27" s="417"/>
      <c r="AI27" s="396">
        <v>0</v>
      </c>
      <c r="AJ27" s="397"/>
      <c r="AK27" s="398">
        <v>4105</v>
      </c>
      <c r="AL27" s="399">
        <v>0</v>
      </c>
      <c r="AM27" s="418"/>
      <c r="AN27" s="419"/>
      <c r="AO27" s="420"/>
      <c r="AP27" s="403"/>
      <c r="AQ27" s="421">
        <f t="shared" si="2"/>
        <v>150</v>
      </c>
      <c r="AR27" s="419"/>
      <c r="AS27" s="419">
        <f t="shared" si="3"/>
        <v>668</v>
      </c>
      <c r="AT27" s="399">
        <f t="shared" si="4"/>
        <v>445.3333333333333</v>
      </c>
      <c r="AU27" s="418"/>
      <c r="AV27" s="422"/>
      <c r="AW27" s="420"/>
      <c r="AX27" s="399"/>
      <c r="AY27" s="418">
        <v>150</v>
      </c>
      <c r="AZ27" s="419"/>
      <c r="BA27" s="423">
        <v>661</v>
      </c>
      <c r="BB27" s="399">
        <f t="shared" si="5"/>
        <v>440.66666666666663</v>
      </c>
      <c r="BC27" s="418">
        <v>0</v>
      </c>
      <c r="BD27" s="419"/>
      <c r="BE27" s="420">
        <v>7</v>
      </c>
      <c r="BF27" s="399">
        <v>0</v>
      </c>
    </row>
    <row r="28" spans="1:58" ht="16.5" customHeight="1">
      <c r="A28" s="72" t="s">
        <v>58</v>
      </c>
      <c r="B28" s="77"/>
      <c r="C28" s="74">
        <f t="shared" si="6"/>
        <v>4</v>
      </c>
      <c r="D28" s="75">
        <f t="shared" si="7"/>
        <v>39</v>
      </c>
      <c r="E28" s="75">
        <f t="shared" si="8"/>
        <v>65</v>
      </c>
      <c r="F28" s="76">
        <f>E28/D28*100</f>
        <v>166.66666666666669</v>
      </c>
      <c r="G28" s="387"/>
      <c r="H28" s="102"/>
      <c r="I28" s="102"/>
      <c r="J28" s="76"/>
      <c r="K28" s="74"/>
      <c r="L28" s="75"/>
      <c r="M28" s="75"/>
      <c r="N28" s="76"/>
      <c r="O28" s="74">
        <v>4</v>
      </c>
      <c r="P28" s="75">
        <v>39</v>
      </c>
      <c r="Q28" s="102">
        <v>65</v>
      </c>
      <c r="R28" s="76">
        <f>Q28/P28*100</f>
        <v>166.66666666666669</v>
      </c>
      <c r="S28" s="74"/>
      <c r="T28" s="75"/>
      <c r="U28" s="75"/>
      <c r="V28" s="76"/>
      <c r="W28" s="390"/>
      <c r="X28" s="407">
        <f>C28+'Nedaňové příjmy'!C28+'Nedaňové příjmy'!G28+'Nedaňové příjmy'!K28+'Nedaňové příjmy'!O28+'Nedaňové příjmy'!S28+'Nedaňové příjmy'!W28</f>
        <v>496</v>
      </c>
      <c r="Y28" s="407">
        <f>D28+'Nedaňové příjmy'!D28+'Nedaňové příjmy'!H28+'Nedaňové příjmy'!L28+'Nedaňové příjmy'!P28+'Nedaňové příjmy'!T28+'Nedaňové příjmy'!X28</f>
        <v>1600</v>
      </c>
      <c r="Z28" s="407">
        <f>E28+'Nedaňové příjmy'!E28+'Nedaňové příjmy'!I28+'Nedaňové příjmy'!M28+'Nedaňové příjmy'!Q28+'Nedaňové příjmy'!U28+'Nedaňové příjmy'!Y28</f>
        <v>1953</v>
      </c>
      <c r="AA28" s="392">
        <v>1953002</v>
      </c>
      <c r="AB28" s="290">
        <f t="shared" si="9"/>
        <v>0.0019999999999527063</v>
      </c>
      <c r="AE28" s="100"/>
      <c r="AG28" s="394" t="s">
        <v>156</v>
      </c>
      <c r="AH28" s="417"/>
      <c r="AI28" s="396">
        <v>0</v>
      </c>
      <c r="AJ28" s="397"/>
      <c r="AK28" s="398">
        <v>367</v>
      </c>
      <c r="AL28" s="399">
        <v>0</v>
      </c>
      <c r="AM28" s="418"/>
      <c r="AN28" s="419"/>
      <c r="AO28" s="420"/>
      <c r="AP28" s="403"/>
      <c r="AQ28" s="421">
        <f t="shared" si="2"/>
        <v>0</v>
      </c>
      <c r="AR28" s="419"/>
      <c r="AS28" s="419">
        <f t="shared" si="3"/>
        <v>768</v>
      </c>
      <c r="AT28" s="399">
        <v>0</v>
      </c>
      <c r="AU28" s="418"/>
      <c r="AV28" s="422"/>
      <c r="AW28" s="420"/>
      <c r="AX28" s="399"/>
      <c r="AY28" s="418">
        <v>0</v>
      </c>
      <c r="AZ28" s="419"/>
      <c r="BA28" s="423">
        <v>768</v>
      </c>
      <c r="BB28" s="399">
        <v>0</v>
      </c>
      <c r="BC28" s="418"/>
      <c r="BD28" s="419"/>
      <c r="BE28" s="420"/>
      <c r="BF28" s="399"/>
    </row>
    <row r="29" spans="1:58" ht="16.5" customHeight="1">
      <c r="A29" s="72" t="s">
        <v>19</v>
      </c>
      <c r="B29" s="77"/>
      <c r="C29" s="74">
        <f t="shared" si="6"/>
        <v>60</v>
      </c>
      <c r="D29" s="75">
        <f t="shared" si="7"/>
        <v>485</v>
      </c>
      <c r="E29" s="75">
        <f t="shared" si="8"/>
        <v>529</v>
      </c>
      <c r="F29" s="76">
        <f aca="true" t="shared" si="10" ref="F29:F38">E29/D29*100</f>
        <v>109.0721649484536</v>
      </c>
      <c r="G29" s="387"/>
      <c r="H29" s="102"/>
      <c r="I29" s="102"/>
      <c r="J29" s="76"/>
      <c r="K29" s="74"/>
      <c r="L29" s="75"/>
      <c r="M29" s="75"/>
      <c r="N29" s="76"/>
      <c r="O29" s="74">
        <v>60</v>
      </c>
      <c r="P29" s="75">
        <v>485</v>
      </c>
      <c r="Q29" s="102">
        <v>529</v>
      </c>
      <c r="R29" s="76">
        <f aca="true" t="shared" si="11" ref="R29:R38">Q29/P29*100</f>
        <v>109.0721649484536</v>
      </c>
      <c r="S29" s="74"/>
      <c r="T29" s="75"/>
      <c r="U29" s="75"/>
      <c r="V29" s="76"/>
      <c r="W29" s="390"/>
      <c r="X29" s="407">
        <f>C29+'Nedaňové příjmy'!C29+'Nedaňové příjmy'!G29+'Nedaňové příjmy'!K29+'Nedaňové příjmy'!O29+'Nedaňové příjmy'!S29+'Nedaňové příjmy'!W29</f>
        <v>6914</v>
      </c>
      <c r="Y29" s="407">
        <f>D29+'Nedaňové příjmy'!D29+'Nedaňové příjmy'!H29+'Nedaňové příjmy'!L29+'Nedaňové příjmy'!P29+'Nedaňové příjmy'!T29+'Nedaňové příjmy'!X29</f>
        <v>11576</v>
      </c>
      <c r="Z29" s="407">
        <f>E29+'Nedaňové příjmy'!E29+'Nedaňové příjmy'!I29+'Nedaňové příjmy'!M29+'Nedaňové příjmy'!Q29+'Nedaňové příjmy'!U29+'Nedaňové příjmy'!Y29</f>
        <v>12544</v>
      </c>
      <c r="AA29" s="392">
        <v>12544676</v>
      </c>
      <c r="AB29" s="290">
        <f t="shared" si="9"/>
        <v>0.6759999999994761</v>
      </c>
      <c r="AE29" s="100"/>
      <c r="AG29" s="394" t="s">
        <v>19</v>
      </c>
      <c r="AH29" s="417"/>
      <c r="AI29" s="396">
        <v>0</v>
      </c>
      <c r="AJ29" s="397"/>
      <c r="AK29" s="398">
        <v>1940</v>
      </c>
      <c r="AL29" s="399">
        <v>0</v>
      </c>
      <c r="AM29" s="418"/>
      <c r="AN29" s="419"/>
      <c r="AO29" s="420"/>
      <c r="AP29" s="403"/>
      <c r="AQ29" s="421">
        <f t="shared" si="2"/>
        <v>1022</v>
      </c>
      <c r="AR29" s="419"/>
      <c r="AS29" s="419">
        <f t="shared" si="3"/>
        <v>485</v>
      </c>
      <c r="AT29" s="399">
        <f>AS29/AQ29*100</f>
        <v>47.4559686888454</v>
      </c>
      <c r="AU29" s="418">
        <v>0</v>
      </c>
      <c r="AV29" s="422"/>
      <c r="AW29" s="420">
        <v>8</v>
      </c>
      <c r="AX29" s="399">
        <v>0</v>
      </c>
      <c r="AY29" s="418">
        <v>600</v>
      </c>
      <c r="AZ29" s="419"/>
      <c r="BA29" s="423">
        <v>391</v>
      </c>
      <c r="BB29" s="399">
        <f>BA29/AY29*100</f>
        <v>65.16666666666666</v>
      </c>
      <c r="BC29" s="418">
        <v>422</v>
      </c>
      <c r="BD29" s="419"/>
      <c r="BE29" s="420">
        <v>86</v>
      </c>
      <c r="BF29" s="399">
        <f>BE29/BC29*100</f>
        <v>20.379146919431278</v>
      </c>
    </row>
    <row r="30" spans="1:58" ht="16.5" customHeight="1">
      <c r="A30" s="72" t="s">
        <v>20</v>
      </c>
      <c r="B30" s="77"/>
      <c r="C30" s="74">
        <f t="shared" si="6"/>
        <v>30</v>
      </c>
      <c r="D30" s="75">
        <f t="shared" si="7"/>
        <v>35</v>
      </c>
      <c r="E30" s="75">
        <f t="shared" si="8"/>
        <v>105</v>
      </c>
      <c r="F30" s="76">
        <f t="shared" si="10"/>
        <v>300</v>
      </c>
      <c r="G30" s="387"/>
      <c r="H30" s="388"/>
      <c r="I30" s="388"/>
      <c r="J30" s="76"/>
      <c r="K30" s="74"/>
      <c r="L30" s="75"/>
      <c r="M30" s="75"/>
      <c r="N30" s="76"/>
      <c r="O30" s="74">
        <v>30</v>
      </c>
      <c r="P30" s="75">
        <v>35</v>
      </c>
      <c r="Q30" s="102">
        <v>104</v>
      </c>
      <c r="R30" s="76">
        <f t="shared" si="11"/>
        <v>297.14285714285717</v>
      </c>
      <c r="S30" s="74"/>
      <c r="T30" s="75"/>
      <c r="U30" s="75">
        <v>1</v>
      </c>
      <c r="V30" s="76"/>
      <c r="W30" s="390"/>
      <c r="X30" s="407">
        <f>C30+'Nedaňové příjmy'!C30+'Nedaňové příjmy'!G30+'Nedaňové příjmy'!K30+'Nedaňové příjmy'!O30+'Nedaňové příjmy'!S30+'Nedaňové příjmy'!W30</f>
        <v>4664</v>
      </c>
      <c r="Y30" s="407">
        <f>D30+'Nedaňové příjmy'!D30+'Nedaňové příjmy'!H30+'Nedaňové příjmy'!L30+'Nedaňové příjmy'!P30+'Nedaňové příjmy'!T30+'Nedaňové příjmy'!X30</f>
        <v>9455</v>
      </c>
      <c r="Z30" s="407">
        <f>E30+'Nedaňové příjmy'!E30+'Nedaňové příjmy'!I30+'Nedaňové příjmy'!M30+'Nedaňové příjmy'!Q30+'Nedaňové příjmy'!U30+'Nedaňové příjmy'!Y30</f>
        <v>9866</v>
      </c>
      <c r="AA30" s="392">
        <v>9865338</v>
      </c>
      <c r="AB30" s="290">
        <f t="shared" si="9"/>
        <v>-0.6620000000002619</v>
      </c>
      <c r="AE30" s="100"/>
      <c r="AG30" s="394" t="s">
        <v>20</v>
      </c>
      <c r="AH30" s="417"/>
      <c r="AI30" s="396">
        <v>0</v>
      </c>
      <c r="AJ30" s="397"/>
      <c r="AK30" s="398">
        <v>593</v>
      </c>
      <c r="AL30" s="399">
        <v>0</v>
      </c>
      <c r="AM30" s="418"/>
      <c r="AN30" s="419"/>
      <c r="AO30" s="420"/>
      <c r="AP30" s="403"/>
      <c r="AQ30" s="421">
        <f t="shared" si="2"/>
        <v>0</v>
      </c>
      <c r="AR30" s="419"/>
      <c r="AS30" s="419">
        <f t="shared" si="3"/>
        <v>138</v>
      </c>
      <c r="AT30" s="399">
        <v>0</v>
      </c>
      <c r="AU30" s="418"/>
      <c r="AV30" s="422"/>
      <c r="AW30" s="420"/>
      <c r="AX30" s="399"/>
      <c r="AY30" s="418">
        <v>0</v>
      </c>
      <c r="AZ30" s="419"/>
      <c r="BA30" s="423">
        <v>138</v>
      </c>
      <c r="BB30" s="399">
        <v>0</v>
      </c>
      <c r="BC30" s="418"/>
      <c r="BD30" s="419"/>
      <c r="BE30" s="420"/>
      <c r="BF30" s="399"/>
    </row>
    <row r="31" spans="1:58" ht="16.5" customHeight="1">
      <c r="A31" s="72" t="s">
        <v>21</v>
      </c>
      <c r="B31" s="77"/>
      <c r="C31" s="74">
        <f t="shared" si="6"/>
        <v>40</v>
      </c>
      <c r="D31" s="75">
        <f t="shared" si="7"/>
        <v>522</v>
      </c>
      <c r="E31" s="75">
        <f t="shared" si="8"/>
        <v>529</v>
      </c>
      <c r="F31" s="76">
        <f t="shared" si="10"/>
        <v>101.34099616858236</v>
      </c>
      <c r="G31" s="387"/>
      <c r="H31" s="388"/>
      <c r="I31" s="388"/>
      <c r="J31" s="416"/>
      <c r="K31" s="74"/>
      <c r="L31" s="75"/>
      <c r="M31" s="75"/>
      <c r="N31" s="76"/>
      <c r="O31" s="74"/>
      <c r="P31" s="75">
        <v>482</v>
      </c>
      <c r="Q31" s="102">
        <v>487</v>
      </c>
      <c r="R31" s="76">
        <f t="shared" si="11"/>
        <v>101.03734439834025</v>
      </c>
      <c r="S31" s="74">
        <v>40</v>
      </c>
      <c r="T31" s="75">
        <v>40</v>
      </c>
      <c r="U31" s="75">
        <v>42</v>
      </c>
      <c r="V31" s="76">
        <f>U31/T31*100</f>
        <v>105</v>
      </c>
      <c r="W31" s="390"/>
      <c r="X31" s="407">
        <f>C31+'Nedaňové příjmy'!C31+'Nedaňové příjmy'!G31+'Nedaňové příjmy'!K31+'Nedaňové příjmy'!O31+'Nedaňové příjmy'!S31+'Nedaňové příjmy'!W31</f>
        <v>6735</v>
      </c>
      <c r="Y31" s="407">
        <f>D31+'Nedaňové příjmy'!D31+'Nedaňové příjmy'!H31+'Nedaňové příjmy'!L31+'Nedaňové příjmy'!P31+'Nedaňové příjmy'!T31+'Nedaňové příjmy'!X31</f>
        <v>10475</v>
      </c>
      <c r="Z31" s="407">
        <f>E31+'Nedaňové příjmy'!E31+'Nedaňové příjmy'!I31+'Nedaňové příjmy'!M31+'Nedaňové příjmy'!Q31+'Nedaňové příjmy'!U31+'Nedaňové příjmy'!Y31</f>
        <v>11228</v>
      </c>
      <c r="AA31" s="392">
        <v>11227793</v>
      </c>
      <c r="AB31" s="290">
        <f t="shared" si="9"/>
        <v>-0.2070000000003347</v>
      </c>
      <c r="AE31" s="100"/>
      <c r="AG31" s="394" t="s">
        <v>21</v>
      </c>
      <c r="AH31" s="417"/>
      <c r="AI31" s="396">
        <v>0</v>
      </c>
      <c r="AJ31" s="397"/>
      <c r="AK31" s="398">
        <v>715</v>
      </c>
      <c r="AL31" s="399">
        <v>0</v>
      </c>
      <c r="AM31" s="418"/>
      <c r="AN31" s="419"/>
      <c r="AO31" s="420"/>
      <c r="AP31" s="403"/>
      <c r="AQ31" s="421">
        <f t="shared" si="2"/>
        <v>120</v>
      </c>
      <c r="AR31" s="419"/>
      <c r="AS31" s="419">
        <f t="shared" si="3"/>
        <v>439</v>
      </c>
      <c r="AT31" s="399">
        <f aca="true" t="shared" si="12" ref="AT31:AT37">AS31/AQ31*100</f>
        <v>365.8333333333333</v>
      </c>
      <c r="AU31" s="418"/>
      <c r="AV31" s="422"/>
      <c r="AW31" s="420"/>
      <c r="AX31" s="399"/>
      <c r="AY31" s="418">
        <v>120</v>
      </c>
      <c r="AZ31" s="419"/>
      <c r="BA31" s="423">
        <v>429</v>
      </c>
      <c r="BB31" s="399">
        <f aca="true" t="shared" si="13" ref="BB31:BB37">BA31/AY31*100</f>
        <v>357.5</v>
      </c>
      <c r="BC31" s="418">
        <v>0</v>
      </c>
      <c r="BD31" s="419"/>
      <c r="BE31" s="420">
        <v>10</v>
      </c>
      <c r="BF31" s="399">
        <v>0</v>
      </c>
    </row>
    <row r="32" spans="1:58" ht="16.5" customHeight="1">
      <c r="A32" s="72" t="s">
        <v>22</v>
      </c>
      <c r="B32" s="77"/>
      <c r="C32" s="74">
        <f t="shared" si="6"/>
        <v>0</v>
      </c>
      <c r="D32" s="75">
        <f t="shared" si="7"/>
        <v>35</v>
      </c>
      <c r="E32" s="75">
        <f t="shared" si="8"/>
        <v>46</v>
      </c>
      <c r="F32" s="76">
        <f t="shared" si="10"/>
        <v>131.42857142857142</v>
      </c>
      <c r="G32" s="387"/>
      <c r="H32" s="388"/>
      <c r="I32" s="388"/>
      <c r="J32" s="76"/>
      <c r="K32" s="74"/>
      <c r="L32" s="75"/>
      <c r="M32" s="75"/>
      <c r="N32" s="76"/>
      <c r="O32" s="74"/>
      <c r="P32" s="75">
        <v>35</v>
      </c>
      <c r="Q32" s="102">
        <v>46</v>
      </c>
      <c r="R32" s="76">
        <f t="shared" si="11"/>
        <v>131.42857142857142</v>
      </c>
      <c r="S32" s="74"/>
      <c r="T32" s="75"/>
      <c r="U32" s="75"/>
      <c r="V32" s="76"/>
      <c r="W32" s="390"/>
      <c r="X32" s="407">
        <f>C32+'Nedaňové příjmy'!C32+'Nedaňové příjmy'!G32+'Nedaňové příjmy'!K32+'Nedaňové příjmy'!O32+'Nedaňové příjmy'!S32+'Nedaňové příjmy'!W32</f>
        <v>7500</v>
      </c>
      <c r="Y32" s="407">
        <f>D32+'Nedaňové příjmy'!D32+'Nedaňové příjmy'!H32+'Nedaňové příjmy'!L32+'Nedaňové příjmy'!P32+'Nedaňové příjmy'!T32+'Nedaňové příjmy'!X32</f>
        <v>9450</v>
      </c>
      <c r="Z32" s="407">
        <f>E32+'Nedaňové příjmy'!E32+'Nedaňové příjmy'!I32+'Nedaňové příjmy'!M32+'Nedaňové příjmy'!Q32+'Nedaňové příjmy'!U32+'Nedaňové příjmy'!Y32</f>
        <v>9412</v>
      </c>
      <c r="AA32" s="392">
        <v>9412984</v>
      </c>
      <c r="AB32" s="290">
        <f t="shared" si="9"/>
        <v>0.9840000000003783</v>
      </c>
      <c r="AE32" s="100"/>
      <c r="AG32" s="394" t="s">
        <v>22</v>
      </c>
      <c r="AH32" s="417"/>
      <c r="AI32" s="396">
        <v>0</v>
      </c>
      <c r="AJ32" s="397"/>
      <c r="AK32" s="398">
        <v>1171</v>
      </c>
      <c r="AL32" s="399">
        <v>0</v>
      </c>
      <c r="AM32" s="418"/>
      <c r="AN32" s="419"/>
      <c r="AO32" s="420"/>
      <c r="AP32" s="403"/>
      <c r="AQ32" s="421">
        <f t="shared" si="2"/>
        <v>680</v>
      </c>
      <c r="AR32" s="419"/>
      <c r="AS32" s="419">
        <f t="shared" si="3"/>
        <v>775</v>
      </c>
      <c r="AT32" s="399">
        <f t="shared" si="12"/>
        <v>113.97058823529412</v>
      </c>
      <c r="AU32" s="418"/>
      <c r="AV32" s="422"/>
      <c r="AW32" s="420"/>
      <c r="AX32" s="399"/>
      <c r="AY32" s="418">
        <v>680</v>
      </c>
      <c r="AZ32" s="419"/>
      <c r="BA32" s="423">
        <v>775</v>
      </c>
      <c r="BB32" s="399">
        <f t="shared" si="13"/>
        <v>113.97058823529412</v>
      </c>
      <c r="BC32" s="418"/>
      <c r="BD32" s="419"/>
      <c r="BE32" s="420"/>
      <c r="BF32" s="399"/>
    </row>
    <row r="33" spans="1:58" ht="16.5" customHeight="1">
      <c r="A33" s="72" t="s">
        <v>23</v>
      </c>
      <c r="B33" s="77"/>
      <c r="C33" s="74">
        <f t="shared" si="6"/>
        <v>175</v>
      </c>
      <c r="D33" s="75">
        <f t="shared" si="7"/>
        <v>477</v>
      </c>
      <c r="E33" s="75">
        <f t="shared" si="8"/>
        <v>515</v>
      </c>
      <c r="F33" s="76">
        <f t="shared" si="10"/>
        <v>107.9664570230608</v>
      </c>
      <c r="G33" s="437"/>
      <c r="H33" s="388">
        <v>24</v>
      </c>
      <c r="I33" s="388">
        <v>35</v>
      </c>
      <c r="J33" s="76">
        <f>I33/H33*100</f>
        <v>145.83333333333331</v>
      </c>
      <c r="K33" s="74"/>
      <c r="L33" s="75"/>
      <c r="M33" s="102"/>
      <c r="N33" s="76"/>
      <c r="O33" s="74">
        <v>100</v>
      </c>
      <c r="P33" s="75">
        <v>378</v>
      </c>
      <c r="Q33" s="102">
        <v>410</v>
      </c>
      <c r="R33" s="76">
        <f t="shared" si="11"/>
        <v>108.46560846560847</v>
      </c>
      <c r="S33" s="74">
        <v>75</v>
      </c>
      <c r="T33" s="75">
        <v>75</v>
      </c>
      <c r="U33" s="75">
        <v>70</v>
      </c>
      <c r="V33" s="76">
        <f>U33/T33*100</f>
        <v>93.33333333333333</v>
      </c>
      <c r="W33" s="390"/>
      <c r="X33" s="407">
        <f>C33+'Nedaňové příjmy'!C33+'Nedaňové příjmy'!G33+'Nedaňové příjmy'!K33+'Nedaňové příjmy'!O33+'Nedaňové příjmy'!S33+'Nedaňové příjmy'!W33</f>
        <v>5375</v>
      </c>
      <c r="Y33" s="407">
        <f>D33+'Nedaňové příjmy'!D33+'Nedaňové příjmy'!H33+'Nedaňové příjmy'!L33+'Nedaňové příjmy'!P33+'Nedaňové příjmy'!T33+'Nedaňové příjmy'!X33</f>
        <v>10116</v>
      </c>
      <c r="Z33" s="407">
        <f>E33+'Nedaňové příjmy'!E33+'Nedaňové příjmy'!I33+'Nedaňové příjmy'!M33+'Nedaňové příjmy'!Q33+'Nedaňové příjmy'!U33+'Nedaňové příjmy'!Y33</f>
        <v>10539</v>
      </c>
      <c r="AA33" s="392">
        <v>10538985</v>
      </c>
      <c r="AB33" s="290">
        <f t="shared" si="9"/>
        <v>-0.014999999999417923</v>
      </c>
      <c r="AE33" s="100"/>
      <c r="AG33" s="394" t="s">
        <v>23</v>
      </c>
      <c r="AH33" s="417"/>
      <c r="AI33" s="396">
        <v>0</v>
      </c>
      <c r="AJ33" s="397"/>
      <c r="AK33" s="398">
        <v>1941</v>
      </c>
      <c r="AL33" s="399">
        <v>0</v>
      </c>
      <c r="AM33" s="418"/>
      <c r="AN33" s="419"/>
      <c r="AO33" s="420"/>
      <c r="AP33" s="403"/>
      <c r="AQ33" s="421">
        <f t="shared" si="2"/>
        <v>9055</v>
      </c>
      <c r="AR33" s="419"/>
      <c r="AS33" s="419">
        <f t="shared" si="3"/>
        <v>737</v>
      </c>
      <c r="AT33" s="399">
        <f t="shared" si="12"/>
        <v>8.139149641082275</v>
      </c>
      <c r="AU33" s="418">
        <v>0</v>
      </c>
      <c r="AV33" s="422"/>
      <c r="AW33" s="420">
        <v>79</v>
      </c>
      <c r="AX33" s="399">
        <v>0</v>
      </c>
      <c r="AY33" s="418">
        <v>8935</v>
      </c>
      <c r="AZ33" s="419"/>
      <c r="BA33" s="423">
        <v>634</v>
      </c>
      <c r="BB33" s="399">
        <f t="shared" si="13"/>
        <v>7.095691102406268</v>
      </c>
      <c r="BC33" s="418">
        <v>120</v>
      </c>
      <c r="BD33" s="419"/>
      <c r="BE33" s="420">
        <v>24</v>
      </c>
      <c r="BF33" s="399">
        <f>BE33/BC33*100</f>
        <v>20</v>
      </c>
    </row>
    <row r="34" spans="1:58" ht="16.5" customHeight="1">
      <c r="A34" s="72" t="s">
        <v>24</v>
      </c>
      <c r="B34" s="77"/>
      <c r="C34" s="74">
        <f t="shared" si="6"/>
        <v>177</v>
      </c>
      <c r="D34" s="75">
        <f t="shared" si="7"/>
        <v>1490</v>
      </c>
      <c r="E34" s="75">
        <f t="shared" si="8"/>
        <v>1495</v>
      </c>
      <c r="F34" s="76">
        <f t="shared" si="10"/>
        <v>100.33557046979867</v>
      </c>
      <c r="G34" s="387"/>
      <c r="H34" s="388"/>
      <c r="I34" s="388"/>
      <c r="J34" s="76"/>
      <c r="K34" s="74"/>
      <c r="L34" s="75"/>
      <c r="M34" s="75"/>
      <c r="N34" s="76"/>
      <c r="O34" s="74">
        <v>177</v>
      </c>
      <c r="P34" s="75">
        <v>1490</v>
      </c>
      <c r="Q34" s="102">
        <v>1495</v>
      </c>
      <c r="R34" s="76">
        <f t="shared" si="11"/>
        <v>100.33557046979867</v>
      </c>
      <c r="S34" s="74"/>
      <c r="T34" s="75"/>
      <c r="U34" s="75"/>
      <c r="V34" s="76"/>
      <c r="W34" s="390"/>
      <c r="X34" s="407">
        <f>C34+'Nedaňové příjmy'!C34+'Nedaňové příjmy'!G34+'Nedaňové příjmy'!K34+'Nedaňové příjmy'!O34+'Nedaňové příjmy'!S34+'Nedaňové příjmy'!W34</f>
        <v>2498</v>
      </c>
      <c r="Y34" s="407">
        <f>D34+'Nedaňové příjmy'!D34+'Nedaňové příjmy'!H34+'Nedaňové příjmy'!L34+'Nedaňové příjmy'!P34+'Nedaňové příjmy'!T34+'Nedaňové příjmy'!X34</f>
        <v>5526</v>
      </c>
      <c r="Z34" s="407">
        <f>E34+'Nedaňové příjmy'!E34+'Nedaňové příjmy'!I34+'Nedaňové příjmy'!M34+'Nedaňové příjmy'!Q34+'Nedaňové příjmy'!U34+'Nedaňové příjmy'!Y34</f>
        <v>5856</v>
      </c>
      <c r="AA34" s="392">
        <v>5855828</v>
      </c>
      <c r="AB34" s="290">
        <f t="shared" si="9"/>
        <v>-0.17199999999957072</v>
      </c>
      <c r="AE34" s="100"/>
      <c r="AG34" s="394" t="s">
        <v>24</v>
      </c>
      <c r="AH34" s="417"/>
      <c r="AI34" s="396">
        <v>0</v>
      </c>
      <c r="AJ34" s="397"/>
      <c r="AK34" s="398">
        <v>697</v>
      </c>
      <c r="AL34" s="399">
        <v>0</v>
      </c>
      <c r="AM34" s="418"/>
      <c r="AN34" s="419"/>
      <c r="AO34" s="420"/>
      <c r="AP34" s="403"/>
      <c r="AQ34" s="421">
        <f t="shared" si="2"/>
        <v>103</v>
      </c>
      <c r="AR34" s="419"/>
      <c r="AS34" s="419">
        <f t="shared" si="3"/>
        <v>574</v>
      </c>
      <c r="AT34" s="399">
        <f t="shared" si="12"/>
        <v>557.2815533980582</v>
      </c>
      <c r="AU34" s="418"/>
      <c r="AV34" s="422"/>
      <c r="AW34" s="420"/>
      <c r="AX34" s="399"/>
      <c r="AY34" s="418">
        <v>103</v>
      </c>
      <c r="AZ34" s="419"/>
      <c r="BA34" s="423">
        <v>574</v>
      </c>
      <c r="BB34" s="399">
        <f t="shared" si="13"/>
        <v>557.2815533980582</v>
      </c>
      <c r="BC34" s="418"/>
      <c r="BD34" s="419"/>
      <c r="BE34" s="420"/>
      <c r="BF34" s="399"/>
    </row>
    <row r="35" spans="1:58" ht="16.5" customHeight="1">
      <c r="A35" s="72" t="s">
        <v>25</v>
      </c>
      <c r="B35" s="77"/>
      <c r="C35" s="74">
        <f t="shared" si="6"/>
        <v>210</v>
      </c>
      <c r="D35" s="75">
        <f t="shared" si="7"/>
        <v>264</v>
      </c>
      <c r="E35" s="75">
        <f t="shared" si="8"/>
        <v>275</v>
      </c>
      <c r="F35" s="76">
        <f t="shared" si="10"/>
        <v>104.16666666666667</v>
      </c>
      <c r="G35" s="387"/>
      <c r="H35" s="388"/>
      <c r="I35" s="388"/>
      <c r="J35" s="416"/>
      <c r="K35" s="74"/>
      <c r="L35" s="75"/>
      <c r="M35" s="75"/>
      <c r="N35" s="76"/>
      <c r="O35" s="74">
        <v>210</v>
      </c>
      <c r="P35" s="75">
        <v>264</v>
      </c>
      <c r="Q35" s="102">
        <v>275</v>
      </c>
      <c r="R35" s="76">
        <f t="shared" si="11"/>
        <v>104.16666666666667</v>
      </c>
      <c r="S35" s="74"/>
      <c r="T35" s="75"/>
      <c r="U35" s="75"/>
      <c r="V35" s="76"/>
      <c r="W35" s="390"/>
      <c r="X35" s="407">
        <f>C35+'Nedaňové příjmy'!C35+'Nedaňové příjmy'!G35+'Nedaňové příjmy'!K35+'Nedaňové příjmy'!O35+'Nedaňové příjmy'!S35+'Nedaňové příjmy'!W35</f>
        <v>2490</v>
      </c>
      <c r="Y35" s="407">
        <f>D35+'Nedaňové příjmy'!D35+'Nedaňové příjmy'!H35+'Nedaňové příjmy'!L35+'Nedaňové příjmy'!P35+'Nedaňové příjmy'!T35+'Nedaňové příjmy'!X35</f>
        <v>4250</v>
      </c>
      <c r="Z35" s="407">
        <f>E35+'Nedaňové příjmy'!E35+'Nedaňové příjmy'!I35+'Nedaňové příjmy'!M35+'Nedaňové příjmy'!Q35+'Nedaňové příjmy'!U35+'Nedaňové příjmy'!Y35</f>
        <v>4347</v>
      </c>
      <c r="AA35" s="392">
        <v>4347682</v>
      </c>
      <c r="AB35" s="290">
        <f t="shared" si="9"/>
        <v>0.681999999999789</v>
      </c>
      <c r="AE35" s="100"/>
      <c r="AG35" s="394" t="s">
        <v>25</v>
      </c>
      <c r="AH35" s="417"/>
      <c r="AI35" s="396">
        <v>0</v>
      </c>
      <c r="AJ35" s="397"/>
      <c r="AK35" s="398">
        <v>487</v>
      </c>
      <c r="AL35" s="399">
        <v>0</v>
      </c>
      <c r="AM35" s="418"/>
      <c r="AN35" s="419"/>
      <c r="AO35" s="420"/>
      <c r="AP35" s="403"/>
      <c r="AQ35" s="421">
        <f t="shared" si="2"/>
        <v>80</v>
      </c>
      <c r="AR35" s="419"/>
      <c r="AS35" s="419">
        <f t="shared" si="3"/>
        <v>77</v>
      </c>
      <c r="AT35" s="399">
        <f t="shared" si="12"/>
        <v>96.25</v>
      </c>
      <c r="AU35" s="418"/>
      <c r="AV35" s="422"/>
      <c r="AW35" s="420"/>
      <c r="AX35" s="399"/>
      <c r="AY35" s="418">
        <v>80</v>
      </c>
      <c r="AZ35" s="419"/>
      <c r="BA35" s="423">
        <v>77</v>
      </c>
      <c r="BB35" s="399">
        <f t="shared" si="13"/>
        <v>96.25</v>
      </c>
      <c r="BC35" s="418"/>
      <c r="BD35" s="419"/>
      <c r="BE35" s="420"/>
      <c r="BF35" s="399"/>
    </row>
    <row r="36" spans="1:58" ht="16.5" customHeight="1">
      <c r="A36" s="72" t="s">
        <v>26</v>
      </c>
      <c r="B36" s="77"/>
      <c r="C36" s="439">
        <f t="shared" si="6"/>
        <v>100</v>
      </c>
      <c r="D36" s="440">
        <f t="shared" si="6"/>
        <v>460</v>
      </c>
      <c r="E36" s="75">
        <f t="shared" si="8"/>
        <v>455</v>
      </c>
      <c r="F36" s="76">
        <f t="shared" si="10"/>
        <v>98.91304347826086</v>
      </c>
      <c r="G36" s="387"/>
      <c r="H36" s="388"/>
      <c r="I36" s="388"/>
      <c r="J36" s="416"/>
      <c r="K36" s="74"/>
      <c r="L36" s="75"/>
      <c r="M36" s="75"/>
      <c r="N36" s="76"/>
      <c r="O36" s="74">
        <v>100</v>
      </c>
      <c r="P36" s="75">
        <v>460</v>
      </c>
      <c r="Q36" s="102">
        <v>455</v>
      </c>
      <c r="R36" s="76">
        <f t="shared" si="11"/>
        <v>98.91304347826086</v>
      </c>
      <c r="S36" s="74"/>
      <c r="T36" s="75"/>
      <c r="U36" s="75"/>
      <c r="V36" s="76"/>
      <c r="W36" s="390"/>
      <c r="X36" s="407">
        <f>C36+'Nedaňové příjmy'!C36+'Nedaňové příjmy'!G36+'Nedaňové příjmy'!K36+'Nedaňové příjmy'!O36+'Nedaňové příjmy'!S36+'Nedaňové příjmy'!W36</f>
        <v>660</v>
      </c>
      <c r="Y36" s="407">
        <f>D36+'Nedaňové příjmy'!D36+'Nedaňové příjmy'!H36+'Nedaňové příjmy'!L36+'Nedaňové příjmy'!P36+'Nedaňové příjmy'!T36+'Nedaňové příjmy'!X36</f>
        <v>2016</v>
      </c>
      <c r="Z36" s="407">
        <f>E36+'Nedaňové příjmy'!E36+'Nedaňové příjmy'!I36+'Nedaňové příjmy'!M36+'Nedaňové příjmy'!Q36+'Nedaňové příjmy'!U36+'Nedaňové příjmy'!Y36</f>
        <v>2186</v>
      </c>
      <c r="AA36" s="392">
        <v>2185472</v>
      </c>
      <c r="AB36" s="290">
        <f t="shared" si="9"/>
        <v>-0.5279999999997926</v>
      </c>
      <c r="AE36" s="100"/>
      <c r="AG36" s="394" t="s">
        <v>26</v>
      </c>
      <c r="AH36" s="417"/>
      <c r="AI36" s="396">
        <v>0</v>
      </c>
      <c r="AJ36" s="397"/>
      <c r="AK36" s="398">
        <v>328</v>
      </c>
      <c r="AL36" s="399">
        <v>0</v>
      </c>
      <c r="AM36" s="418"/>
      <c r="AN36" s="419"/>
      <c r="AO36" s="420"/>
      <c r="AP36" s="403"/>
      <c r="AQ36" s="421">
        <f t="shared" si="2"/>
        <v>70</v>
      </c>
      <c r="AR36" s="419"/>
      <c r="AS36" s="419">
        <f t="shared" si="3"/>
        <v>55</v>
      </c>
      <c r="AT36" s="399">
        <f t="shared" si="12"/>
        <v>78.57142857142857</v>
      </c>
      <c r="AU36" s="418"/>
      <c r="AV36" s="422"/>
      <c r="AW36" s="420"/>
      <c r="AX36" s="399"/>
      <c r="AY36" s="418">
        <v>70</v>
      </c>
      <c r="AZ36" s="419"/>
      <c r="BA36" s="423">
        <v>55</v>
      </c>
      <c r="BB36" s="399">
        <f t="shared" si="13"/>
        <v>78.57142857142857</v>
      </c>
      <c r="BC36" s="418"/>
      <c r="BD36" s="419"/>
      <c r="BE36" s="420"/>
      <c r="BF36" s="399"/>
    </row>
    <row r="37" spans="1:58" ht="16.5" customHeight="1">
      <c r="A37" s="72" t="s">
        <v>27</v>
      </c>
      <c r="B37" s="77"/>
      <c r="C37" s="74">
        <f t="shared" si="6"/>
        <v>1100</v>
      </c>
      <c r="D37" s="75">
        <f t="shared" si="7"/>
        <v>2584</v>
      </c>
      <c r="E37" s="75">
        <f t="shared" si="8"/>
        <v>2454</v>
      </c>
      <c r="F37" s="76">
        <f t="shared" si="10"/>
        <v>94.96904024767801</v>
      </c>
      <c r="G37" s="387"/>
      <c r="H37" s="388">
        <v>151</v>
      </c>
      <c r="I37" s="388">
        <f>151</f>
        <v>151</v>
      </c>
      <c r="J37" s="76">
        <f>I37/H37*100</f>
        <v>100</v>
      </c>
      <c r="K37" s="74"/>
      <c r="L37" s="75"/>
      <c r="M37" s="75">
        <f>1-1</f>
        <v>0</v>
      </c>
      <c r="N37" s="76"/>
      <c r="O37" s="74">
        <v>1000</v>
      </c>
      <c r="P37" s="75">
        <v>2313</v>
      </c>
      <c r="Q37" s="102">
        <v>2161</v>
      </c>
      <c r="R37" s="76">
        <f t="shared" si="11"/>
        <v>93.42844790315607</v>
      </c>
      <c r="S37" s="74">
        <v>100</v>
      </c>
      <c r="T37" s="75">
        <v>120</v>
      </c>
      <c r="U37" s="75">
        <v>142</v>
      </c>
      <c r="V37" s="76">
        <f>U37/T37*100</f>
        <v>118.33333333333333</v>
      </c>
      <c r="W37" s="390"/>
      <c r="X37" s="407">
        <f>C37+'Nedaňové příjmy'!C37+'Nedaňové příjmy'!G37+'Nedaňové příjmy'!K37+'Nedaňové příjmy'!O37+'Nedaňové příjmy'!S37+'Nedaňové příjmy'!W37</f>
        <v>10921</v>
      </c>
      <c r="Y37" s="407">
        <f>D37+'Nedaňové příjmy'!D37+'Nedaňové příjmy'!H37+'Nedaňové příjmy'!L37+'Nedaňové příjmy'!P37+'Nedaňové příjmy'!T37+'Nedaňové příjmy'!X37</f>
        <v>23601</v>
      </c>
      <c r="Z37" s="407">
        <f>E37+'Nedaňové příjmy'!E37+'Nedaňové příjmy'!I37+'Nedaňové příjmy'!M37+'Nedaňové příjmy'!Q37+'Nedaňové příjmy'!U37+'Nedaňové příjmy'!Y37</f>
        <v>23910</v>
      </c>
      <c r="AA37" s="392">
        <v>23909334</v>
      </c>
      <c r="AB37" s="290">
        <f t="shared" si="9"/>
        <v>-0.6660000000010768</v>
      </c>
      <c r="AE37" s="100"/>
      <c r="AG37" s="394" t="s">
        <v>27</v>
      </c>
      <c r="AH37" s="417"/>
      <c r="AI37" s="396">
        <v>0</v>
      </c>
      <c r="AJ37" s="397"/>
      <c r="AK37" s="398">
        <v>2239</v>
      </c>
      <c r="AL37" s="399">
        <v>0</v>
      </c>
      <c r="AM37" s="418"/>
      <c r="AN37" s="419"/>
      <c r="AO37" s="420"/>
      <c r="AP37" s="403"/>
      <c r="AQ37" s="421">
        <f t="shared" si="2"/>
        <v>2535</v>
      </c>
      <c r="AR37" s="419"/>
      <c r="AS37" s="419">
        <f t="shared" si="3"/>
        <v>11933</v>
      </c>
      <c r="AT37" s="399">
        <f t="shared" si="12"/>
        <v>470.72978303747533</v>
      </c>
      <c r="AU37" s="418">
        <v>0</v>
      </c>
      <c r="AV37" s="422"/>
      <c r="AW37" s="420">
        <v>17</v>
      </c>
      <c r="AX37" s="399">
        <v>0</v>
      </c>
      <c r="AY37" s="418">
        <v>2535</v>
      </c>
      <c r="AZ37" s="419"/>
      <c r="BA37" s="423">
        <v>11902</v>
      </c>
      <c r="BB37" s="399">
        <f t="shared" si="13"/>
        <v>469.5069033530572</v>
      </c>
      <c r="BC37" s="418">
        <v>0</v>
      </c>
      <c r="BD37" s="419"/>
      <c r="BE37" s="420">
        <v>14</v>
      </c>
      <c r="BF37" s="399">
        <v>0</v>
      </c>
    </row>
    <row r="38" spans="1:58" ht="16.5" customHeight="1">
      <c r="A38" s="72" t="s">
        <v>28</v>
      </c>
      <c r="B38" s="77"/>
      <c r="C38" s="74">
        <f t="shared" si="6"/>
        <v>0</v>
      </c>
      <c r="D38" s="75">
        <f t="shared" si="7"/>
        <v>55</v>
      </c>
      <c r="E38" s="75">
        <f t="shared" si="8"/>
        <v>63</v>
      </c>
      <c r="F38" s="76">
        <f t="shared" si="10"/>
        <v>114.54545454545455</v>
      </c>
      <c r="G38" s="387"/>
      <c r="H38" s="388"/>
      <c r="I38" s="388"/>
      <c r="J38" s="416"/>
      <c r="K38" s="74"/>
      <c r="L38" s="75"/>
      <c r="M38" s="75"/>
      <c r="N38" s="76"/>
      <c r="O38" s="74"/>
      <c r="P38" s="75">
        <v>55</v>
      </c>
      <c r="Q38" s="102">
        <v>63</v>
      </c>
      <c r="R38" s="76">
        <f t="shared" si="11"/>
        <v>114.54545454545455</v>
      </c>
      <c r="S38" s="74"/>
      <c r="T38" s="75"/>
      <c r="U38" s="75"/>
      <c r="V38" s="76"/>
      <c r="W38" s="390"/>
      <c r="X38" s="407">
        <f>C38+'Nedaňové příjmy'!C38+'Nedaňové příjmy'!G38+'Nedaňové příjmy'!K38+'Nedaňové příjmy'!O38+'Nedaňové příjmy'!S38+'Nedaňové příjmy'!W38</f>
        <v>770</v>
      </c>
      <c r="Y38" s="407">
        <f>D38+'Nedaňové příjmy'!D38+'Nedaňové příjmy'!H38+'Nedaňové příjmy'!L38+'Nedaňové příjmy'!P38+'Nedaňové příjmy'!T38+'Nedaňové příjmy'!X38</f>
        <v>1391</v>
      </c>
      <c r="Z38" s="407">
        <f>E38+'Nedaňové příjmy'!E38+'Nedaňové příjmy'!I38+'Nedaňové příjmy'!M38+'Nedaňové příjmy'!Q38+'Nedaňové příjmy'!U38+'Nedaňové příjmy'!Y38</f>
        <v>1617</v>
      </c>
      <c r="AA38" s="392">
        <v>1616456</v>
      </c>
      <c r="AB38" s="290">
        <f t="shared" si="9"/>
        <v>-0.5440000000000964</v>
      </c>
      <c r="AE38" s="100"/>
      <c r="AG38" s="394" t="s">
        <v>28</v>
      </c>
      <c r="AH38" s="417"/>
      <c r="AI38" s="396">
        <v>0</v>
      </c>
      <c r="AJ38" s="397"/>
      <c r="AK38" s="398">
        <v>244</v>
      </c>
      <c r="AL38" s="399">
        <v>0</v>
      </c>
      <c r="AM38" s="418"/>
      <c r="AN38" s="419"/>
      <c r="AO38" s="420"/>
      <c r="AP38" s="403"/>
      <c r="AQ38" s="421">
        <f t="shared" si="2"/>
        <v>0</v>
      </c>
      <c r="AR38" s="419"/>
      <c r="AS38" s="419">
        <f t="shared" si="3"/>
        <v>69</v>
      </c>
      <c r="AT38" s="399">
        <v>0</v>
      </c>
      <c r="AU38" s="418"/>
      <c r="AV38" s="422"/>
      <c r="AW38" s="420"/>
      <c r="AX38" s="399"/>
      <c r="AY38" s="418">
        <v>0</v>
      </c>
      <c r="AZ38" s="419"/>
      <c r="BA38" s="423">
        <v>69</v>
      </c>
      <c r="BB38" s="399">
        <v>0</v>
      </c>
      <c r="BC38" s="418"/>
      <c r="BD38" s="419"/>
      <c r="BE38" s="420"/>
      <c r="BF38" s="399"/>
    </row>
    <row r="39" spans="1:58" ht="16.5" customHeight="1">
      <c r="A39" s="72" t="s">
        <v>325</v>
      </c>
      <c r="B39" s="77"/>
      <c r="C39" s="74">
        <f t="shared" si="6"/>
        <v>1515</v>
      </c>
      <c r="D39" s="75">
        <f t="shared" si="7"/>
        <v>1822</v>
      </c>
      <c r="E39" s="75">
        <f t="shared" si="8"/>
        <v>1965</v>
      </c>
      <c r="F39" s="76">
        <f>E39/D39*100</f>
        <v>107.84851811196488</v>
      </c>
      <c r="G39" s="387"/>
      <c r="H39" s="388"/>
      <c r="I39" s="388">
        <v>1</v>
      </c>
      <c r="J39" s="76"/>
      <c r="K39" s="74"/>
      <c r="L39" s="75"/>
      <c r="M39" s="75"/>
      <c r="N39" s="441"/>
      <c r="O39" s="74">
        <v>1515</v>
      </c>
      <c r="P39" s="75">
        <v>1822</v>
      </c>
      <c r="Q39" s="102">
        <v>1964</v>
      </c>
      <c r="R39" s="76">
        <f>Q39/P39*100</f>
        <v>107.79363336992316</v>
      </c>
      <c r="S39" s="74"/>
      <c r="T39" s="75"/>
      <c r="U39" s="75"/>
      <c r="V39" s="76"/>
      <c r="W39" s="390"/>
      <c r="X39" s="407">
        <f>C39+'Nedaňové příjmy'!C39+'Nedaňové příjmy'!G39+'Nedaňové příjmy'!K39+'Nedaňové příjmy'!O39+'Nedaňové příjmy'!S39+'Nedaňové příjmy'!W39</f>
        <v>5400</v>
      </c>
      <c r="Y39" s="407">
        <f>D39+'Nedaňové příjmy'!D39+'Nedaňové příjmy'!H39+'Nedaňové příjmy'!L39+'Nedaňové příjmy'!P39+'Nedaňové příjmy'!T39+'Nedaňové příjmy'!X39</f>
        <v>8442</v>
      </c>
      <c r="Z39" s="407">
        <f>E39+'Nedaňové příjmy'!E39+'Nedaňové příjmy'!I39+'Nedaňové příjmy'!M39+'Nedaňové příjmy'!Q39+'Nedaňové příjmy'!U39+'Nedaňové příjmy'!Y39</f>
        <v>9656</v>
      </c>
      <c r="AA39" s="392">
        <v>9657006</v>
      </c>
      <c r="AB39" s="290">
        <f t="shared" si="9"/>
        <v>1.0059999999994034</v>
      </c>
      <c r="AE39" s="100"/>
      <c r="AG39" s="394" t="s">
        <v>157</v>
      </c>
      <c r="AH39" s="417"/>
      <c r="AI39" s="396">
        <v>0</v>
      </c>
      <c r="AJ39" s="397"/>
      <c r="AK39" s="398">
        <v>1160</v>
      </c>
      <c r="AL39" s="399">
        <v>0</v>
      </c>
      <c r="AM39" s="418"/>
      <c r="AN39" s="419"/>
      <c r="AO39" s="420"/>
      <c r="AP39" s="403"/>
      <c r="AQ39" s="421">
        <f t="shared" si="2"/>
        <v>34</v>
      </c>
      <c r="AR39" s="419"/>
      <c r="AS39" s="419">
        <f t="shared" si="3"/>
        <v>352</v>
      </c>
      <c r="AT39" s="399">
        <f>AS39/AQ39*100</f>
        <v>1035.2941176470588</v>
      </c>
      <c r="AU39" s="418"/>
      <c r="AV39" s="422"/>
      <c r="AW39" s="420"/>
      <c r="AX39" s="399"/>
      <c r="AY39" s="418">
        <v>34</v>
      </c>
      <c r="AZ39" s="419"/>
      <c r="BA39" s="423">
        <v>352</v>
      </c>
      <c r="BB39" s="399">
        <f>BA39/AY39*100</f>
        <v>1035.2941176470588</v>
      </c>
      <c r="BC39" s="418"/>
      <c r="BD39" s="419"/>
      <c r="BE39" s="420"/>
      <c r="BF39" s="399"/>
    </row>
    <row r="40" spans="1:58" ht="16.5" customHeight="1">
      <c r="A40" s="72" t="s">
        <v>29</v>
      </c>
      <c r="B40" s="77"/>
      <c r="C40" s="74">
        <f t="shared" si="6"/>
        <v>350</v>
      </c>
      <c r="D40" s="75">
        <f t="shared" si="7"/>
        <v>359</v>
      </c>
      <c r="E40" s="75">
        <f t="shared" si="8"/>
        <v>174</v>
      </c>
      <c r="F40" s="76">
        <f>E40/D40*100</f>
        <v>48.467966573816156</v>
      </c>
      <c r="G40" s="387"/>
      <c r="H40" s="388"/>
      <c r="I40" s="388"/>
      <c r="J40" s="76"/>
      <c r="K40" s="74"/>
      <c r="L40" s="75"/>
      <c r="M40" s="75"/>
      <c r="N40" s="76"/>
      <c r="O40" s="74">
        <v>350</v>
      </c>
      <c r="P40" s="75">
        <v>359</v>
      </c>
      <c r="Q40" s="102">
        <f>175-1</f>
        <v>174</v>
      </c>
      <c r="R40" s="76">
        <f>Q40/P40*100</f>
        <v>48.467966573816156</v>
      </c>
      <c r="S40" s="74"/>
      <c r="T40" s="75"/>
      <c r="U40" s="75"/>
      <c r="V40" s="76"/>
      <c r="W40" s="390"/>
      <c r="X40" s="407">
        <f>C40+'Nedaňové příjmy'!C40+'Nedaňové příjmy'!G40+'Nedaňové příjmy'!K40+'Nedaňové příjmy'!O40+'Nedaňové příjmy'!S40+'Nedaňové příjmy'!W40</f>
        <v>674</v>
      </c>
      <c r="Y40" s="407">
        <f>D40+'Nedaňové příjmy'!D40+'Nedaňové příjmy'!H40+'Nedaňové příjmy'!L40+'Nedaňové příjmy'!P40+'Nedaňové příjmy'!T40+'Nedaňové příjmy'!X40</f>
        <v>1029</v>
      </c>
      <c r="Z40" s="407">
        <f>E40+'Nedaňové příjmy'!E40+'Nedaňové příjmy'!I40+'Nedaňové příjmy'!M40+'Nedaňové příjmy'!Q40+'Nedaňové příjmy'!U40+'Nedaňové příjmy'!Y40</f>
        <v>863</v>
      </c>
      <c r="AA40" s="392">
        <v>863243</v>
      </c>
      <c r="AB40" s="290">
        <f t="shared" si="9"/>
        <v>0.24300000000005184</v>
      </c>
      <c r="AE40" s="100"/>
      <c r="AG40" s="394" t="s">
        <v>29</v>
      </c>
      <c r="AH40" s="417"/>
      <c r="AI40" s="396">
        <v>0</v>
      </c>
      <c r="AJ40" s="397"/>
      <c r="AK40" s="398">
        <v>81</v>
      </c>
      <c r="AL40" s="399">
        <v>0</v>
      </c>
      <c r="AM40" s="418"/>
      <c r="AN40" s="419"/>
      <c r="AO40" s="420"/>
      <c r="AP40" s="403"/>
      <c r="AQ40" s="421">
        <f t="shared" si="2"/>
        <v>210</v>
      </c>
      <c r="AR40" s="419"/>
      <c r="AS40" s="419">
        <f t="shared" si="3"/>
        <v>2</v>
      </c>
      <c r="AT40" s="399">
        <f>AS40/AQ40*100</f>
        <v>0.9523809523809524</v>
      </c>
      <c r="AU40" s="418"/>
      <c r="AV40" s="422"/>
      <c r="AW40" s="420"/>
      <c r="AX40" s="399"/>
      <c r="AY40" s="418">
        <v>210</v>
      </c>
      <c r="AZ40" s="419"/>
      <c r="BA40" s="423">
        <v>2</v>
      </c>
      <c r="BB40" s="399">
        <f>BA40/AY40*100</f>
        <v>0.9523809523809524</v>
      </c>
      <c r="BC40" s="418"/>
      <c r="BD40" s="419"/>
      <c r="BE40" s="420"/>
      <c r="BF40" s="399"/>
    </row>
    <row r="41" spans="1:58" ht="16.5" customHeight="1">
      <c r="A41" s="72" t="s">
        <v>30</v>
      </c>
      <c r="B41" s="77"/>
      <c r="C41" s="74">
        <f t="shared" si="6"/>
        <v>0</v>
      </c>
      <c r="D41" s="75">
        <f t="shared" si="7"/>
        <v>77</v>
      </c>
      <c r="E41" s="75">
        <f t="shared" si="8"/>
        <v>76</v>
      </c>
      <c r="F41" s="76">
        <f>E41/D41*100</f>
        <v>98.7012987012987</v>
      </c>
      <c r="G41" s="387"/>
      <c r="H41" s="388"/>
      <c r="I41" s="388"/>
      <c r="J41" s="76"/>
      <c r="K41" s="74"/>
      <c r="L41" s="75"/>
      <c r="M41" s="75"/>
      <c r="N41" s="76"/>
      <c r="O41" s="74"/>
      <c r="P41" s="75">
        <v>77</v>
      </c>
      <c r="Q41" s="102">
        <v>76</v>
      </c>
      <c r="R41" s="76">
        <f>Q41/P41*100</f>
        <v>98.7012987012987</v>
      </c>
      <c r="S41" s="74"/>
      <c r="T41" s="75"/>
      <c r="U41" s="75"/>
      <c r="V41" s="76"/>
      <c r="W41" s="390"/>
      <c r="X41" s="407">
        <f>C41+'Nedaňové příjmy'!C41+'Nedaňové příjmy'!G41+'Nedaňové příjmy'!K41+'Nedaňové příjmy'!O41+'Nedaňové příjmy'!S41+'Nedaňové příjmy'!W41</f>
        <v>300</v>
      </c>
      <c r="Y41" s="407">
        <f>D41+'Nedaňové příjmy'!D41+'Nedaňové příjmy'!H41+'Nedaňové příjmy'!L41+'Nedaňové příjmy'!P41+'Nedaňové příjmy'!T41+'Nedaňové příjmy'!X41</f>
        <v>794</v>
      </c>
      <c r="Z41" s="407">
        <f>E41+'Nedaňové příjmy'!E41+'Nedaňové příjmy'!I41+'Nedaňové příjmy'!M41+'Nedaňové příjmy'!Q41+'Nedaňové příjmy'!U41+'Nedaňové příjmy'!Y41</f>
        <v>776</v>
      </c>
      <c r="AA41" s="392">
        <v>776042</v>
      </c>
      <c r="AB41" s="290">
        <f t="shared" si="9"/>
        <v>0.04200000000003001</v>
      </c>
      <c r="AE41" s="100"/>
      <c r="AG41" s="394" t="s">
        <v>30</v>
      </c>
      <c r="AH41" s="417"/>
      <c r="AI41" s="396">
        <v>0</v>
      </c>
      <c r="AJ41" s="397"/>
      <c r="AK41" s="398">
        <v>91</v>
      </c>
      <c r="AL41" s="399">
        <v>0</v>
      </c>
      <c r="AM41" s="418"/>
      <c r="AN41" s="419"/>
      <c r="AO41" s="420"/>
      <c r="AP41" s="403"/>
      <c r="AQ41" s="421">
        <f t="shared" si="2"/>
        <v>0</v>
      </c>
      <c r="AR41" s="419"/>
      <c r="AS41" s="442">
        <f t="shared" si="3"/>
        <v>-1</v>
      </c>
      <c r="AT41" s="399">
        <v>0</v>
      </c>
      <c r="AU41" s="418"/>
      <c r="AV41" s="422"/>
      <c r="AW41" s="420"/>
      <c r="AX41" s="399"/>
      <c r="AY41" s="418">
        <v>0</v>
      </c>
      <c r="AZ41" s="419"/>
      <c r="BA41" s="443">
        <v>-1</v>
      </c>
      <c r="BB41" s="399">
        <v>0</v>
      </c>
      <c r="BC41" s="418"/>
      <c r="BD41" s="419"/>
      <c r="BE41" s="420"/>
      <c r="BF41" s="399"/>
    </row>
    <row r="42" spans="1:58" ht="15" customHeight="1">
      <c r="A42" s="72" t="s">
        <v>31</v>
      </c>
      <c r="B42" s="77"/>
      <c r="C42" s="74">
        <f t="shared" si="6"/>
        <v>0</v>
      </c>
      <c r="D42" s="75">
        <f t="shared" si="7"/>
        <v>30</v>
      </c>
      <c r="E42" s="75">
        <f t="shared" si="8"/>
        <v>30</v>
      </c>
      <c r="F42" s="76">
        <f>E42/D42*100</f>
        <v>100</v>
      </c>
      <c r="G42" s="387"/>
      <c r="H42" s="446"/>
      <c r="I42" s="446"/>
      <c r="J42" s="416"/>
      <c r="K42" s="74"/>
      <c r="L42" s="75"/>
      <c r="M42" s="75"/>
      <c r="N42" s="76"/>
      <c r="O42" s="74"/>
      <c r="P42" s="75">
        <v>30</v>
      </c>
      <c r="Q42" s="102">
        <v>30</v>
      </c>
      <c r="R42" s="76">
        <f>Q42/P42*100</f>
        <v>100</v>
      </c>
      <c r="S42" s="74"/>
      <c r="T42" s="75"/>
      <c r="U42" s="75"/>
      <c r="V42" s="76"/>
      <c r="W42" s="390"/>
      <c r="X42" s="407">
        <f>C42+'Nedaňové příjmy'!C42+'Nedaňové příjmy'!G42+'Nedaňové příjmy'!K42+'Nedaňové příjmy'!O42+'Nedaňové příjmy'!S42+'Nedaňové příjmy'!W42</f>
        <v>57</v>
      </c>
      <c r="Y42" s="407">
        <f>D42+'Nedaňové příjmy'!D42+'Nedaňové příjmy'!H42+'Nedaňové příjmy'!L42+'Nedaňové příjmy'!P42+'Nedaňové příjmy'!T42+'Nedaňové příjmy'!X42</f>
        <v>471</v>
      </c>
      <c r="Z42" s="407">
        <f>E42+'Nedaňové příjmy'!E42+'Nedaňové příjmy'!I42+'Nedaňové příjmy'!M42+'Nedaňové příjmy'!Q42+'Nedaňové příjmy'!U42+'Nedaňové příjmy'!Y42</f>
        <v>280</v>
      </c>
      <c r="AA42" s="392">
        <v>279923</v>
      </c>
      <c r="AB42" s="290">
        <f t="shared" si="9"/>
        <v>-0.07699999999999818</v>
      </c>
      <c r="AE42" s="100"/>
      <c r="AG42" s="394" t="s">
        <v>31</v>
      </c>
      <c r="AH42" s="417"/>
      <c r="AI42" s="396">
        <v>0</v>
      </c>
      <c r="AJ42" s="447"/>
      <c r="AK42" s="398">
        <v>42</v>
      </c>
      <c r="AL42" s="399">
        <v>0</v>
      </c>
      <c r="AM42" s="418"/>
      <c r="AN42" s="419"/>
      <c r="AO42" s="420"/>
      <c r="AP42" s="403"/>
      <c r="AQ42" s="421">
        <f t="shared" si="2"/>
        <v>0</v>
      </c>
      <c r="AR42" s="419"/>
      <c r="AS42" s="419">
        <f t="shared" si="3"/>
        <v>0</v>
      </c>
      <c r="AT42" s="399">
        <v>0</v>
      </c>
      <c r="AU42" s="418"/>
      <c r="AV42" s="422"/>
      <c r="AW42" s="420"/>
      <c r="AX42" s="399"/>
      <c r="AY42" s="418"/>
      <c r="AZ42" s="419"/>
      <c r="BA42" s="423"/>
      <c r="BB42" s="399"/>
      <c r="BC42" s="418"/>
      <c r="BD42" s="419"/>
      <c r="BE42" s="420"/>
      <c r="BF42" s="399"/>
    </row>
    <row r="43" spans="1:58" ht="16.5" customHeight="1" thickBot="1">
      <c r="A43" s="450" t="s">
        <v>32</v>
      </c>
      <c r="B43" s="79"/>
      <c r="C43" s="451">
        <f t="shared" si="6"/>
        <v>5</v>
      </c>
      <c r="D43" s="82">
        <f t="shared" si="7"/>
        <v>23</v>
      </c>
      <c r="E43" s="82">
        <f t="shared" si="8"/>
        <v>23</v>
      </c>
      <c r="F43" s="452">
        <f>E43/D43*100</f>
        <v>100</v>
      </c>
      <c r="G43" s="453"/>
      <c r="H43" s="454"/>
      <c r="I43" s="454"/>
      <c r="J43" s="83"/>
      <c r="K43" s="451"/>
      <c r="L43" s="82"/>
      <c r="M43" s="82"/>
      <c r="N43" s="83"/>
      <c r="O43" s="451">
        <v>5</v>
      </c>
      <c r="P43" s="82">
        <v>23</v>
      </c>
      <c r="Q43" s="455">
        <v>23</v>
      </c>
      <c r="R43" s="83">
        <f>Q43/P43*100</f>
        <v>100</v>
      </c>
      <c r="S43" s="451"/>
      <c r="T43" s="82"/>
      <c r="U43" s="82"/>
      <c r="V43" s="83"/>
      <c r="W43" s="390"/>
      <c r="X43" s="407">
        <f>C43+'Nedaňové příjmy'!C43+'Nedaňové příjmy'!G43+'Nedaňové příjmy'!K43+'Nedaňové příjmy'!O43+'Nedaňové příjmy'!S43+'Nedaňové příjmy'!W43</f>
        <v>182</v>
      </c>
      <c r="Y43" s="407">
        <f>D43+'Nedaňové příjmy'!D43+'Nedaňové příjmy'!H43+'Nedaňové příjmy'!L43+'Nedaňové příjmy'!P43+'Nedaňové příjmy'!T43+'Nedaňové příjmy'!X43</f>
        <v>323</v>
      </c>
      <c r="Z43" s="407">
        <f>E43+'Nedaňové příjmy'!E43+'Nedaňové příjmy'!I43+'Nedaňové příjmy'!M43+'Nedaňové příjmy'!Q43+'Nedaňové příjmy'!U43+'Nedaňové příjmy'!Y43</f>
        <v>319</v>
      </c>
      <c r="AA43" s="392">
        <v>319142</v>
      </c>
      <c r="AB43" s="290">
        <f t="shared" si="9"/>
        <v>0.1419999999999959</v>
      </c>
      <c r="AE43" s="100"/>
      <c r="AG43" s="394" t="s">
        <v>32</v>
      </c>
      <c r="AH43" s="456"/>
      <c r="AI43" s="396">
        <v>0</v>
      </c>
      <c r="AJ43" s="457"/>
      <c r="AK43" s="458">
        <v>31</v>
      </c>
      <c r="AL43" s="399">
        <v>0</v>
      </c>
      <c r="AM43" s="418"/>
      <c r="AN43" s="419"/>
      <c r="AO43" s="420"/>
      <c r="AP43" s="403"/>
      <c r="AQ43" s="421">
        <f t="shared" si="2"/>
        <v>0</v>
      </c>
      <c r="AR43" s="419"/>
      <c r="AS43" s="419">
        <f t="shared" si="3"/>
        <v>10</v>
      </c>
      <c r="AT43" s="399">
        <v>0</v>
      </c>
      <c r="AU43" s="418"/>
      <c r="AV43" s="422"/>
      <c r="AW43" s="420"/>
      <c r="AX43" s="399"/>
      <c r="AY43" s="418">
        <v>0</v>
      </c>
      <c r="AZ43" s="419"/>
      <c r="BA43" s="423">
        <v>10</v>
      </c>
      <c r="BB43" s="399">
        <v>0</v>
      </c>
      <c r="BC43" s="418"/>
      <c r="BD43" s="419"/>
      <c r="BE43" s="420"/>
      <c r="BF43" s="399"/>
    </row>
    <row r="44" spans="1:57" ht="15" customHeight="1" thickBot="1">
      <c r="A44" s="4"/>
      <c r="B44" s="4"/>
      <c r="C44" s="84"/>
      <c r="D44" s="84"/>
      <c r="E44" s="84"/>
      <c r="F44" s="7"/>
      <c r="G44" s="689"/>
      <c r="H44" s="690"/>
      <c r="I44" s="690"/>
      <c r="J44" s="689"/>
      <c r="K44" s="4"/>
      <c r="L44" s="4"/>
      <c r="M44" s="84"/>
      <c r="N44" s="4"/>
      <c r="O44" s="84"/>
      <c r="P44" s="84"/>
      <c r="Q44" s="84"/>
      <c r="R44" s="7"/>
      <c r="S44" s="84"/>
      <c r="T44" s="84"/>
      <c r="U44" s="84"/>
      <c r="V44" s="4"/>
      <c r="X44" s="691"/>
      <c r="Y44" s="691"/>
      <c r="Z44" s="691"/>
      <c r="AA44" s="651"/>
      <c r="AI44" s="270"/>
      <c r="AJ44" s="270"/>
      <c r="AK44" s="270"/>
      <c r="AL44" s="692"/>
      <c r="AM44" s="383"/>
      <c r="AN44" s="383"/>
      <c r="AO44" s="383"/>
      <c r="AP44" s="303"/>
      <c r="AQ44" s="383"/>
      <c r="AR44" s="383"/>
      <c r="AS44" s="383"/>
      <c r="AT44" s="303"/>
      <c r="AW44" s="383"/>
      <c r="AX44" s="693"/>
      <c r="AY44" s="383"/>
      <c r="AZ44" s="383"/>
      <c r="BA44" s="383"/>
      <c r="BB44" s="303"/>
      <c r="BC44" s="383"/>
      <c r="BD44" s="383"/>
      <c r="BE44" s="383"/>
    </row>
    <row r="45" spans="1:54" ht="15" customHeight="1" thickBot="1">
      <c r="A45" s="16"/>
      <c r="B45" s="4"/>
      <c r="C45" s="4"/>
      <c r="D45" s="4"/>
      <c r="E45" s="4"/>
      <c r="F45" s="7"/>
      <c r="G45" s="694"/>
      <c r="H45" s="690"/>
      <c r="I45" s="690"/>
      <c r="J45" s="695"/>
      <c r="K45" s="4"/>
      <c r="L45" s="4"/>
      <c r="M45" s="4"/>
      <c r="N45" s="7"/>
      <c r="O45" s="4"/>
      <c r="P45" s="4"/>
      <c r="Q45" s="12"/>
      <c r="R45" s="7"/>
      <c r="S45" s="4"/>
      <c r="T45" s="4"/>
      <c r="U45" s="4"/>
      <c r="V45" s="4"/>
      <c r="X45" s="696"/>
      <c r="Y45" s="696"/>
      <c r="Z45" s="696"/>
      <c r="AA45" s="380"/>
      <c r="AG45" s="304"/>
      <c r="AI45" s="270"/>
      <c r="AJ45" s="270"/>
      <c r="AK45" s="270"/>
      <c r="AL45" s="692"/>
      <c r="AP45" s="303"/>
      <c r="AT45" s="303"/>
      <c r="AX45" s="692"/>
      <c r="BA45" s="697"/>
      <c r="BB45" s="303"/>
    </row>
    <row r="46" spans="1:58" ht="18" customHeight="1" thickBot="1" thickTop="1">
      <c r="A46" s="16" t="s">
        <v>33</v>
      </c>
      <c r="B46" s="4"/>
      <c r="C46" s="87">
        <f>SUM(C15:C43)</f>
        <v>20446</v>
      </c>
      <c r="D46" s="88">
        <f>SUM(D15:D45)</f>
        <v>19365</v>
      </c>
      <c r="E46" s="88">
        <f>SUM(E15:E43)</f>
        <v>17931</v>
      </c>
      <c r="F46" s="89">
        <f>E46/D46*100</f>
        <v>92.59488768396592</v>
      </c>
      <c r="G46" s="87"/>
      <c r="H46" s="460">
        <f>SUM(H14:H43)</f>
        <v>195</v>
      </c>
      <c r="I46" s="461">
        <f>SUM(I15:I43)</f>
        <v>210</v>
      </c>
      <c r="J46" s="89">
        <f>I46/H46*100</f>
        <v>107.6923076923077</v>
      </c>
      <c r="K46" s="462">
        <f>SUM(K15:K43)</f>
        <v>10</v>
      </c>
      <c r="L46" s="88">
        <f>SUM(L15:L43)</f>
        <v>95</v>
      </c>
      <c r="M46" s="88">
        <f>SUM(M15:M43)</f>
        <v>86</v>
      </c>
      <c r="N46" s="89">
        <f>M46/L46*100</f>
        <v>90.52631578947368</v>
      </c>
      <c r="O46" s="87">
        <f>SUM(O15:O43)</f>
        <v>20080</v>
      </c>
      <c r="P46" s="88">
        <f>SUM(P15:P43)</f>
        <v>18677</v>
      </c>
      <c r="Q46" s="88">
        <f>SUM(Q15:Q43)</f>
        <v>17241</v>
      </c>
      <c r="R46" s="89">
        <f>Q46/P46*100</f>
        <v>92.31139904695614</v>
      </c>
      <c r="S46" s="87">
        <f>SUM(S15:S43)</f>
        <v>356</v>
      </c>
      <c r="T46" s="88">
        <f>SUM(T15:T43)</f>
        <v>398</v>
      </c>
      <c r="U46" s="88">
        <f>SUM(U15:U43)</f>
        <v>394</v>
      </c>
      <c r="V46" s="89">
        <f>U46/T46*100</f>
        <v>98.99497487437185</v>
      </c>
      <c r="W46" s="390"/>
      <c r="X46" s="472">
        <f>SUM(X15:X45)</f>
        <v>134213</v>
      </c>
      <c r="Y46" s="472">
        <f>SUM(Y15:Y45)</f>
        <v>225065</v>
      </c>
      <c r="Z46" s="472">
        <f>SUM(Z15:Z45)</f>
        <v>229345</v>
      </c>
      <c r="AA46" s="382">
        <f>SUM(AA15:AA45)</f>
        <v>229345148</v>
      </c>
      <c r="AB46" s="473"/>
      <c r="AE46" s="473"/>
      <c r="AG46" s="304" t="s">
        <v>33</v>
      </c>
      <c r="AI46" s="474">
        <f>SUM(AI15:AI43)</f>
        <v>0</v>
      </c>
      <c r="AJ46" s="475">
        <f>SUM(AJ15:AJ43)</f>
        <v>0</v>
      </c>
      <c r="AK46" s="475">
        <f>SUM(AK15:AK43)</f>
        <v>40353</v>
      </c>
      <c r="AL46" s="476">
        <v>0</v>
      </c>
      <c r="AM46" s="477">
        <f>SUM(AM15:AM43)</f>
        <v>0</v>
      </c>
      <c r="AN46" s="478">
        <f>SUM(AN15:AN43)</f>
        <v>0</v>
      </c>
      <c r="AO46" s="478">
        <f>SUM(AO15:AO43)</f>
        <v>0</v>
      </c>
      <c r="AP46" s="476">
        <v>0</v>
      </c>
      <c r="AQ46" s="477">
        <f>SUM(AQ15:AQ43)</f>
        <v>44870</v>
      </c>
      <c r="AR46" s="478">
        <f>SUM(AR15:AR43)</f>
        <v>0</v>
      </c>
      <c r="AS46" s="478">
        <f>SUM(AS15:AS43)</f>
        <v>22872</v>
      </c>
      <c r="AT46" s="476">
        <f>AS46/AQ46*100</f>
        <v>50.97392467127256</v>
      </c>
      <c r="AU46" s="477">
        <f>SUM(AU15:AU43)</f>
        <v>0</v>
      </c>
      <c r="AV46" s="478">
        <f>SUM(AV15:AV43)</f>
        <v>0</v>
      </c>
      <c r="AW46" s="478">
        <f>SUM(AW15:AW43)</f>
        <v>104</v>
      </c>
      <c r="AX46" s="476">
        <v>0</v>
      </c>
      <c r="AY46" s="477">
        <f>SUM(AY15:AY43)</f>
        <v>44023</v>
      </c>
      <c r="AZ46" s="478">
        <f>SUM(AZ15:AZ43)</f>
        <v>0</v>
      </c>
      <c r="BA46" s="478">
        <f>SUM(BA15:BA43)</f>
        <v>22563</v>
      </c>
      <c r="BB46" s="476">
        <f>BA46/AY46*100</f>
        <v>51.25275424210072</v>
      </c>
      <c r="BC46" s="477">
        <f>SUM(BC15:BC43)</f>
        <v>847</v>
      </c>
      <c r="BD46" s="478">
        <f>SUM(BD15:BD43)</f>
        <v>0</v>
      </c>
      <c r="BE46" s="478">
        <f>SUM(BE15:BE43)</f>
        <v>205</v>
      </c>
      <c r="BF46" s="476">
        <f>BE46/BC46*100</f>
        <v>24.20306965761511</v>
      </c>
    </row>
    <row r="47" spans="4:28" ht="15.75" customHeight="1">
      <c r="D47" s="100"/>
      <c r="M47" s="698"/>
      <c r="Q47" s="84"/>
      <c r="X47" s="210"/>
      <c r="Y47" s="699"/>
      <c r="Z47" s="210"/>
      <c r="AA47" s="383"/>
      <c r="AB47" s="195"/>
    </row>
    <row r="48" spans="3:27" s="459" customFormat="1" ht="19.5" customHeight="1">
      <c r="C48" s="459">
        <v>20446</v>
      </c>
      <c r="D48" s="459">
        <v>19365</v>
      </c>
      <c r="E48" s="459">
        <v>17931</v>
      </c>
      <c r="H48" s="459">
        <v>195000</v>
      </c>
      <c r="I48" s="459">
        <v>210163</v>
      </c>
      <c r="K48" s="459">
        <v>10000</v>
      </c>
      <c r="L48" s="459">
        <v>95000</v>
      </c>
      <c r="M48" s="459">
        <v>86246</v>
      </c>
      <c r="O48" s="459">
        <v>20080000</v>
      </c>
      <c r="P48" s="459">
        <v>18677000</v>
      </c>
      <c r="Q48" s="459">
        <v>17241484</v>
      </c>
      <c r="S48" s="459">
        <v>356000</v>
      </c>
      <c r="T48" s="459">
        <v>398000</v>
      </c>
      <c r="U48" s="459">
        <v>394242</v>
      </c>
      <c r="X48" s="459">
        <v>134213</v>
      </c>
      <c r="Y48" s="459">
        <v>225065</v>
      </c>
      <c r="Z48" s="459">
        <v>229345</v>
      </c>
      <c r="AA48" s="106">
        <v>229345159</v>
      </c>
    </row>
    <row r="49" spans="4:26" ht="15.75" customHeight="1">
      <c r="D49" s="106"/>
      <c r="E49" s="6">
        <f>E48-E46</f>
        <v>0</v>
      </c>
      <c r="I49" s="6">
        <f>I48/1000-I46</f>
        <v>0.16300000000001091</v>
      </c>
      <c r="M49" s="6">
        <f>M48/1000-M46</f>
        <v>0.2459999999999951</v>
      </c>
      <c r="Q49" s="6">
        <f>Q48/1000-Q46</f>
        <v>0.48400000000037835</v>
      </c>
      <c r="U49" s="6">
        <f>U48/1000-U46</f>
        <v>0.24200000000001864</v>
      </c>
      <c r="X49" s="210"/>
      <c r="Y49" s="210"/>
      <c r="Z49" s="700"/>
    </row>
    <row r="50" spans="4:26" ht="15.75" customHeight="1">
      <c r="D50" s="459"/>
      <c r="X50" s="210"/>
      <c r="Y50" s="210"/>
      <c r="Z50" s="210"/>
    </row>
    <row r="51" spans="3:26" ht="18.75" customHeight="1">
      <c r="C51" s="6"/>
      <c r="D51" s="6"/>
      <c r="E51" s="6"/>
      <c r="X51" s="210"/>
      <c r="Y51" s="210"/>
      <c r="Z51" s="210"/>
    </row>
    <row r="52" spans="12:26" ht="15.75" customHeight="1">
      <c r="L52" s="459"/>
      <c r="X52" s="210"/>
      <c r="Y52" s="210"/>
      <c r="Z52" s="210"/>
    </row>
    <row r="53" spans="24:26" ht="15.75" customHeight="1">
      <c r="X53" s="210"/>
      <c r="Y53" s="210"/>
      <c r="Z53" s="210"/>
    </row>
    <row r="55" spans="24:26" ht="16.5" customHeight="1">
      <c r="X55" s="210"/>
      <c r="Y55" s="210"/>
      <c r="Z55" s="210"/>
    </row>
    <row r="56" spans="23:26" ht="15">
      <c r="W56" s="169"/>
      <c r="X56" s="200"/>
      <c r="Y56" s="210"/>
      <c r="Z56" s="210"/>
    </row>
    <row r="57" spans="23:26" ht="15">
      <c r="W57" s="169"/>
      <c r="X57" s="200"/>
      <c r="Y57" s="200"/>
      <c r="Z57" s="210"/>
    </row>
    <row r="58" spans="23:26" ht="15">
      <c r="W58" s="169"/>
      <c r="X58" s="200"/>
      <c r="Y58" s="200"/>
      <c r="Z58" s="200"/>
    </row>
    <row r="59" spans="23:26" ht="15.75" customHeight="1">
      <c r="W59" s="239"/>
      <c r="X59" s="240"/>
      <c r="Y59" s="240"/>
      <c r="Z59" s="240"/>
    </row>
    <row r="60" spans="23:26" ht="15">
      <c r="W60" s="169"/>
      <c r="X60" s="200"/>
      <c r="Y60" s="200"/>
      <c r="Z60" s="200"/>
    </row>
    <row r="61" spans="23:26" ht="15">
      <c r="W61" s="251"/>
      <c r="X61" s="702"/>
      <c r="Y61" s="702"/>
      <c r="Z61" s="702"/>
    </row>
    <row r="62" spans="7:26" ht="15.75" customHeight="1">
      <c r="G62" s="703"/>
      <c r="W62" s="251"/>
      <c r="X62" s="702"/>
      <c r="Y62" s="702"/>
      <c r="Z62" s="702"/>
    </row>
    <row r="63" spans="23:26" ht="15.75" customHeight="1">
      <c r="W63" s="251"/>
      <c r="X63" s="702"/>
      <c r="Y63" s="702"/>
      <c r="Z63" s="702"/>
    </row>
    <row r="64" spans="23:26" ht="15.75" customHeight="1">
      <c r="W64" s="215"/>
      <c r="X64" s="200"/>
      <c r="Y64" s="200"/>
      <c r="Z64" s="200"/>
    </row>
    <row r="65" spans="7:26" ht="16.5">
      <c r="G65" s="703"/>
      <c r="W65" s="390"/>
      <c r="X65" s="704"/>
      <c r="Y65" s="704"/>
      <c r="Z65" s="704"/>
    </row>
    <row r="66" spans="23:26" ht="15.75" customHeight="1">
      <c r="W66" s="705"/>
      <c r="X66" s="706"/>
      <c r="Y66" s="706"/>
      <c r="Z66" s="706"/>
    </row>
    <row r="67" spans="23:26" ht="15.75" customHeight="1">
      <c r="W67" s="705"/>
      <c r="X67" s="706"/>
      <c r="Y67" s="706"/>
      <c r="Z67" s="706"/>
    </row>
    <row r="68" spans="23:26" ht="15.75" customHeight="1">
      <c r="W68" s="390"/>
      <c r="X68" s="704"/>
      <c r="Y68" s="704"/>
      <c r="Z68" s="704"/>
    </row>
    <row r="69" spans="23:26" ht="15.75" customHeight="1">
      <c r="W69" s="390"/>
      <c r="X69" s="704"/>
      <c r="Y69" s="704"/>
      <c r="Z69" s="704"/>
    </row>
    <row r="70" spans="23:26" ht="15.75" customHeight="1">
      <c r="W70" s="705"/>
      <c r="X70" s="706"/>
      <c r="Y70" s="706"/>
      <c r="Z70" s="706"/>
    </row>
    <row r="71" spans="23:26" ht="15.75" customHeight="1">
      <c r="W71" s="705"/>
      <c r="X71" s="706"/>
      <c r="Y71" s="706"/>
      <c r="Z71" s="706"/>
    </row>
    <row r="72" spans="23:26" ht="15.75" customHeight="1">
      <c r="W72" s="705"/>
      <c r="X72" s="706"/>
      <c r="Y72" s="706"/>
      <c r="Z72" s="706"/>
    </row>
    <row r="73" spans="23:26" ht="15.75" customHeight="1">
      <c r="W73" s="705"/>
      <c r="X73" s="706"/>
      <c r="Y73" s="706"/>
      <c r="Z73" s="706"/>
    </row>
    <row r="74" spans="23:26" ht="15.75" customHeight="1">
      <c r="W74" s="390"/>
      <c r="X74" s="704"/>
      <c r="Y74" s="704"/>
      <c r="Z74" s="704"/>
    </row>
    <row r="75" spans="23:26" ht="15.75" customHeight="1">
      <c r="W75" s="390"/>
      <c r="X75" s="704"/>
      <c r="Y75" s="704"/>
      <c r="Z75" s="704"/>
    </row>
    <row r="76" spans="23:26" ht="15.75" customHeight="1">
      <c r="W76" s="390"/>
      <c r="X76" s="704"/>
      <c r="Y76" s="704"/>
      <c r="Z76" s="704"/>
    </row>
    <row r="77" spans="23:26" ht="15.75" customHeight="1">
      <c r="W77" s="390"/>
      <c r="X77" s="704"/>
      <c r="Y77" s="704"/>
      <c r="Z77" s="704"/>
    </row>
    <row r="78" spans="23:26" ht="15.75" customHeight="1">
      <c r="W78" s="705"/>
      <c r="X78" s="706"/>
      <c r="Y78" s="706"/>
      <c r="Z78" s="706"/>
    </row>
    <row r="79" spans="23:26" ht="15.75" customHeight="1">
      <c r="W79" s="390"/>
      <c r="X79" s="704"/>
      <c r="Y79" s="704"/>
      <c r="Z79" s="704"/>
    </row>
    <row r="80" spans="23:26" ht="15.75" customHeight="1">
      <c r="W80" s="705"/>
      <c r="X80" s="706"/>
      <c r="Y80" s="706"/>
      <c r="Z80" s="706"/>
    </row>
    <row r="81" spans="23:26" ht="15.75" customHeight="1">
      <c r="W81" s="390"/>
      <c r="X81" s="704"/>
      <c r="Y81" s="704"/>
      <c r="Z81" s="704"/>
    </row>
    <row r="82" spans="23:26" ht="15.75" customHeight="1">
      <c r="W82" s="705"/>
      <c r="X82" s="706"/>
      <c r="Y82" s="706"/>
      <c r="Z82" s="706"/>
    </row>
    <row r="83" spans="23:26" ht="15.75" customHeight="1">
      <c r="W83" s="390"/>
      <c r="X83" s="704"/>
      <c r="Y83" s="704"/>
      <c r="Z83" s="704"/>
    </row>
    <row r="84" spans="23:26" ht="15.75" customHeight="1">
      <c r="W84" s="705"/>
      <c r="X84" s="706"/>
      <c r="Y84" s="706"/>
      <c r="Z84" s="706"/>
    </row>
    <row r="85" spans="23:26" ht="15.75" customHeight="1">
      <c r="W85" s="705"/>
      <c r="X85" s="706"/>
      <c r="Y85" s="706"/>
      <c r="Z85" s="706"/>
    </row>
    <row r="86" spans="23:26" ht="15.75" customHeight="1">
      <c r="W86" s="390"/>
      <c r="X86" s="704"/>
      <c r="Y86" s="704"/>
      <c r="Z86" s="704"/>
    </row>
    <row r="87" spans="23:26" ht="15.75" customHeight="1">
      <c r="W87" s="390"/>
      <c r="X87" s="704"/>
      <c r="Y87" s="704"/>
      <c r="Z87" s="704"/>
    </row>
    <row r="88" spans="23:26" ht="15.75" customHeight="1">
      <c r="W88" s="390"/>
      <c r="X88" s="704"/>
      <c r="Y88" s="704"/>
      <c r="Z88" s="704"/>
    </row>
    <row r="89" spans="23:26" ht="15.75" customHeight="1">
      <c r="W89" s="390"/>
      <c r="X89" s="704"/>
      <c r="Y89" s="704"/>
      <c r="Z89" s="704"/>
    </row>
    <row r="90" spans="23:26" ht="15.75" customHeight="1">
      <c r="W90" s="705"/>
      <c r="X90" s="706"/>
      <c r="Y90" s="706"/>
      <c r="Z90" s="706"/>
    </row>
    <row r="91" spans="23:26" ht="15.75" customHeight="1">
      <c r="W91" s="705"/>
      <c r="X91" s="706"/>
      <c r="Y91" s="706"/>
      <c r="Z91" s="706"/>
    </row>
    <row r="92" spans="23:26" ht="15.75" customHeight="1">
      <c r="W92" s="705"/>
      <c r="X92" s="706"/>
      <c r="Y92" s="706"/>
      <c r="Z92" s="706"/>
    </row>
    <row r="93" spans="23:26" ht="15.75" customHeight="1">
      <c r="W93" s="705"/>
      <c r="X93" s="706"/>
      <c r="Y93" s="706"/>
      <c r="Z93" s="706"/>
    </row>
    <row r="94" spans="23:26" ht="15.75" customHeight="1">
      <c r="W94" s="169"/>
      <c r="X94" s="707"/>
      <c r="Y94" s="707"/>
      <c r="Z94" s="707"/>
    </row>
    <row r="95" ht="15.75" customHeight="1"/>
    <row r="96" ht="15.75" customHeight="1"/>
    <row r="97" ht="15.75" customHeight="1"/>
    <row r="98" spans="23:26" ht="15.75" customHeight="1">
      <c r="W98" s="390"/>
      <c r="X98" s="704"/>
      <c r="Y98" s="704"/>
      <c r="Z98" s="704"/>
    </row>
    <row r="99" ht="15.75" customHeight="1"/>
    <row r="100" ht="15.75" customHeight="1"/>
    <row r="101" ht="15.75" customHeight="1"/>
    <row r="107" ht="15.75" customHeight="1"/>
    <row r="110" ht="15.75" customHeight="1"/>
    <row r="111" ht="15.75" customHeight="1"/>
    <row r="112" ht="15.75" customHeight="1">
      <c r="AA112" s="383"/>
    </row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</sheetData>
  <mergeCells count="9">
    <mergeCell ref="A2:V2"/>
    <mergeCell ref="X12:Z12"/>
    <mergeCell ref="G9:J9"/>
    <mergeCell ref="K8:N8"/>
    <mergeCell ref="K9:N9"/>
    <mergeCell ref="G12:J12"/>
    <mergeCell ref="K12:N12"/>
    <mergeCell ref="O12:R12"/>
    <mergeCell ref="S12:V12"/>
  </mergeCells>
  <printOptions horizontalCentered="1" verticalCentered="1"/>
  <pageMargins left="0.1968503937007874" right="0.1968503937007874" top="0.7480314960629921" bottom="0.7480314960629921" header="0.5118110236220472" footer="0.5118110236220472"/>
  <pageSetup horizontalDpi="180" verticalDpi="18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W270"/>
  <sheetViews>
    <sheetView showZeros="0" workbookViewId="0" topLeftCell="A1">
      <pane xSplit="1" ySplit="10" topLeftCell="F29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J3" sqref="J3"/>
    </sheetView>
  </sheetViews>
  <sheetFormatPr defaultColWidth="9.796875" defaultRowHeight="15"/>
  <cols>
    <col min="1" max="1" width="9.796875" style="2" customWidth="1"/>
    <col min="2" max="2" width="13.796875" style="2" customWidth="1"/>
    <col min="3" max="10" width="18.796875" style="2" customWidth="1"/>
    <col min="11" max="11" width="4.19921875" style="2" customWidth="1"/>
    <col min="12" max="12" width="11.796875" style="2" customWidth="1"/>
    <col min="13" max="13" width="9.19921875" style="2" customWidth="1"/>
    <col min="14" max="14" width="9.69921875" style="2" customWidth="1"/>
    <col min="15" max="15" width="3.3984375" style="2" customWidth="1"/>
    <col min="16" max="17" width="7.796875" style="55" customWidth="1"/>
    <col min="18" max="18" width="10.8984375" style="55" bestFit="1" customWidth="1"/>
    <col min="19" max="19" width="12.69921875" style="56" customWidth="1"/>
    <col min="20" max="20" width="9.796875" style="55" customWidth="1"/>
    <col min="21" max="21" width="16.796875" style="55" customWidth="1"/>
    <col min="22" max="29" width="12.796875" style="55" customWidth="1"/>
    <col min="30" max="16384" width="9.796875" style="55" customWidth="1"/>
  </cols>
  <sheetData>
    <row r="1" spans="1:19" s="2" customFormat="1" ht="17.25" customHeight="1">
      <c r="A1" s="16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S1" s="6"/>
    </row>
    <row r="2" spans="1:19" s="2" customFormat="1" ht="24" customHeight="1">
      <c r="A2" s="824" t="s">
        <v>315</v>
      </c>
      <c r="B2" s="824"/>
      <c r="C2" s="824"/>
      <c r="D2" s="824"/>
      <c r="E2" s="824"/>
      <c r="F2" s="824"/>
      <c r="G2" s="824"/>
      <c r="H2" s="824"/>
      <c r="I2" s="824"/>
      <c r="J2" s="824"/>
      <c r="K2" s="58"/>
      <c r="L2" s="58"/>
      <c r="M2" s="58"/>
      <c r="N2" s="58"/>
      <c r="O2" s="58"/>
      <c r="P2" s="58"/>
      <c r="Q2" s="58"/>
      <c r="R2" s="58"/>
      <c r="S2" s="6"/>
    </row>
    <row r="3" spans="1:19" s="2" customFormat="1" ht="15" customHeight="1">
      <c r="A3" s="4"/>
      <c r="B3" s="4"/>
      <c r="C3" s="4"/>
      <c r="D3" s="4"/>
      <c r="E3" s="4"/>
      <c r="F3" s="7"/>
      <c r="G3" s="4"/>
      <c r="H3" s="4"/>
      <c r="I3" s="7"/>
      <c r="J3" s="4"/>
      <c r="K3" s="4"/>
      <c r="L3" s="4"/>
      <c r="S3" s="6"/>
    </row>
    <row r="4" spans="1:19" s="2" customFormat="1" ht="21" customHeight="1">
      <c r="A4" s="837" t="s">
        <v>158</v>
      </c>
      <c r="B4" s="837"/>
      <c r="C4" s="837"/>
      <c r="D4" s="837"/>
      <c r="E4" s="837"/>
      <c r="F4" s="837"/>
      <c r="G4" s="837"/>
      <c r="H4" s="837"/>
      <c r="I4" s="837"/>
      <c r="J4" s="837"/>
      <c r="K4" s="167"/>
      <c r="L4" s="141"/>
      <c r="M4" s="192"/>
      <c r="S4" s="6"/>
    </row>
    <row r="5" spans="1:19" s="2" customFormat="1" ht="22.5" customHeight="1" thickBot="1">
      <c r="A5" s="3"/>
      <c r="B5" s="3"/>
      <c r="C5" s="3"/>
      <c r="D5" s="3"/>
      <c r="E5" s="3"/>
      <c r="F5" s="3"/>
      <c r="G5" s="3"/>
      <c r="H5" s="16"/>
      <c r="I5" s="15"/>
      <c r="J5" s="775" t="s">
        <v>159</v>
      </c>
      <c r="K5" s="146"/>
      <c r="L5" s="141"/>
      <c r="M5" s="192"/>
      <c r="S5" s="6"/>
    </row>
    <row r="6" spans="1:23" s="2" customFormat="1" ht="22.5" customHeight="1" thickBot="1">
      <c r="A6" s="3"/>
      <c r="B6" s="3"/>
      <c r="C6" s="4"/>
      <c r="D6" s="47"/>
      <c r="E6" s="4"/>
      <c r="F6" s="4"/>
      <c r="G6" s="4"/>
      <c r="H6" s="47"/>
      <c r="I6" s="15"/>
      <c r="J6" s="775" t="s">
        <v>47</v>
      </c>
      <c r="K6" s="11"/>
      <c r="L6" s="146"/>
      <c r="P6" s="800" t="s">
        <v>263</v>
      </c>
      <c r="Q6" s="784"/>
      <c r="R6" s="785"/>
      <c r="S6" s="116"/>
      <c r="W6" s="195"/>
    </row>
    <row r="7" spans="1:19" s="2" customFormat="1" ht="18" customHeight="1">
      <c r="A7" s="18"/>
      <c r="B7" s="24"/>
      <c r="C7" s="122" t="s">
        <v>218</v>
      </c>
      <c r="D7" s="22"/>
      <c r="E7" s="22"/>
      <c r="F7" s="22"/>
      <c r="G7" s="817" t="s">
        <v>160</v>
      </c>
      <c r="H7" s="818"/>
      <c r="I7" s="818"/>
      <c r="J7" s="819"/>
      <c r="K7" s="256"/>
      <c r="L7" s="257"/>
      <c r="M7" s="253" t="s">
        <v>262</v>
      </c>
      <c r="N7" s="254"/>
      <c r="O7" s="48"/>
      <c r="P7" s="797" t="s">
        <v>264</v>
      </c>
      <c r="Q7" s="798"/>
      <c r="R7" s="799"/>
      <c r="S7" s="56"/>
    </row>
    <row r="8" spans="1:19" s="2" customFormat="1" ht="18" customHeight="1">
      <c r="A8" s="207" t="s">
        <v>161</v>
      </c>
      <c r="B8" s="124"/>
      <c r="C8" s="135" t="s">
        <v>0</v>
      </c>
      <c r="D8" s="136" t="s">
        <v>4</v>
      </c>
      <c r="E8" s="136" t="s">
        <v>5</v>
      </c>
      <c r="F8" s="259" t="s">
        <v>2</v>
      </c>
      <c r="G8" s="260" t="s">
        <v>0</v>
      </c>
      <c r="H8" s="136" t="s">
        <v>4</v>
      </c>
      <c r="I8" s="136" t="s">
        <v>5</v>
      </c>
      <c r="J8" s="261" t="s">
        <v>2</v>
      </c>
      <c r="K8" s="262"/>
      <c r="L8" s="786" t="s">
        <v>321</v>
      </c>
      <c r="M8" s="787"/>
      <c r="N8" s="788"/>
      <c r="O8" s="48"/>
      <c r="P8" s="432"/>
      <c r="Q8" s="115"/>
      <c r="R8" s="111"/>
      <c r="S8" s="114"/>
    </row>
    <row r="9" spans="1:19" s="2" customFormat="1" ht="18" customHeight="1" thickBot="1">
      <c r="A9" s="789" t="s">
        <v>162</v>
      </c>
      <c r="B9" s="790"/>
      <c r="C9" s="43" t="s">
        <v>1</v>
      </c>
      <c r="D9" s="44" t="s">
        <v>1</v>
      </c>
      <c r="E9" s="45" t="s">
        <v>320</v>
      </c>
      <c r="F9" s="45" t="s">
        <v>163</v>
      </c>
      <c r="G9" s="265" t="s">
        <v>1</v>
      </c>
      <c r="H9" s="162" t="s">
        <v>1</v>
      </c>
      <c r="I9" s="45" t="s">
        <v>320</v>
      </c>
      <c r="J9" s="266" t="s">
        <v>163</v>
      </c>
      <c r="K9" s="110"/>
      <c r="L9" s="267"/>
      <c r="M9" s="268"/>
      <c r="N9" s="269"/>
      <c r="O9" s="169"/>
      <c r="P9" s="433" t="s">
        <v>49</v>
      </c>
      <c r="Q9" s="434" t="s">
        <v>50</v>
      </c>
      <c r="R9" s="435" t="s">
        <v>184</v>
      </c>
      <c r="S9" s="114"/>
    </row>
    <row r="10" spans="1:18" ht="17.25" customHeight="1" thickBot="1">
      <c r="A10" s="14"/>
      <c r="B10" s="38"/>
      <c r="C10" s="832" t="s">
        <v>164</v>
      </c>
      <c r="D10" s="832"/>
      <c r="E10" s="832"/>
      <c r="F10" s="832"/>
      <c r="G10" s="816" t="s">
        <v>165</v>
      </c>
      <c r="H10" s="816"/>
      <c r="I10" s="816"/>
      <c r="J10" s="816"/>
      <c r="K10" s="14"/>
      <c r="L10" s="337" t="s">
        <v>49</v>
      </c>
      <c r="M10" s="338" t="s">
        <v>50</v>
      </c>
      <c r="N10" s="339" t="s">
        <v>59</v>
      </c>
      <c r="P10" s="112"/>
      <c r="Q10" s="112"/>
      <c r="R10" s="112"/>
    </row>
    <row r="11" spans="1:18" ht="17.25" customHeight="1" thickBot="1">
      <c r="A11" s="4"/>
      <c r="B11" s="4"/>
      <c r="C11" s="4" t="s">
        <v>35</v>
      </c>
      <c r="D11" s="4"/>
      <c r="E11" s="4"/>
      <c r="F11" s="4"/>
      <c r="G11" s="4"/>
      <c r="H11" s="4"/>
      <c r="I11" s="4"/>
      <c r="J11" s="4"/>
      <c r="K11" s="4"/>
      <c r="L11" s="465"/>
      <c r="M11" s="466"/>
      <c r="N11" s="466"/>
      <c r="O11" s="169"/>
      <c r="P11" s="117"/>
      <c r="Q11" s="118"/>
      <c r="R11" s="115"/>
    </row>
    <row r="12" spans="1:18" ht="16.5" customHeight="1">
      <c r="A12" s="65"/>
      <c r="B12" s="66"/>
      <c r="C12" s="67"/>
      <c r="D12" s="68"/>
      <c r="E12" s="68"/>
      <c r="F12" s="467"/>
      <c r="G12" s="67"/>
      <c r="H12" s="68"/>
      <c r="I12" s="68"/>
      <c r="J12" s="468"/>
      <c r="K12" s="469"/>
      <c r="L12" s="351"/>
      <c r="M12" s="263"/>
      <c r="N12" s="263"/>
      <c r="O12" s="169"/>
      <c r="P12" s="115"/>
      <c r="Q12" s="115"/>
      <c r="R12" s="115"/>
    </row>
    <row r="13" spans="1:20" s="2" customFormat="1" ht="16.5" customHeight="1">
      <c r="A13" s="72" t="s">
        <v>6</v>
      </c>
      <c r="B13" s="73"/>
      <c r="C13" s="74"/>
      <c r="D13" s="75"/>
      <c r="E13" s="102"/>
      <c r="F13" s="76"/>
      <c r="G13" s="74"/>
      <c r="H13" s="75"/>
      <c r="I13" s="75"/>
      <c r="J13" s="424"/>
      <c r="K13" s="425"/>
      <c r="L13" s="426">
        <f aca="true" t="shared" si="0" ref="L13:L43">SUM(C13+G13)</f>
        <v>0</v>
      </c>
      <c r="M13" s="426">
        <f aca="true" t="shared" si="1" ref="M13:M43">SUM(D13+H13)</f>
        <v>0</v>
      </c>
      <c r="N13" s="426">
        <f aca="true" t="shared" si="2" ref="N13:N43">SUM(E13+I13)</f>
        <v>0</v>
      </c>
      <c r="O13" s="427"/>
      <c r="P13" s="119">
        <f>'Příjmy '!C13+'Příjmy '!I13+'Příjmy '!M13</f>
        <v>120927</v>
      </c>
      <c r="Q13" s="119">
        <f>'Příjmy '!D13+'Příjmy '!J13+'Příjmy '!N13</f>
        <v>145599</v>
      </c>
      <c r="R13" s="119">
        <f>'Příjmy '!E13+'Příjmy '!K13+'Příjmy '!O13</f>
        <v>135432</v>
      </c>
      <c r="S13" s="56">
        <v>135433503</v>
      </c>
      <c r="T13" s="464">
        <f>(S13/1000)-R13</f>
        <v>1.5029999999969732</v>
      </c>
    </row>
    <row r="14" spans="1:20" ht="16.5" customHeight="1">
      <c r="A14" s="72" t="s">
        <v>7</v>
      </c>
      <c r="B14" s="77"/>
      <c r="C14" s="74"/>
      <c r="D14" s="75"/>
      <c r="E14" s="102"/>
      <c r="F14" s="76"/>
      <c r="G14" s="74"/>
      <c r="H14" s="75"/>
      <c r="I14" s="75"/>
      <c r="J14" s="424"/>
      <c r="K14" s="425"/>
      <c r="L14" s="426">
        <f t="shared" si="0"/>
        <v>0</v>
      </c>
      <c r="M14" s="426">
        <f t="shared" si="1"/>
        <v>0</v>
      </c>
      <c r="N14" s="426">
        <f t="shared" si="2"/>
        <v>0</v>
      </c>
      <c r="O14" s="427"/>
      <c r="P14" s="119">
        <f>'Příjmy '!C14+'Příjmy '!I14+'Příjmy '!M14</f>
        <v>10586</v>
      </c>
      <c r="Q14" s="119">
        <f>'Příjmy '!D14+'Příjmy '!J14+'Příjmy '!N14</f>
        <v>14104</v>
      </c>
      <c r="R14" s="119">
        <f>'Příjmy '!E14+'Příjmy '!K14+'Příjmy '!O14</f>
        <v>14781</v>
      </c>
      <c r="S14" s="56">
        <v>14779897</v>
      </c>
      <c r="T14" s="56">
        <f aca="true" t="shared" si="3" ref="T14:T41">(S14/1000)-R14</f>
        <v>-1.102999999999156</v>
      </c>
    </row>
    <row r="15" spans="1:20" s="2" customFormat="1" ht="16.5" customHeight="1">
      <c r="A15" s="72" t="s">
        <v>8</v>
      </c>
      <c r="B15" s="77"/>
      <c r="C15" s="74"/>
      <c r="D15" s="75"/>
      <c r="E15" s="102"/>
      <c r="F15" s="76"/>
      <c r="G15" s="74"/>
      <c r="H15" s="75"/>
      <c r="I15" s="75"/>
      <c r="J15" s="424"/>
      <c r="K15" s="425"/>
      <c r="L15" s="426">
        <f t="shared" si="0"/>
        <v>0</v>
      </c>
      <c r="M15" s="426">
        <f t="shared" si="1"/>
        <v>0</v>
      </c>
      <c r="N15" s="426">
        <f t="shared" si="2"/>
        <v>0</v>
      </c>
      <c r="O15" s="427"/>
      <c r="P15" s="119">
        <f>'Příjmy '!C15+'Příjmy '!I15+'Příjmy '!M15</f>
        <v>7183</v>
      </c>
      <c r="Q15" s="119">
        <f>'Příjmy '!D15+'Příjmy '!J15+'Příjmy '!N15</f>
        <v>13633</v>
      </c>
      <c r="R15" s="119">
        <f>'Příjmy '!E15+'Příjmy '!K15+'Příjmy '!O15</f>
        <v>13949</v>
      </c>
      <c r="S15" s="56">
        <v>13949375</v>
      </c>
      <c r="T15" s="6">
        <f t="shared" si="3"/>
        <v>0.375</v>
      </c>
    </row>
    <row r="16" spans="1:20" ht="16.5" customHeight="1">
      <c r="A16" s="72" t="s">
        <v>9</v>
      </c>
      <c r="B16" s="77"/>
      <c r="C16" s="74"/>
      <c r="D16" s="75"/>
      <c r="E16" s="102"/>
      <c r="F16" s="76"/>
      <c r="G16" s="74"/>
      <c r="H16" s="75"/>
      <c r="I16" s="75"/>
      <c r="J16" s="429"/>
      <c r="K16" s="425"/>
      <c r="L16" s="426">
        <f t="shared" si="0"/>
        <v>0</v>
      </c>
      <c r="M16" s="426">
        <f t="shared" si="1"/>
        <v>0</v>
      </c>
      <c r="N16" s="426">
        <f t="shared" si="2"/>
        <v>0</v>
      </c>
      <c r="O16" s="427"/>
      <c r="P16" s="119">
        <f>'Příjmy '!C16+'Příjmy '!I16+'Příjmy '!M16</f>
        <v>3680</v>
      </c>
      <c r="Q16" s="119">
        <f>'Příjmy '!D16+'Příjmy '!J16+'Příjmy '!N16</f>
        <v>7763</v>
      </c>
      <c r="R16" s="119">
        <f>'Příjmy '!E16+'Příjmy '!K16+'Příjmy '!O16</f>
        <v>8395</v>
      </c>
      <c r="S16" s="56">
        <v>8396327</v>
      </c>
      <c r="T16" s="56">
        <f t="shared" si="3"/>
        <v>1.326999999999316</v>
      </c>
    </row>
    <row r="17" spans="1:20" ht="16.5" customHeight="1">
      <c r="A17" s="72" t="s">
        <v>10</v>
      </c>
      <c r="B17" s="77"/>
      <c r="C17" s="74"/>
      <c r="D17" s="75"/>
      <c r="E17" s="102"/>
      <c r="F17" s="76"/>
      <c r="G17" s="74"/>
      <c r="I17" s="431"/>
      <c r="J17" s="430"/>
      <c r="K17" s="425"/>
      <c r="L17" s="426">
        <f t="shared" si="0"/>
        <v>0</v>
      </c>
      <c r="M17" s="426">
        <f t="shared" si="1"/>
        <v>0</v>
      </c>
      <c r="N17" s="426">
        <f t="shared" si="2"/>
        <v>0</v>
      </c>
      <c r="O17" s="427"/>
      <c r="P17" s="119">
        <f>'Příjmy '!C17+'Příjmy '!I17+'Příjmy '!M17</f>
        <v>6725</v>
      </c>
      <c r="Q17" s="119">
        <f>'Příjmy '!D17+'Příjmy '!J17+'Příjmy '!N17</f>
        <v>11298</v>
      </c>
      <c r="R17" s="119">
        <f>'Příjmy '!E17+'Příjmy '!K17+'Příjmy '!O17</f>
        <v>11916</v>
      </c>
      <c r="S17" s="56">
        <v>11914842</v>
      </c>
      <c r="T17" s="56">
        <f t="shared" si="3"/>
        <v>-1.157999999999447</v>
      </c>
    </row>
    <row r="18" spans="1:20" s="2" customFormat="1" ht="16.5" customHeight="1">
      <c r="A18" s="72" t="s">
        <v>11</v>
      </c>
      <c r="B18" s="77"/>
      <c r="C18" s="74"/>
      <c r="D18" s="75"/>
      <c r="E18" s="102"/>
      <c r="F18" s="76"/>
      <c r="G18" s="74"/>
      <c r="H18" s="75">
        <v>248</v>
      </c>
      <c r="I18" s="75">
        <v>248</v>
      </c>
      <c r="J18" s="76">
        <f>I18/H18*100</f>
        <v>100</v>
      </c>
      <c r="K18" s="425"/>
      <c r="L18" s="426">
        <f t="shared" si="0"/>
        <v>0</v>
      </c>
      <c r="M18" s="426">
        <f t="shared" si="1"/>
        <v>248</v>
      </c>
      <c r="N18" s="426">
        <f t="shared" si="2"/>
        <v>248</v>
      </c>
      <c r="O18" s="427"/>
      <c r="P18" s="119">
        <f>'Příjmy '!C18+'Příjmy '!I18+'Příjmy '!M18</f>
        <v>4289</v>
      </c>
      <c r="Q18" s="119">
        <f>'Příjmy '!D18+'Příjmy '!J18+'Příjmy '!N18</f>
        <v>5086</v>
      </c>
      <c r="R18" s="119">
        <f>'Příjmy '!E18+'Příjmy '!K18+'Příjmy '!O18</f>
        <v>5185</v>
      </c>
      <c r="S18" s="56">
        <v>5185095</v>
      </c>
      <c r="T18" s="6">
        <f t="shared" si="3"/>
        <v>0.09500000000025466</v>
      </c>
    </row>
    <row r="19" spans="1:20" s="2" customFormat="1" ht="16.5" customHeight="1">
      <c r="A19" s="72" t="s">
        <v>242</v>
      </c>
      <c r="B19" s="77"/>
      <c r="C19" s="74"/>
      <c r="D19" s="75"/>
      <c r="E19" s="102"/>
      <c r="F19" s="76"/>
      <c r="G19" s="74"/>
      <c r="H19" s="75"/>
      <c r="I19" s="75"/>
      <c r="J19" s="424"/>
      <c r="K19" s="425"/>
      <c r="L19" s="426">
        <f t="shared" si="0"/>
        <v>0</v>
      </c>
      <c r="M19" s="426">
        <f t="shared" si="1"/>
        <v>0</v>
      </c>
      <c r="N19" s="426">
        <f t="shared" si="2"/>
        <v>0</v>
      </c>
      <c r="O19" s="427"/>
      <c r="P19" s="119">
        <f>'Příjmy '!C19+'Příjmy '!I19+'Příjmy '!M19</f>
        <v>29318</v>
      </c>
      <c r="Q19" s="119">
        <f>'Příjmy '!D19+'Příjmy '!J19+'Příjmy '!N19</f>
        <v>27955</v>
      </c>
      <c r="R19" s="119">
        <f>'Příjmy '!E19+'Příjmy '!K19+'Příjmy '!O19</f>
        <v>26962</v>
      </c>
      <c r="S19" s="56">
        <v>26961400</v>
      </c>
      <c r="T19" s="464">
        <f t="shared" si="3"/>
        <v>-0.5999999999985448</v>
      </c>
    </row>
    <row r="20" spans="1:20" ht="16.5" customHeight="1">
      <c r="A20" s="72" t="s">
        <v>13</v>
      </c>
      <c r="B20" s="77"/>
      <c r="C20" s="74"/>
      <c r="D20" s="75">
        <v>50</v>
      </c>
      <c r="E20" s="102">
        <v>50</v>
      </c>
      <c r="F20" s="76">
        <f>E20/D20*100</f>
        <v>100</v>
      </c>
      <c r="G20" s="74"/>
      <c r="H20" s="75">
        <v>3</v>
      </c>
      <c r="I20" s="75">
        <v>3</v>
      </c>
      <c r="J20" s="76">
        <f>I20/H20*100</f>
        <v>100</v>
      </c>
      <c r="K20" s="425"/>
      <c r="L20" s="426">
        <f t="shared" si="0"/>
        <v>0</v>
      </c>
      <c r="M20" s="426">
        <f t="shared" si="1"/>
        <v>53</v>
      </c>
      <c r="N20" s="426">
        <f t="shared" si="2"/>
        <v>53</v>
      </c>
      <c r="O20" s="427"/>
      <c r="P20" s="119">
        <f>'Příjmy '!C20+'Příjmy '!I20+'Příjmy '!M20</f>
        <v>18591</v>
      </c>
      <c r="Q20" s="119">
        <f>'Příjmy '!D20+'Příjmy '!J20+'Příjmy '!N20</f>
        <v>24280</v>
      </c>
      <c r="R20" s="119">
        <f>'Příjmy '!E20+'Příjmy '!K20+'Příjmy '!O20</f>
        <v>24567</v>
      </c>
      <c r="S20" s="56">
        <v>24565643</v>
      </c>
      <c r="T20" s="56">
        <f t="shared" si="3"/>
        <v>-1.356999999999971</v>
      </c>
    </row>
    <row r="21" spans="1:20" ht="16.5" customHeight="1">
      <c r="A21" s="72" t="s">
        <v>14</v>
      </c>
      <c r="B21" s="77"/>
      <c r="C21" s="74"/>
      <c r="D21" s="75"/>
      <c r="E21" s="102"/>
      <c r="F21" s="76"/>
      <c r="G21" s="74"/>
      <c r="H21" s="75"/>
      <c r="I21" s="75"/>
      <c r="J21" s="424"/>
      <c r="K21" s="425"/>
      <c r="L21" s="426">
        <f t="shared" si="0"/>
        <v>0</v>
      </c>
      <c r="M21" s="426">
        <f t="shared" si="1"/>
        <v>0</v>
      </c>
      <c r="N21" s="426">
        <f t="shared" si="2"/>
        <v>0</v>
      </c>
      <c r="O21" s="427"/>
      <c r="P21" s="119">
        <f>'Příjmy '!C21+'Příjmy '!I21+'Příjmy '!M21</f>
        <v>309</v>
      </c>
      <c r="Q21" s="119">
        <f>'Příjmy '!D21+'Příjmy '!J21+'Příjmy '!N21</f>
        <v>1040</v>
      </c>
      <c r="R21" s="119">
        <f>'Příjmy '!E21+'Příjmy '!K21+'Příjmy '!O21</f>
        <v>1018</v>
      </c>
      <c r="S21" s="56">
        <v>1016944</v>
      </c>
      <c r="T21" s="56">
        <f t="shared" si="3"/>
        <v>-1.05600000000004</v>
      </c>
    </row>
    <row r="22" spans="1:20" ht="16.5" customHeight="1">
      <c r="A22" s="72" t="s">
        <v>15</v>
      </c>
      <c r="B22" s="77"/>
      <c r="C22" s="74"/>
      <c r="D22" s="75">
        <v>80</v>
      </c>
      <c r="E22" s="102">
        <v>80</v>
      </c>
      <c r="F22" s="76">
        <f>E22/D22*100</f>
        <v>100</v>
      </c>
      <c r="G22" s="74"/>
      <c r="H22" s="75"/>
      <c r="I22" s="75"/>
      <c r="J22" s="424"/>
      <c r="K22" s="425"/>
      <c r="L22" s="426">
        <f t="shared" si="0"/>
        <v>0</v>
      </c>
      <c r="M22" s="426">
        <f t="shared" si="1"/>
        <v>80</v>
      </c>
      <c r="N22" s="426">
        <f t="shared" si="2"/>
        <v>80</v>
      </c>
      <c r="O22" s="427"/>
      <c r="P22" s="428">
        <f>'Příjmy '!C22+'Příjmy '!I22+'Příjmy '!M22</f>
        <v>3682</v>
      </c>
      <c r="Q22" s="428">
        <f>'Příjmy '!D22+'Příjmy '!J22+'Příjmy '!N22</f>
        <v>5618</v>
      </c>
      <c r="R22" s="428">
        <f>'Příjmy '!E22+'Příjmy '!K22+'Příjmy '!O22</f>
        <v>5594</v>
      </c>
      <c r="S22" s="6">
        <v>5595380</v>
      </c>
      <c r="T22" s="56">
        <f t="shared" si="3"/>
        <v>1.3800000000001091</v>
      </c>
    </row>
    <row r="23" spans="1:20" ht="16.5" customHeight="1">
      <c r="A23" s="72" t="s">
        <v>16</v>
      </c>
      <c r="B23" s="77"/>
      <c r="C23" s="74"/>
      <c r="D23" s="75"/>
      <c r="E23" s="102"/>
      <c r="F23" s="76"/>
      <c r="G23" s="74"/>
      <c r="H23" s="75"/>
      <c r="I23" s="75"/>
      <c r="J23" s="424"/>
      <c r="K23" s="425"/>
      <c r="L23" s="426">
        <f t="shared" si="0"/>
        <v>0</v>
      </c>
      <c r="M23" s="426">
        <f t="shared" si="1"/>
        <v>0</v>
      </c>
      <c r="N23" s="426">
        <f t="shared" si="2"/>
        <v>0</v>
      </c>
      <c r="O23" s="427"/>
      <c r="P23" s="428">
        <f>'Příjmy '!C23+'Příjmy '!I23+'Příjmy '!M23</f>
        <v>3405</v>
      </c>
      <c r="Q23" s="428">
        <f>'Příjmy '!D23+'Příjmy '!J23+'Příjmy '!N23</f>
        <v>4434</v>
      </c>
      <c r="R23" s="428">
        <f>'Příjmy '!E23+'Příjmy '!K23+'Příjmy '!O23</f>
        <v>4400</v>
      </c>
      <c r="S23" s="56">
        <v>4399467</v>
      </c>
      <c r="T23" s="56">
        <f t="shared" si="3"/>
        <v>-0.5330000000003565</v>
      </c>
    </row>
    <row r="24" spans="1:20" s="2" customFormat="1" ht="16.5" customHeight="1">
      <c r="A24" s="72" t="s">
        <v>244</v>
      </c>
      <c r="B24" s="77"/>
      <c r="C24" s="74"/>
      <c r="D24" s="75"/>
      <c r="E24" s="102"/>
      <c r="F24" s="76"/>
      <c r="G24" s="74"/>
      <c r="H24" s="75"/>
      <c r="I24" s="75"/>
      <c r="J24" s="424"/>
      <c r="K24" s="425"/>
      <c r="L24" s="426">
        <f t="shared" si="0"/>
        <v>0</v>
      </c>
      <c r="M24" s="426">
        <f t="shared" si="1"/>
        <v>0</v>
      </c>
      <c r="N24" s="426">
        <f t="shared" si="2"/>
        <v>0</v>
      </c>
      <c r="O24" s="427"/>
      <c r="P24" s="428">
        <f>'Příjmy '!C24+'Příjmy '!I24+'Příjmy '!M24</f>
        <v>1197</v>
      </c>
      <c r="Q24" s="428">
        <f>'Příjmy '!D24+'Příjmy '!J24+'Příjmy '!N24</f>
        <v>2744</v>
      </c>
      <c r="R24" s="428">
        <f>'Příjmy '!E24+'Příjmy '!K24+'Příjmy '!O24</f>
        <v>2791</v>
      </c>
      <c r="S24" s="6">
        <v>2791785</v>
      </c>
      <c r="T24" s="6">
        <f t="shared" si="3"/>
        <v>0.7849999999998545</v>
      </c>
    </row>
    <row r="25" spans="1:20" ht="16.5" customHeight="1">
      <c r="A25" s="72" t="s">
        <v>18</v>
      </c>
      <c r="B25" s="77"/>
      <c r="C25" s="74"/>
      <c r="D25" s="75">
        <v>133</v>
      </c>
      <c r="E25" s="102">
        <v>133</v>
      </c>
      <c r="F25" s="76">
        <f>E25/D25*100</f>
        <v>100</v>
      </c>
      <c r="G25" s="74"/>
      <c r="H25" s="75"/>
      <c r="I25" s="75"/>
      <c r="J25" s="424"/>
      <c r="K25" s="425"/>
      <c r="L25" s="426">
        <f t="shared" si="0"/>
        <v>0</v>
      </c>
      <c r="M25" s="426">
        <f t="shared" si="1"/>
        <v>133</v>
      </c>
      <c r="N25" s="426">
        <f t="shared" si="2"/>
        <v>133</v>
      </c>
      <c r="O25" s="427"/>
      <c r="P25" s="428">
        <f>'Příjmy '!C25+'Příjmy '!I25+'Příjmy '!M25</f>
        <v>24137</v>
      </c>
      <c r="Q25" s="428">
        <f>'Příjmy '!D25+'Příjmy '!J25+'Příjmy '!N25</f>
        <v>43122</v>
      </c>
      <c r="R25" s="428">
        <f>'Příjmy '!E25+'Příjmy '!K25+'Příjmy '!O25</f>
        <v>44386</v>
      </c>
      <c r="S25" s="56">
        <v>44385327</v>
      </c>
      <c r="T25" s="56">
        <f t="shared" si="3"/>
        <v>-0.6730000000025029</v>
      </c>
    </row>
    <row r="26" spans="1:20" ht="16.5" customHeight="1">
      <c r="A26" s="72" t="s">
        <v>58</v>
      </c>
      <c r="B26" s="77"/>
      <c r="C26" s="74"/>
      <c r="D26" s="75"/>
      <c r="E26" s="102"/>
      <c r="F26" s="76"/>
      <c r="G26" s="74"/>
      <c r="H26" s="75"/>
      <c r="I26" s="75"/>
      <c r="J26" s="424"/>
      <c r="K26" s="425"/>
      <c r="L26" s="426">
        <f t="shared" si="0"/>
        <v>0</v>
      </c>
      <c r="M26" s="426">
        <f t="shared" si="1"/>
        <v>0</v>
      </c>
      <c r="N26" s="426">
        <f t="shared" si="2"/>
        <v>0</v>
      </c>
      <c r="O26" s="427"/>
      <c r="P26" s="428">
        <f>'Příjmy '!C26+'Příjmy '!I26+'Příjmy '!M26</f>
        <v>1531</v>
      </c>
      <c r="Q26" s="428">
        <f>'Příjmy '!D26+'Příjmy '!J26+'Příjmy '!N26</f>
        <v>2882</v>
      </c>
      <c r="R26" s="428">
        <f>'Příjmy '!E26+'Příjmy '!K26+'Příjmy '!O26</f>
        <v>3402</v>
      </c>
      <c r="S26" s="56">
        <v>3402319</v>
      </c>
      <c r="T26" s="56">
        <f t="shared" si="3"/>
        <v>0.31899999999996</v>
      </c>
    </row>
    <row r="27" spans="1:20" ht="16.5" customHeight="1">
      <c r="A27" s="72" t="s">
        <v>19</v>
      </c>
      <c r="B27" s="77"/>
      <c r="C27" s="74">
        <v>25</v>
      </c>
      <c r="D27" s="75">
        <v>77</v>
      </c>
      <c r="E27" s="102">
        <v>77</v>
      </c>
      <c r="F27" s="76">
        <f>E27/D27*100</f>
        <v>100</v>
      </c>
      <c r="G27" s="74"/>
      <c r="H27" s="75"/>
      <c r="I27" s="75"/>
      <c r="J27" s="424"/>
      <c r="K27" s="425"/>
      <c r="L27" s="426">
        <f t="shared" si="0"/>
        <v>25</v>
      </c>
      <c r="M27" s="426">
        <f t="shared" si="1"/>
        <v>77</v>
      </c>
      <c r="N27" s="426">
        <f t="shared" si="2"/>
        <v>77</v>
      </c>
      <c r="O27" s="427"/>
      <c r="P27" s="428">
        <f>'Příjmy '!C27+'Příjmy '!I27+'Příjmy '!M27</f>
        <v>24114</v>
      </c>
      <c r="Q27" s="428">
        <f>'Příjmy '!D27+'Příjmy '!J27+'Příjmy '!N27</f>
        <v>27424</v>
      </c>
      <c r="R27" s="428">
        <f>'Příjmy '!E27+'Příjmy '!K27+'Příjmy '!O27</f>
        <v>28431</v>
      </c>
      <c r="S27" s="56">
        <v>28431932</v>
      </c>
      <c r="T27" s="464">
        <f t="shared" si="3"/>
        <v>0.9320000000006985</v>
      </c>
    </row>
    <row r="28" spans="1:20" ht="16.5" customHeight="1">
      <c r="A28" s="72" t="s">
        <v>20</v>
      </c>
      <c r="B28" s="77"/>
      <c r="C28" s="74"/>
      <c r="D28" s="75"/>
      <c r="E28" s="102"/>
      <c r="F28" s="76"/>
      <c r="G28" s="74"/>
      <c r="H28" s="75"/>
      <c r="I28" s="75"/>
      <c r="J28" s="424"/>
      <c r="K28" s="425"/>
      <c r="L28" s="426">
        <f t="shared" si="0"/>
        <v>0</v>
      </c>
      <c r="M28" s="426">
        <f t="shared" si="1"/>
        <v>0</v>
      </c>
      <c r="N28" s="426">
        <f t="shared" si="2"/>
        <v>0</v>
      </c>
      <c r="O28" s="427"/>
      <c r="P28" s="428">
        <f>'Příjmy '!C28+'Příjmy '!I28+'Příjmy '!M28</f>
        <v>6769</v>
      </c>
      <c r="Q28" s="428">
        <f>'Příjmy '!D28+'Příjmy '!J28+'Příjmy '!N28</f>
        <v>13134</v>
      </c>
      <c r="R28" s="428">
        <f>'Příjmy '!E28+'Příjmy '!K28+'Příjmy '!O28</f>
        <v>13630</v>
      </c>
      <c r="S28" s="56">
        <v>13629351</v>
      </c>
      <c r="T28" s="56">
        <f t="shared" si="3"/>
        <v>-0.6489999999994325</v>
      </c>
    </row>
    <row r="29" spans="1:20" ht="16.5" customHeight="1">
      <c r="A29" s="72" t="s">
        <v>21</v>
      </c>
      <c r="B29" s="77"/>
      <c r="C29" s="74"/>
      <c r="D29" s="75"/>
      <c r="E29" s="102"/>
      <c r="F29" s="76"/>
      <c r="G29" s="74"/>
      <c r="H29" s="75"/>
      <c r="I29" s="75"/>
      <c r="J29" s="424"/>
      <c r="K29" s="425"/>
      <c r="L29" s="426">
        <f t="shared" si="0"/>
        <v>0</v>
      </c>
      <c r="M29" s="426">
        <f t="shared" si="1"/>
        <v>0</v>
      </c>
      <c r="N29" s="426">
        <f t="shared" si="2"/>
        <v>0</v>
      </c>
      <c r="O29" s="427"/>
      <c r="P29" s="428">
        <f>'Příjmy '!C29+'Příjmy '!I29+'Příjmy '!M29</f>
        <v>12127</v>
      </c>
      <c r="Q29" s="428">
        <f>'Příjmy '!D29+'Příjmy '!J29+'Příjmy '!N29</f>
        <v>20044</v>
      </c>
      <c r="R29" s="428">
        <f>'Příjmy '!E29+'Příjmy '!K29+'Příjmy '!O29</f>
        <v>21186</v>
      </c>
      <c r="S29" s="56">
        <v>21185168</v>
      </c>
      <c r="T29" s="56">
        <f t="shared" si="3"/>
        <v>-0.8319999999985157</v>
      </c>
    </row>
    <row r="30" spans="1:20" ht="16.5" customHeight="1">
      <c r="A30" s="72" t="s">
        <v>22</v>
      </c>
      <c r="B30" s="77"/>
      <c r="C30" s="74"/>
      <c r="D30" s="75"/>
      <c r="E30" s="102"/>
      <c r="F30" s="76"/>
      <c r="G30" s="74"/>
      <c r="H30" s="75"/>
      <c r="I30" s="75"/>
      <c r="J30" s="424"/>
      <c r="K30" s="425"/>
      <c r="L30" s="426">
        <f t="shared" si="0"/>
        <v>0</v>
      </c>
      <c r="M30" s="426">
        <f t="shared" si="1"/>
        <v>0</v>
      </c>
      <c r="N30" s="426">
        <f t="shared" si="2"/>
        <v>0</v>
      </c>
      <c r="O30" s="427"/>
      <c r="P30" s="428">
        <f>'Příjmy '!C30+'Příjmy '!I30+'Příjmy '!M30</f>
        <v>12860</v>
      </c>
      <c r="Q30" s="428">
        <f>'Příjmy '!D30+'Příjmy '!J30+'Příjmy '!N30</f>
        <v>17883</v>
      </c>
      <c r="R30" s="428">
        <f>'Příjmy '!E30+'Příjmy '!K30+'Příjmy '!O30</f>
        <v>18148</v>
      </c>
      <c r="S30" s="56">
        <v>18149425</v>
      </c>
      <c r="T30" s="56">
        <f t="shared" si="3"/>
        <v>1.4249999999992724</v>
      </c>
    </row>
    <row r="31" spans="1:20" ht="16.5" customHeight="1">
      <c r="A31" s="72" t="s">
        <v>23</v>
      </c>
      <c r="B31" s="77"/>
      <c r="C31" s="74"/>
      <c r="D31" s="75"/>
      <c r="E31" s="102"/>
      <c r="F31" s="76"/>
      <c r="G31" s="74"/>
      <c r="H31" s="75"/>
      <c r="I31" s="75"/>
      <c r="J31" s="424"/>
      <c r="K31" s="425"/>
      <c r="L31" s="426">
        <f t="shared" si="0"/>
        <v>0</v>
      </c>
      <c r="M31" s="426">
        <f t="shared" si="1"/>
        <v>0</v>
      </c>
      <c r="N31" s="426">
        <f t="shared" si="2"/>
        <v>0</v>
      </c>
      <c r="O31" s="427"/>
      <c r="P31" s="428">
        <f>'Příjmy '!C31+'Příjmy '!I31+'Příjmy '!M31</f>
        <v>17143</v>
      </c>
      <c r="Q31" s="428">
        <f>'Příjmy '!D31+'Příjmy '!J31+'Příjmy '!N31</f>
        <v>22627</v>
      </c>
      <c r="R31" s="428">
        <f>'Příjmy '!E31+'Příjmy '!K31+'Příjmy '!O31</f>
        <v>23319</v>
      </c>
      <c r="S31" s="56">
        <v>23319688</v>
      </c>
      <c r="T31" s="56">
        <f t="shared" si="3"/>
        <v>0.6879999999982829</v>
      </c>
    </row>
    <row r="32" spans="1:20" ht="16.5" customHeight="1">
      <c r="A32" s="72" t="s">
        <v>24</v>
      </c>
      <c r="B32" s="77"/>
      <c r="C32" s="74"/>
      <c r="D32" s="75"/>
      <c r="E32" s="102"/>
      <c r="F32" s="76"/>
      <c r="G32" s="74"/>
      <c r="H32" s="75"/>
      <c r="I32" s="75"/>
      <c r="J32" s="424"/>
      <c r="K32" s="425"/>
      <c r="L32" s="426">
        <f t="shared" si="0"/>
        <v>0</v>
      </c>
      <c r="M32" s="426">
        <f t="shared" si="1"/>
        <v>0</v>
      </c>
      <c r="N32" s="426">
        <f t="shared" si="2"/>
        <v>0</v>
      </c>
      <c r="O32" s="427"/>
      <c r="P32" s="428">
        <f>'Příjmy '!C32+'Příjmy '!I32+'Příjmy '!M32</f>
        <v>6476</v>
      </c>
      <c r="Q32" s="428">
        <f>'Příjmy '!D32+'Příjmy '!J32+'Příjmy '!N32</f>
        <v>11885</v>
      </c>
      <c r="R32" s="428">
        <f>'Příjmy '!E32+'Příjmy '!K32+'Příjmy '!O32</f>
        <v>12389</v>
      </c>
      <c r="S32" s="56">
        <v>12389788</v>
      </c>
      <c r="T32" s="56">
        <f t="shared" si="3"/>
        <v>0.7880000000004657</v>
      </c>
    </row>
    <row r="33" spans="1:20" s="2" customFormat="1" ht="16.5" customHeight="1">
      <c r="A33" s="72" t="s">
        <v>25</v>
      </c>
      <c r="B33" s="77"/>
      <c r="C33" s="74"/>
      <c r="D33" s="75"/>
      <c r="E33" s="102"/>
      <c r="F33" s="76"/>
      <c r="G33" s="74"/>
      <c r="H33" s="75"/>
      <c r="I33" s="75"/>
      <c r="J33" s="424"/>
      <c r="K33" s="425"/>
      <c r="L33" s="426">
        <f t="shared" si="0"/>
        <v>0</v>
      </c>
      <c r="M33" s="426">
        <f t="shared" si="1"/>
        <v>0</v>
      </c>
      <c r="N33" s="426">
        <f t="shared" si="2"/>
        <v>0</v>
      </c>
      <c r="O33" s="427"/>
      <c r="P33" s="428">
        <f>'Příjmy '!C33+'Příjmy '!I33+'Příjmy '!M33</f>
        <v>3458</v>
      </c>
      <c r="Q33" s="428">
        <f>'Příjmy '!D33+'Příjmy '!J33+'Příjmy '!N33</f>
        <v>5894</v>
      </c>
      <c r="R33" s="428">
        <f>'Příjmy '!E33+'Příjmy '!K33+'Příjmy '!O33</f>
        <v>6062</v>
      </c>
      <c r="S33" s="6">
        <v>6062035</v>
      </c>
      <c r="T33" s="6">
        <f t="shared" si="3"/>
        <v>0.03499999999985448</v>
      </c>
    </row>
    <row r="34" spans="1:20" s="2" customFormat="1" ht="16.5" customHeight="1">
      <c r="A34" s="72" t="s">
        <v>26</v>
      </c>
      <c r="B34" s="77"/>
      <c r="C34" s="74"/>
      <c r="D34" s="75"/>
      <c r="E34" s="102"/>
      <c r="F34" s="76"/>
      <c r="G34" s="74"/>
      <c r="H34" s="75"/>
      <c r="I34" s="75"/>
      <c r="J34" s="424"/>
      <c r="K34" s="425"/>
      <c r="L34" s="426">
        <f t="shared" si="0"/>
        <v>0</v>
      </c>
      <c r="M34" s="426">
        <f t="shared" si="1"/>
        <v>0</v>
      </c>
      <c r="N34" s="426">
        <f t="shared" si="2"/>
        <v>0</v>
      </c>
      <c r="O34" s="427"/>
      <c r="P34" s="428">
        <f>'Příjmy '!C34+'Příjmy '!I34+'Příjmy '!M34</f>
        <v>1670</v>
      </c>
      <c r="Q34" s="428">
        <f>'Příjmy '!D34+'Příjmy '!J34+'Příjmy '!N34</f>
        <v>3302</v>
      </c>
      <c r="R34" s="428">
        <f>'Příjmy '!E34+'Příjmy '!K34+'Příjmy '!O34</f>
        <v>3654</v>
      </c>
      <c r="S34" s="6">
        <v>3654122</v>
      </c>
      <c r="T34" s="6">
        <f t="shared" si="3"/>
        <v>0.12199999999984357</v>
      </c>
    </row>
    <row r="35" spans="1:20" ht="16.5" customHeight="1">
      <c r="A35" s="72" t="s">
        <v>27</v>
      </c>
      <c r="B35" s="77"/>
      <c r="C35" s="74"/>
      <c r="D35" s="75">
        <v>351</v>
      </c>
      <c r="E35" s="102">
        <v>351</v>
      </c>
      <c r="F35" s="76">
        <f>E35/D35*100</f>
        <v>100</v>
      </c>
      <c r="G35" s="74"/>
      <c r="H35" s="75"/>
      <c r="I35" s="75"/>
      <c r="J35" s="424"/>
      <c r="K35" s="425"/>
      <c r="L35" s="426">
        <f t="shared" si="0"/>
        <v>0</v>
      </c>
      <c r="M35" s="426">
        <f t="shared" si="1"/>
        <v>351</v>
      </c>
      <c r="N35" s="426">
        <f t="shared" si="2"/>
        <v>351</v>
      </c>
      <c r="O35" s="427"/>
      <c r="P35" s="428">
        <f>'Příjmy '!C35+'Příjmy '!I35+'Příjmy '!M35</f>
        <v>35913</v>
      </c>
      <c r="Q35" s="428">
        <f>'Příjmy '!D35+'Příjmy '!J35+'Příjmy '!N35</f>
        <v>50312</v>
      </c>
      <c r="R35" s="428">
        <f>'Příjmy '!E35+'Příjmy '!K35+'Příjmy '!O35</f>
        <v>51353</v>
      </c>
      <c r="S35" s="56">
        <v>51352262</v>
      </c>
      <c r="T35" s="464">
        <f t="shared" si="3"/>
        <v>-0.7379999999975553</v>
      </c>
    </row>
    <row r="36" spans="1:20" s="2" customFormat="1" ht="16.5" customHeight="1">
      <c r="A36" s="72" t="s">
        <v>28</v>
      </c>
      <c r="B36" s="77"/>
      <c r="C36" s="74"/>
      <c r="D36" s="75"/>
      <c r="E36" s="102"/>
      <c r="F36" s="76"/>
      <c r="G36" s="74"/>
      <c r="H36" s="75"/>
      <c r="I36" s="75"/>
      <c r="J36" s="424"/>
      <c r="K36" s="425"/>
      <c r="L36" s="426">
        <f t="shared" si="0"/>
        <v>0</v>
      </c>
      <c r="M36" s="426">
        <f t="shared" si="1"/>
        <v>0</v>
      </c>
      <c r="N36" s="426">
        <f t="shared" si="2"/>
        <v>0</v>
      </c>
      <c r="O36" s="427"/>
      <c r="P36" s="428">
        <f>'Příjmy '!C36+'Příjmy '!I36+'Příjmy '!M36</f>
        <v>1810</v>
      </c>
      <c r="Q36" s="428">
        <f>'Příjmy '!D36+'Příjmy '!J36+'Příjmy '!N36</f>
        <v>2541</v>
      </c>
      <c r="R36" s="428">
        <f>'Příjmy '!E36+'Příjmy '!K36+'Příjmy '!O36</f>
        <v>2909</v>
      </c>
      <c r="S36" s="6">
        <v>2908958</v>
      </c>
      <c r="T36" s="6">
        <f t="shared" si="3"/>
        <v>-0.041999999999916326</v>
      </c>
    </row>
    <row r="37" spans="1:20" s="2" customFormat="1" ht="16.5" customHeight="1">
      <c r="A37" s="72" t="s">
        <v>325</v>
      </c>
      <c r="B37" s="77"/>
      <c r="C37" s="74">
        <v>70</v>
      </c>
      <c r="D37" s="75">
        <v>70</v>
      </c>
      <c r="E37" s="102">
        <v>53</v>
      </c>
      <c r="F37" s="76">
        <f>E37/D37*100</f>
        <v>75.71428571428571</v>
      </c>
      <c r="G37" s="74"/>
      <c r="H37" s="75"/>
      <c r="I37" s="75">
        <v>22</v>
      </c>
      <c r="J37" s="424"/>
      <c r="K37" s="425"/>
      <c r="L37" s="426">
        <f t="shared" si="0"/>
        <v>70</v>
      </c>
      <c r="M37" s="426">
        <f t="shared" si="1"/>
        <v>70</v>
      </c>
      <c r="N37" s="426">
        <f t="shared" si="2"/>
        <v>75</v>
      </c>
      <c r="O37" s="427"/>
      <c r="P37" s="428">
        <f>'Příjmy '!C37+'Příjmy '!I37+'Příjmy '!M37</f>
        <v>10215</v>
      </c>
      <c r="Q37" s="428">
        <f>'Příjmy '!D37+'Příjmy '!J37+'Příjmy '!N37</f>
        <v>13553</v>
      </c>
      <c r="R37" s="428">
        <f>'Příjmy '!E37+'Příjmy '!K37+'Příjmy '!O37</f>
        <v>15403</v>
      </c>
      <c r="S37" s="6">
        <v>15402959</v>
      </c>
      <c r="T37" s="6">
        <f t="shared" si="3"/>
        <v>-0.04099999999925785</v>
      </c>
    </row>
    <row r="38" spans="1:20" s="2" customFormat="1" ht="16.5" customHeight="1">
      <c r="A38" s="72" t="s">
        <v>29</v>
      </c>
      <c r="B38" s="77"/>
      <c r="C38" s="74"/>
      <c r="D38" s="75"/>
      <c r="E38" s="102"/>
      <c r="F38" s="76"/>
      <c r="G38" s="74"/>
      <c r="H38" s="75"/>
      <c r="I38" s="75"/>
      <c r="J38" s="424"/>
      <c r="K38" s="425"/>
      <c r="L38" s="426">
        <f t="shared" si="0"/>
        <v>0</v>
      </c>
      <c r="M38" s="426">
        <f t="shared" si="1"/>
        <v>0</v>
      </c>
      <c r="N38" s="426">
        <f t="shared" si="2"/>
        <v>0</v>
      </c>
      <c r="O38" s="427"/>
      <c r="P38" s="428">
        <f>'Příjmy '!C38+'Příjmy '!I38+'Příjmy '!M38</f>
        <v>828</v>
      </c>
      <c r="Q38" s="428">
        <f>'Příjmy '!D38+'Příjmy '!J38+'Příjmy '!N38</f>
        <v>1329</v>
      </c>
      <c r="R38" s="428">
        <f>'Příjmy '!E38+'Příjmy '!K38+'Příjmy '!O38</f>
        <v>1161</v>
      </c>
      <c r="S38" s="6">
        <v>1161052</v>
      </c>
      <c r="T38" s="6">
        <f t="shared" si="3"/>
        <v>0.05199999999990723</v>
      </c>
    </row>
    <row r="39" spans="1:20" s="2" customFormat="1" ht="16.5" customHeight="1">
      <c r="A39" s="72" t="s">
        <v>30</v>
      </c>
      <c r="B39" s="77"/>
      <c r="C39" s="74"/>
      <c r="D39" s="75"/>
      <c r="E39" s="75"/>
      <c r="F39" s="76"/>
      <c r="G39" s="74"/>
      <c r="H39" s="75"/>
      <c r="I39" s="75"/>
      <c r="J39" s="424"/>
      <c r="K39" s="425"/>
      <c r="L39" s="426">
        <f t="shared" si="0"/>
        <v>0</v>
      </c>
      <c r="M39" s="426">
        <f t="shared" si="1"/>
        <v>0</v>
      </c>
      <c r="N39" s="426">
        <f t="shared" si="2"/>
        <v>0</v>
      </c>
      <c r="O39" s="427"/>
      <c r="P39" s="428">
        <f>'Příjmy '!C39+'Příjmy '!I39+'Příjmy '!M39</f>
        <v>335</v>
      </c>
      <c r="Q39" s="428">
        <f>'Příjmy '!D39+'Příjmy '!J39+'Příjmy '!N39</f>
        <v>888</v>
      </c>
      <c r="R39" s="428">
        <f>'Příjmy '!E39+'Příjmy '!K39+'Příjmy '!O39</f>
        <v>866</v>
      </c>
      <c r="S39" s="6">
        <v>866119</v>
      </c>
      <c r="T39" s="6">
        <f t="shared" si="3"/>
        <v>0.1190000000000282</v>
      </c>
    </row>
    <row r="40" spans="1:20" s="2" customFormat="1" ht="16.5" customHeight="1">
      <c r="A40" s="72" t="s">
        <v>31</v>
      </c>
      <c r="B40" s="77"/>
      <c r="C40" s="74"/>
      <c r="D40" s="75"/>
      <c r="E40" s="75"/>
      <c r="F40" s="76"/>
      <c r="G40" s="74"/>
      <c r="H40" s="75"/>
      <c r="I40" s="75"/>
      <c r="J40" s="424"/>
      <c r="K40" s="425"/>
      <c r="L40" s="426">
        <f t="shared" si="0"/>
        <v>0</v>
      </c>
      <c r="M40" s="426">
        <f t="shared" si="1"/>
        <v>0</v>
      </c>
      <c r="N40" s="426">
        <f t="shared" si="2"/>
        <v>0</v>
      </c>
      <c r="O40" s="427"/>
      <c r="P40" s="428">
        <f>'Příjmy '!C40+'Příjmy '!I40+'Příjmy '!M40</f>
        <v>84</v>
      </c>
      <c r="Q40" s="428">
        <f>'Příjmy '!D40+'Příjmy '!J40+'Příjmy '!N40</f>
        <v>809</v>
      </c>
      <c r="R40" s="428">
        <f>'Příjmy '!E40+'Příjmy '!K40+'Příjmy '!O40</f>
        <v>616</v>
      </c>
      <c r="S40" s="6">
        <v>616339</v>
      </c>
      <c r="T40" s="6">
        <f t="shared" si="3"/>
        <v>0.3390000000000555</v>
      </c>
    </row>
    <row r="41" spans="1:20" ht="16.5" customHeight="1">
      <c r="A41" s="72" t="s">
        <v>32</v>
      </c>
      <c r="B41" s="73"/>
      <c r="C41" s="74"/>
      <c r="D41" s="75"/>
      <c r="E41" s="75"/>
      <c r="F41" s="76"/>
      <c r="G41" s="74"/>
      <c r="H41" s="75"/>
      <c r="I41" s="75"/>
      <c r="J41" s="424"/>
      <c r="K41" s="425"/>
      <c r="L41" s="426">
        <f t="shared" si="0"/>
        <v>0</v>
      </c>
      <c r="M41" s="426">
        <f t="shared" si="1"/>
        <v>0</v>
      </c>
      <c r="N41" s="426">
        <f t="shared" si="2"/>
        <v>0</v>
      </c>
      <c r="O41" s="427"/>
      <c r="P41" s="428">
        <f>'Příjmy '!C41+'Příjmy '!I41+'Příjmy '!M41</f>
        <v>233</v>
      </c>
      <c r="Q41" s="428">
        <f>'Příjmy '!D41+'Příjmy '!J41+'Příjmy '!N41</f>
        <v>450</v>
      </c>
      <c r="R41" s="428">
        <f>'Příjmy '!E41+'Příjmy '!K41+'Příjmy '!O41</f>
        <v>446</v>
      </c>
      <c r="S41" s="56">
        <v>444609</v>
      </c>
      <c r="T41" s="56">
        <f t="shared" si="3"/>
        <v>-1.3910000000000196</v>
      </c>
    </row>
    <row r="42" spans="1:18" ht="15" customHeight="1" thickBot="1">
      <c r="A42" s="78"/>
      <c r="B42" s="79"/>
      <c r="C42" s="80"/>
      <c r="D42" s="81"/>
      <c r="E42" s="81"/>
      <c r="F42" s="470"/>
      <c r="G42" s="80"/>
      <c r="H42" s="82"/>
      <c r="I42" s="81"/>
      <c r="J42" s="471"/>
      <c r="K42" s="469"/>
      <c r="L42" s="426">
        <f t="shared" si="0"/>
        <v>0</v>
      </c>
      <c r="M42" s="426">
        <f t="shared" si="1"/>
        <v>0</v>
      </c>
      <c r="N42" s="426">
        <f t="shared" si="2"/>
        <v>0</v>
      </c>
      <c r="O42" s="169"/>
      <c r="P42" s="115"/>
      <c r="Q42" s="115"/>
      <c r="R42" s="115"/>
    </row>
    <row r="43" spans="1:18" ht="15" customHeight="1">
      <c r="A43" s="4"/>
      <c r="B43" s="4"/>
      <c r="C43" s="84"/>
      <c r="D43" s="84"/>
      <c r="E43" s="84"/>
      <c r="F43" s="7"/>
      <c r="G43" s="84"/>
      <c r="H43" s="4"/>
      <c r="I43" s="84"/>
      <c r="J43" s="7"/>
      <c r="K43" s="7"/>
      <c r="L43" s="426">
        <f t="shared" si="0"/>
        <v>0</v>
      </c>
      <c r="M43" s="426">
        <f t="shared" si="1"/>
        <v>0</v>
      </c>
      <c r="N43" s="426">
        <f t="shared" si="2"/>
        <v>0</v>
      </c>
      <c r="O43" s="169"/>
      <c r="P43" s="115"/>
      <c r="Q43" s="115"/>
      <c r="R43" s="115"/>
    </row>
    <row r="44" spans="1:18" ht="15" customHeight="1" thickBot="1">
      <c r="A44" s="4"/>
      <c r="B44" s="4"/>
      <c r="C44" s="4"/>
      <c r="D44" s="4"/>
      <c r="E44" s="4"/>
      <c r="F44" s="7"/>
      <c r="G44" s="4"/>
      <c r="H44" s="4"/>
      <c r="I44" s="4"/>
      <c r="J44" s="7"/>
      <c r="K44" s="7"/>
      <c r="L44" s="351"/>
      <c r="M44" s="351"/>
      <c r="N44" s="351"/>
      <c r="O44" s="169"/>
      <c r="P44" s="115"/>
      <c r="Q44" s="115"/>
      <c r="R44" s="115"/>
    </row>
    <row r="45" spans="1:19" ht="18" customHeight="1" thickBot="1">
      <c r="A45" s="7" t="s">
        <v>36</v>
      </c>
      <c r="B45" s="4"/>
      <c r="C45" s="87">
        <f>SUM(C13:C41)</f>
        <v>95</v>
      </c>
      <c r="D45" s="88">
        <f>SUM(D12:D42)</f>
        <v>761</v>
      </c>
      <c r="E45" s="88">
        <f>SUM(E13:E41)</f>
        <v>744</v>
      </c>
      <c r="F45" s="89">
        <f>E45/D45*100</f>
        <v>97.76609724047306</v>
      </c>
      <c r="G45" s="87">
        <f>SUM(G12:G43)</f>
        <v>0</v>
      </c>
      <c r="H45" s="88">
        <f>SUM(H12:H43)</f>
        <v>251</v>
      </c>
      <c r="I45" s="88">
        <f>SUM(I12:I42)</f>
        <v>273</v>
      </c>
      <c r="J45" s="89">
        <f>I45/H45*100</f>
        <v>108.76494023904382</v>
      </c>
      <c r="K45" s="425"/>
      <c r="L45" s="463">
        <f aca="true" t="shared" si="4" ref="L45:S45">SUM(L13:L44)</f>
        <v>95</v>
      </c>
      <c r="M45" s="463">
        <f t="shared" si="4"/>
        <v>1012</v>
      </c>
      <c r="N45" s="463">
        <f t="shared" si="4"/>
        <v>1017</v>
      </c>
      <c r="O45" s="463">
        <f t="shared" si="4"/>
        <v>0</v>
      </c>
      <c r="P45" s="60">
        <f t="shared" si="4"/>
        <v>369595</v>
      </c>
      <c r="Q45" s="60">
        <f t="shared" si="4"/>
        <v>501633</v>
      </c>
      <c r="R45" s="60">
        <f t="shared" si="4"/>
        <v>502351</v>
      </c>
      <c r="S45" s="60">
        <f t="shared" si="4"/>
        <v>502351111</v>
      </c>
    </row>
    <row r="46" spans="12:17" ht="15">
      <c r="L46" s="86"/>
      <c r="M46" s="239"/>
      <c r="N46" s="239"/>
      <c r="O46" s="239"/>
      <c r="P46" s="59"/>
      <c r="Q46" s="113"/>
    </row>
    <row r="47" spans="1:18" s="57" customFormat="1" ht="11.25">
      <c r="A47" s="459"/>
      <c r="B47" s="459"/>
      <c r="C47" s="459"/>
      <c r="D47" s="459"/>
      <c r="E47" s="459">
        <v>744640</v>
      </c>
      <c r="F47" s="459"/>
      <c r="G47" s="459"/>
      <c r="H47" s="459"/>
      <c r="I47" s="459"/>
      <c r="J47" s="459"/>
      <c r="K47" s="459"/>
      <c r="L47" s="459">
        <v>95</v>
      </c>
      <c r="M47" s="459">
        <v>1012</v>
      </c>
      <c r="N47" s="459">
        <v>1017</v>
      </c>
      <c r="O47" s="459"/>
      <c r="P47" s="459">
        <v>369595</v>
      </c>
      <c r="Q47" s="459">
        <v>501633</v>
      </c>
      <c r="R47" s="459">
        <v>502351</v>
      </c>
    </row>
    <row r="48" ht="15">
      <c r="L48" s="187"/>
    </row>
    <row r="49" spans="1:19" s="354" customFormat="1" ht="15">
      <c r="A49" s="2"/>
      <c r="B49" s="2" t="s">
        <v>281</v>
      </c>
      <c r="C49" s="6">
        <v>95</v>
      </c>
      <c r="D49" s="6">
        <v>761</v>
      </c>
      <c r="E49" s="6">
        <v>744</v>
      </c>
      <c r="F49" s="6"/>
      <c r="G49" s="6"/>
      <c r="H49" s="6">
        <v>251</v>
      </c>
      <c r="I49" s="6">
        <v>273</v>
      </c>
      <c r="J49" s="6"/>
      <c r="K49" s="2"/>
      <c r="L49" s="187"/>
      <c r="M49" s="2"/>
      <c r="N49" s="2"/>
      <c r="O49" s="2"/>
      <c r="S49" s="353"/>
    </row>
    <row r="50" ht="15">
      <c r="L50" s="187"/>
    </row>
    <row r="51" ht="15">
      <c r="L51" s="187"/>
    </row>
    <row r="52" ht="15">
      <c r="L52" s="187"/>
    </row>
    <row r="53" ht="15">
      <c r="L53" s="187"/>
    </row>
    <row r="54" ht="15">
      <c r="L54" s="187"/>
    </row>
    <row r="55" ht="15">
      <c r="L55" s="187"/>
    </row>
    <row r="56" ht="15">
      <c r="L56" s="187"/>
    </row>
    <row r="57" ht="15">
      <c r="L57" s="187"/>
    </row>
    <row r="58" ht="15">
      <c r="L58" s="187"/>
    </row>
    <row r="59" ht="15">
      <c r="L59" s="187"/>
    </row>
    <row r="60" ht="15">
      <c r="L60" s="187"/>
    </row>
    <row r="61" ht="15">
      <c r="L61" s="187"/>
    </row>
    <row r="62" ht="15">
      <c r="L62" s="187"/>
    </row>
    <row r="63" ht="15">
      <c r="L63" s="187"/>
    </row>
    <row r="64" ht="15">
      <c r="L64" s="187"/>
    </row>
    <row r="65" ht="15">
      <c r="L65" s="187"/>
    </row>
    <row r="66" ht="15">
      <c r="L66" s="187"/>
    </row>
    <row r="67" ht="15">
      <c r="L67" s="187"/>
    </row>
    <row r="68" ht="15">
      <c r="L68" s="187"/>
    </row>
    <row r="69" ht="15">
      <c r="L69" s="187"/>
    </row>
    <row r="70" ht="15">
      <c r="L70" s="187"/>
    </row>
    <row r="71" ht="15">
      <c r="L71" s="187"/>
    </row>
    <row r="72" ht="15">
      <c r="L72" s="187"/>
    </row>
    <row r="73" ht="15">
      <c r="L73" s="187"/>
    </row>
    <row r="74" ht="15">
      <c r="L74" s="187"/>
    </row>
    <row r="75" ht="15">
      <c r="L75" s="187"/>
    </row>
    <row r="76" ht="15">
      <c r="L76" s="187"/>
    </row>
    <row r="77" ht="15">
      <c r="L77" s="187"/>
    </row>
    <row r="78" ht="15">
      <c r="L78" s="187"/>
    </row>
    <row r="79" ht="15">
      <c r="L79" s="187"/>
    </row>
    <row r="80" ht="15">
      <c r="L80" s="187"/>
    </row>
    <row r="81" ht="15">
      <c r="L81" s="187"/>
    </row>
    <row r="82" ht="15">
      <c r="L82" s="187"/>
    </row>
    <row r="83" ht="15">
      <c r="L83" s="187"/>
    </row>
    <row r="84" ht="15">
      <c r="L84" s="187"/>
    </row>
    <row r="85" ht="15">
      <c r="L85" s="187"/>
    </row>
    <row r="86" ht="15">
      <c r="L86" s="187"/>
    </row>
    <row r="87" ht="15">
      <c r="L87" s="187"/>
    </row>
    <row r="88" ht="15">
      <c r="L88" s="187"/>
    </row>
    <row r="89" ht="15">
      <c r="L89" s="187"/>
    </row>
    <row r="90" ht="15">
      <c r="L90" s="187"/>
    </row>
    <row r="91" ht="15">
      <c r="L91" s="187"/>
    </row>
    <row r="92" ht="15">
      <c r="L92" s="187"/>
    </row>
    <row r="93" ht="15">
      <c r="L93" s="187"/>
    </row>
    <row r="94" ht="15">
      <c r="L94" s="187"/>
    </row>
    <row r="95" ht="15">
      <c r="L95" s="187"/>
    </row>
    <row r="96" ht="15">
      <c r="L96" s="187"/>
    </row>
    <row r="97" ht="15">
      <c r="L97" s="187"/>
    </row>
    <row r="98" ht="15">
      <c r="L98" s="187"/>
    </row>
    <row r="99" ht="15">
      <c r="L99" s="187"/>
    </row>
    <row r="100" ht="15">
      <c r="L100" s="187"/>
    </row>
    <row r="101" ht="15">
      <c r="L101" s="187"/>
    </row>
    <row r="102" ht="15">
      <c r="L102" s="187"/>
    </row>
    <row r="103" ht="15">
      <c r="L103" s="187"/>
    </row>
    <row r="104" ht="15">
      <c r="L104" s="187"/>
    </row>
    <row r="105" ht="15">
      <c r="L105" s="187"/>
    </row>
    <row r="106" ht="15">
      <c r="L106" s="187"/>
    </row>
    <row r="107" ht="15">
      <c r="L107" s="187"/>
    </row>
    <row r="108" ht="15">
      <c r="L108" s="187"/>
    </row>
    <row r="109" ht="15">
      <c r="L109" s="187"/>
    </row>
    <row r="110" ht="15">
      <c r="L110" s="187"/>
    </row>
    <row r="111" ht="15">
      <c r="L111" s="187"/>
    </row>
    <row r="112" ht="15">
      <c r="L112" s="187"/>
    </row>
    <row r="113" ht="15">
      <c r="L113" s="187"/>
    </row>
    <row r="114" ht="15">
      <c r="L114" s="187"/>
    </row>
    <row r="115" ht="15">
      <c r="L115" s="187"/>
    </row>
    <row r="116" ht="15">
      <c r="L116" s="187"/>
    </row>
    <row r="117" ht="15">
      <c r="L117" s="187"/>
    </row>
    <row r="118" ht="15">
      <c r="L118" s="187"/>
    </row>
    <row r="119" ht="15">
      <c r="L119" s="187"/>
    </row>
    <row r="120" ht="15">
      <c r="L120" s="187"/>
    </row>
    <row r="121" ht="15">
      <c r="L121" s="187"/>
    </row>
    <row r="122" ht="15">
      <c r="L122" s="187"/>
    </row>
    <row r="123" ht="15">
      <c r="L123" s="187"/>
    </row>
    <row r="124" ht="15">
      <c r="L124" s="187"/>
    </row>
    <row r="125" ht="15">
      <c r="L125" s="187"/>
    </row>
    <row r="126" ht="15">
      <c r="L126" s="187"/>
    </row>
    <row r="127" ht="15">
      <c r="L127" s="187"/>
    </row>
    <row r="128" ht="15">
      <c r="L128" s="187"/>
    </row>
    <row r="129" ht="15">
      <c r="L129" s="187"/>
    </row>
    <row r="130" ht="15">
      <c r="L130" s="187"/>
    </row>
    <row r="131" ht="15">
      <c r="L131" s="187"/>
    </row>
    <row r="132" ht="15">
      <c r="L132" s="187"/>
    </row>
    <row r="133" ht="15">
      <c r="L133" s="187"/>
    </row>
    <row r="134" ht="15">
      <c r="L134" s="187"/>
    </row>
    <row r="135" ht="15">
      <c r="L135" s="187"/>
    </row>
    <row r="136" ht="15">
      <c r="L136" s="187"/>
    </row>
    <row r="137" ht="15">
      <c r="L137" s="187"/>
    </row>
    <row r="138" ht="15">
      <c r="L138" s="187"/>
    </row>
    <row r="139" ht="15">
      <c r="L139" s="187"/>
    </row>
    <row r="140" ht="15">
      <c r="L140" s="187"/>
    </row>
    <row r="141" ht="15">
      <c r="L141" s="187"/>
    </row>
    <row r="142" ht="15">
      <c r="L142" s="187"/>
    </row>
    <row r="143" ht="15">
      <c r="L143" s="187"/>
    </row>
    <row r="144" ht="15">
      <c r="L144" s="187"/>
    </row>
    <row r="145" ht="15">
      <c r="L145" s="187"/>
    </row>
    <row r="146" ht="15">
      <c r="L146" s="187"/>
    </row>
    <row r="147" ht="15">
      <c r="L147" s="187"/>
    </row>
    <row r="148" ht="15">
      <c r="L148" s="187"/>
    </row>
    <row r="149" ht="15">
      <c r="L149" s="187"/>
    </row>
    <row r="150" ht="15">
      <c r="L150" s="187"/>
    </row>
    <row r="151" ht="15">
      <c r="L151" s="187"/>
    </row>
    <row r="152" ht="15">
      <c r="L152" s="187"/>
    </row>
    <row r="153" ht="15">
      <c r="L153" s="187"/>
    </row>
    <row r="154" ht="15">
      <c r="L154" s="187"/>
    </row>
    <row r="155" ht="15">
      <c r="L155" s="187"/>
    </row>
    <row r="156" ht="15">
      <c r="L156" s="187"/>
    </row>
    <row r="157" ht="15">
      <c r="L157" s="187"/>
    </row>
    <row r="158" ht="15">
      <c r="L158" s="187"/>
    </row>
    <row r="159" ht="15">
      <c r="L159" s="187"/>
    </row>
    <row r="160" ht="15">
      <c r="L160" s="187"/>
    </row>
    <row r="161" ht="15">
      <c r="L161" s="187"/>
    </row>
    <row r="162" ht="15">
      <c r="L162" s="187"/>
    </row>
    <row r="163" ht="15">
      <c r="L163" s="187"/>
    </row>
    <row r="164" ht="15">
      <c r="L164" s="187"/>
    </row>
    <row r="165" ht="15">
      <c r="L165" s="187"/>
    </row>
    <row r="166" ht="15">
      <c r="L166" s="187"/>
    </row>
    <row r="167" ht="15">
      <c r="L167" s="187"/>
    </row>
    <row r="168" ht="15">
      <c r="L168" s="187"/>
    </row>
    <row r="169" ht="15">
      <c r="L169" s="187"/>
    </row>
    <row r="170" ht="15">
      <c r="L170" s="187"/>
    </row>
    <row r="171" ht="15">
      <c r="L171" s="187"/>
    </row>
    <row r="172" ht="15">
      <c r="L172" s="187"/>
    </row>
    <row r="173" ht="15">
      <c r="L173" s="187"/>
    </row>
    <row r="174" ht="15">
      <c r="L174" s="187"/>
    </row>
    <row r="175" ht="15">
      <c r="L175" s="187"/>
    </row>
    <row r="176" ht="15">
      <c r="L176" s="187"/>
    </row>
    <row r="177" ht="15">
      <c r="L177" s="187"/>
    </row>
    <row r="178" ht="15">
      <c r="L178" s="187"/>
    </row>
    <row r="179" ht="15">
      <c r="L179" s="187"/>
    </row>
    <row r="180" ht="15">
      <c r="L180" s="187"/>
    </row>
    <row r="181" ht="15">
      <c r="L181" s="187"/>
    </row>
    <row r="182" ht="15">
      <c r="L182" s="187"/>
    </row>
    <row r="183" ht="15">
      <c r="L183" s="187"/>
    </row>
    <row r="184" ht="15">
      <c r="L184" s="187"/>
    </row>
    <row r="185" ht="15">
      <c r="L185" s="187"/>
    </row>
    <row r="186" ht="15">
      <c r="L186" s="187"/>
    </row>
    <row r="187" ht="15">
      <c r="L187" s="187"/>
    </row>
    <row r="188" ht="15">
      <c r="L188" s="187"/>
    </row>
    <row r="189" ht="15">
      <c r="L189" s="187"/>
    </row>
    <row r="190" ht="15">
      <c r="L190" s="187"/>
    </row>
    <row r="191" ht="15">
      <c r="L191" s="187"/>
    </row>
    <row r="192" ht="15">
      <c r="L192" s="187"/>
    </row>
    <row r="193" ht="15">
      <c r="L193" s="187"/>
    </row>
    <row r="194" ht="15">
      <c r="L194" s="187"/>
    </row>
    <row r="195" ht="15">
      <c r="L195" s="187"/>
    </row>
    <row r="196" ht="15">
      <c r="L196" s="187"/>
    </row>
    <row r="197" ht="15">
      <c r="L197" s="187"/>
    </row>
    <row r="198" ht="15">
      <c r="L198" s="187"/>
    </row>
    <row r="199" ht="15">
      <c r="L199" s="187"/>
    </row>
    <row r="200" ht="15">
      <c r="L200" s="187"/>
    </row>
    <row r="201" ht="15">
      <c r="L201" s="187"/>
    </row>
    <row r="202" ht="15">
      <c r="L202" s="187"/>
    </row>
    <row r="203" ht="15">
      <c r="L203" s="187"/>
    </row>
    <row r="204" ht="15">
      <c r="L204" s="187"/>
    </row>
    <row r="205" ht="15">
      <c r="L205" s="187"/>
    </row>
    <row r="206" ht="15">
      <c r="L206" s="187"/>
    </row>
    <row r="207" ht="15">
      <c r="L207" s="187"/>
    </row>
    <row r="208" ht="15">
      <c r="L208" s="187"/>
    </row>
    <row r="209" ht="15">
      <c r="L209" s="187"/>
    </row>
    <row r="210" ht="15">
      <c r="L210" s="187"/>
    </row>
    <row r="211" ht="15">
      <c r="L211" s="187"/>
    </row>
    <row r="212" ht="15">
      <c r="L212" s="187"/>
    </row>
    <row r="213" ht="15">
      <c r="L213" s="187"/>
    </row>
    <row r="214" ht="15">
      <c r="L214" s="187"/>
    </row>
    <row r="215" ht="15">
      <c r="L215" s="187"/>
    </row>
    <row r="216" ht="15">
      <c r="L216" s="187"/>
    </row>
    <row r="217" ht="15">
      <c r="L217" s="187"/>
    </row>
    <row r="218" ht="15">
      <c r="L218" s="187"/>
    </row>
    <row r="219" ht="15">
      <c r="L219" s="187"/>
    </row>
    <row r="220" ht="15">
      <c r="L220" s="187"/>
    </row>
    <row r="221" ht="15">
      <c r="L221" s="187"/>
    </row>
    <row r="222" ht="15">
      <c r="L222" s="187"/>
    </row>
    <row r="223" ht="15">
      <c r="L223" s="187"/>
    </row>
    <row r="224" ht="15">
      <c r="L224" s="187"/>
    </row>
    <row r="225" ht="15">
      <c r="L225" s="187"/>
    </row>
    <row r="226" ht="15">
      <c r="L226" s="187"/>
    </row>
    <row r="227" ht="15">
      <c r="L227" s="187"/>
    </row>
    <row r="228" ht="15">
      <c r="L228" s="187"/>
    </row>
    <row r="229" ht="15">
      <c r="L229" s="187"/>
    </row>
    <row r="230" ht="15">
      <c r="L230" s="187"/>
    </row>
    <row r="231" ht="15">
      <c r="L231" s="187"/>
    </row>
    <row r="232" ht="15">
      <c r="L232" s="187"/>
    </row>
    <row r="233" ht="15">
      <c r="L233" s="187"/>
    </row>
    <row r="234" ht="15">
      <c r="L234" s="187"/>
    </row>
    <row r="235" ht="15">
      <c r="L235" s="187"/>
    </row>
    <row r="236" ht="15">
      <c r="L236" s="187"/>
    </row>
    <row r="237" ht="15">
      <c r="L237" s="187"/>
    </row>
    <row r="238" ht="15">
      <c r="L238" s="187"/>
    </row>
    <row r="239" ht="15">
      <c r="L239" s="187"/>
    </row>
    <row r="240" ht="15">
      <c r="L240" s="187"/>
    </row>
    <row r="241" ht="15">
      <c r="L241" s="187"/>
    </row>
    <row r="242" ht="15">
      <c r="L242" s="187"/>
    </row>
    <row r="243" ht="15">
      <c r="L243" s="187"/>
    </row>
    <row r="244" ht="15">
      <c r="L244" s="187"/>
    </row>
    <row r="245" ht="15">
      <c r="L245" s="187"/>
    </row>
    <row r="246" ht="15">
      <c r="L246" s="187"/>
    </row>
    <row r="247" ht="15">
      <c r="L247" s="187"/>
    </row>
    <row r="248" ht="15">
      <c r="L248" s="187"/>
    </row>
    <row r="249" ht="15">
      <c r="L249" s="187"/>
    </row>
    <row r="250" ht="15">
      <c r="L250" s="187"/>
    </row>
    <row r="251" ht="15">
      <c r="L251" s="187"/>
    </row>
    <row r="252" ht="15">
      <c r="L252" s="187"/>
    </row>
    <row r="253" ht="15">
      <c r="L253" s="187"/>
    </row>
    <row r="254" ht="15">
      <c r="L254" s="187"/>
    </row>
    <row r="255" ht="15">
      <c r="L255" s="187"/>
    </row>
    <row r="256" ht="15">
      <c r="L256" s="187"/>
    </row>
    <row r="257" ht="15">
      <c r="L257" s="187"/>
    </row>
    <row r="258" ht="15">
      <c r="L258" s="187"/>
    </row>
    <row r="259" ht="15">
      <c r="L259" s="187"/>
    </row>
    <row r="260" ht="15">
      <c r="L260" s="187"/>
    </row>
    <row r="261" ht="15">
      <c r="L261" s="187"/>
    </row>
    <row r="262" ht="15">
      <c r="L262" s="187"/>
    </row>
    <row r="263" ht="15">
      <c r="L263" s="187"/>
    </row>
    <row r="264" ht="15">
      <c r="L264" s="187"/>
    </row>
    <row r="265" ht="15">
      <c r="L265" s="187"/>
    </row>
    <row r="266" ht="15">
      <c r="L266" s="187"/>
    </row>
    <row r="267" ht="15">
      <c r="L267" s="187"/>
    </row>
    <row r="268" ht="15">
      <c r="L268" s="187"/>
    </row>
    <row r="269" ht="15">
      <c r="L269" s="187"/>
    </row>
    <row r="270" ht="15">
      <c r="L270" s="187"/>
    </row>
  </sheetData>
  <mergeCells count="9">
    <mergeCell ref="P7:R7"/>
    <mergeCell ref="P6:R6"/>
    <mergeCell ref="L8:N8"/>
    <mergeCell ref="A9:B9"/>
    <mergeCell ref="A4:J4"/>
    <mergeCell ref="A2:J2"/>
    <mergeCell ref="C10:F10"/>
    <mergeCell ref="G10:J10"/>
    <mergeCell ref="G7:J7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I50"/>
  <sheetViews>
    <sheetView showZeros="0" workbookViewId="0" topLeftCell="A1">
      <pane xSplit="1" ySplit="11" topLeftCell="B12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U10" sqref="U10"/>
    </sheetView>
  </sheetViews>
  <sheetFormatPr defaultColWidth="9.796875" defaultRowHeight="15"/>
  <cols>
    <col min="1" max="1" width="9.796875" style="2" customWidth="1"/>
    <col min="2" max="2" width="12.296875" style="2" customWidth="1"/>
    <col min="3" max="10" width="7.796875" style="2" customWidth="1"/>
    <col min="11" max="15" width="6.796875" style="2" customWidth="1"/>
    <col min="16" max="16" width="7.296875" style="2" customWidth="1"/>
    <col min="17" max="17" width="7.19921875" style="2" customWidth="1"/>
    <col min="18" max="18" width="6.69921875" style="2" customWidth="1"/>
    <col min="19" max="22" width="6.796875" style="2" customWidth="1"/>
    <col min="23" max="23" width="8.59765625" style="2" customWidth="1"/>
    <col min="24" max="29" width="9.796875" style="2" customWidth="1"/>
    <col min="30" max="32" width="8.796875" style="2" customWidth="1"/>
    <col min="33" max="33" width="6.796875" style="2" customWidth="1"/>
    <col min="34" max="36" width="8.796875" style="2" customWidth="1"/>
    <col min="37" max="37" width="6.796875" style="2" customWidth="1"/>
    <col min="38" max="40" width="8.796875" style="2" customWidth="1"/>
    <col min="41" max="41" width="6.796875" style="2" customWidth="1"/>
    <col min="42" max="44" width="8.796875" style="2" customWidth="1"/>
    <col min="45" max="45" width="6.796875" style="2" customWidth="1"/>
    <col min="46" max="48" width="8.796875" style="2" customWidth="1"/>
    <col min="49" max="49" width="6.796875" style="2" customWidth="1"/>
    <col min="50" max="16384" width="9.796875" style="2" customWidth="1"/>
  </cols>
  <sheetData>
    <row r="1" spans="1:23" ht="17.25" customHeight="1">
      <c r="A1" s="9"/>
      <c r="B1" s="1"/>
      <c r="C1" s="1"/>
      <c r="D1" s="1"/>
      <c r="E1" s="1"/>
      <c r="F1" s="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824" t="s">
        <v>317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4"/>
    </row>
    <row r="3" spans="1:23" ht="15" customHeight="1">
      <c r="A3" s="4"/>
      <c r="B3" s="4"/>
      <c r="C3" s="4"/>
      <c r="D3" s="4"/>
      <c r="E3" s="4"/>
      <c r="F3" s="4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1" customHeight="1">
      <c r="A4" s="10" t="s">
        <v>251</v>
      </c>
      <c r="B4" s="1"/>
      <c r="C4" s="1"/>
      <c r="D4" s="1"/>
      <c r="E4" s="1"/>
      <c r="F4" s="1"/>
      <c r="G4" s="1"/>
      <c r="H4" s="1"/>
      <c r="I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2.5" customHeight="1">
      <c r="A5" s="4"/>
      <c r="B5" s="4"/>
      <c r="C5" s="4"/>
      <c r="D5" s="4"/>
      <c r="E5" s="4"/>
      <c r="F5" s="4"/>
      <c r="G5" s="4"/>
      <c r="H5" s="4"/>
      <c r="I5" s="7"/>
      <c r="J5" s="16"/>
      <c r="K5" s="4"/>
      <c r="L5" s="4"/>
      <c r="M5" s="4"/>
      <c r="N5" s="4"/>
      <c r="O5" s="4"/>
      <c r="P5" s="4"/>
      <c r="Q5" s="4"/>
      <c r="R5" s="11"/>
      <c r="S5" s="11"/>
      <c r="T5" s="11"/>
      <c r="U5" s="11" t="s">
        <v>166</v>
      </c>
      <c r="V5" s="775"/>
      <c r="W5" s="11"/>
    </row>
    <row r="6" spans="1:35" ht="22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3"/>
      <c r="R6" s="3"/>
      <c r="S6" s="3"/>
      <c r="T6" s="3"/>
      <c r="U6" s="16" t="s">
        <v>167</v>
      </c>
      <c r="V6" s="777"/>
      <c r="W6" s="4"/>
      <c r="X6" s="5"/>
      <c r="Y6" s="5"/>
      <c r="Z6" s="5"/>
      <c r="AA6" s="5"/>
      <c r="AB6" s="5"/>
      <c r="AC6" s="5"/>
      <c r="AD6" s="5"/>
      <c r="AE6" s="270"/>
      <c r="AF6" s="5"/>
      <c r="AG6" s="5"/>
      <c r="AH6" s="5"/>
      <c r="AI6" s="270"/>
    </row>
    <row r="7" spans="1:23" ht="18" customHeight="1">
      <c r="A7" s="18"/>
      <c r="B7" s="24"/>
      <c r="C7" s="834" t="s">
        <v>294</v>
      </c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834"/>
      <c r="R7" s="834"/>
      <c r="S7" s="834"/>
      <c r="T7" s="834"/>
      <c r="U7" s="834"/>
      <c r="V7" s="836"/>
      <c r="W7" s="110"/>
    </row>
    <row r="8" spans="1:23" ht="16.5" customHeight="1">
      <c r="A8" s="25" t="s">
        <v>45</v>
      </c>
      <c r="B8" s="124"/>
      <c r="C8" s="271" t="s">
        <v>168</v>
      </c>
      <c r="D8" s="183"/>
      <c r="E8" s="183"/>
      <c r="F8" s="272"/>
      <c r="G8" s="180" t="s">
        <v>169</v>
      </c>
      <c r="H8" s="273"/>
      <c r="I8" s="181"/>
      <c r="J8" s="274"/>
      <c r="K8" s="271" t="s">
        <v>170</v>
      </c>
      <c r="L8" s="275"/>
      <c r="M8" s="181"/>
      <c r="N8" s="274"/>
      <c r="O8" s="791" t="s">
        <v>257</v>
      </c>
      <c r="P8" s="792"/>
      <c r="Q8" s="792"/>
      <c r="R8" s="793"/>
      <c r="S8" s="794" t="s">
        <v>245</v>
      </c>
      <c r="T8" s="795"/>
      <c r="U8" s="795"/>
      <c r="V8" s="796"/>
      <c r="W8" s="276"/>
    </row>
    <row r="9" spans="1:23" ht="16.5" customHeight="1">
      <c r="A9" s="37"/>
      <c r="B9" s="218" t="s">
        <v>46</v>
      </c>
      <c r="C9" s="277" t="s">
        <v>71</v>
      </c>
      <c r="D9" s="237"/>
      <c r="E9" s="220" t="s">
        <v>72</v>
      </c>
      <c r="F9" s="238" t="s">
        <v>2</v>
      </c>
      <c r="G9" s="277" t="s">
        <v>71</v>
      </c>
      <c r="H9" s="237"/>
      <c r="I9" s="220" t="s">
        <v>72</v>
      </c>
      <c r="J9" s="238" t="s">
        <v>2</v>
      </c>
      <c r="K9" s="278" t="s">
        <v>71</v>
      </c>
      <c r="L9" s="279"/>
      <c r="M9" s="220" t="s">
        <v>72</v>
      </c>
      <c r="N9" s="238" t="s">
        <v>2</v>
      </c>
      <c r="O9" s="277" t="s">
        <v>71</v>
      </c>
      <c r="P9" s="237"/>
      <c r="Q9" s="220" t="s">
        <v>72</v>
      </c>
      <c r="R9" s="238" t="s">
        <v>2</v>
      </c>
      <c r="S9" s="277" t="s">
        <v>71</v>
      </c>
      <c r="T9" s="237"/>
      <c r="U9" s="280" t="s">
        <v>72</v>
      </c>
      <c r="V9" s="281" t="s">
        <v>2</v>
      </c>
      <c r="W9" s="282"/>
    </row>
    <row r="10" spans="1:23" ht="16.5" customHeight="1" thickBot="1">
      <c r="A10" s="13"/>
      <c r="B10" s="131"/>
      <c r="C10" s="43" t="s">
        <v>109</v>
      </c>
      <c r="D10" s="44" t="s">
        <v>110</v>
      </c>
      <c r="E10" s="44" t="s">
        <v>322</v>
      </c>
      <c r="F10" s="46" t="s">
        <v>48</v>
      </c>
      <c r="G10" s="43" t="s">
        <v>109</v>
      </c>
      <c r="H10" s="44" t="s">
        <v>110</v>
      </c>
      <c r="I10" s="44" t="s">
        <v>322</v>
      </c>
      <c r="J10" s="46" t="s">
        <v>48</v>
      </c>
      <c r="K10" s="185" t="s">
        <v>109</v>
      </c>
      <c r="L10" s="44" t="s">
        <v>110</v>
      </c>
      <c r="M10" s="44" t="s">
        <v>322</v>
      </c>
      <c r="N10" s="46" t="s">
        <v>48</v>
      </c>
      <c r="O10" s="43" t="s">
        <v>109</v>
      </c>
      <c r="P10" s="44" t="s">
        <v>110</v>
      </c>
      <c r="Q10" s="44" t="s">
        <v>322</v>
      </c>
      <c r="R10" s="46" t="s">
        <v>48</v>
      </c>
      <c r="S10" s="283" t="s">
        <v>109</v>
      </c>
      <c r="T10" s="284" t="s">
        <v>110</v>
      </c>
      <c r="U10" s="44" t="s">
        <v>322</v>
      </c>
      <c r="V10" s="285" t="s">
        <v>48</v>
      </c>
      <c r="W10" s="110"/>
    </row>
    <row r="11" spans="1:23" ht="16.5" customHeight="1">
      <c r="A11" s="286"/>
      <c r="B11" s="287"/>
      <c r="C11" s="832" t="s">
        <v>171</v>
      </c>
      <c r="D11" s="832"/>
      <c r="E11" s="832"/>
      <c r="F11" s="832"/>
      <c r="G11" s="832" t="s">
        <v>172</v>
      </c>
      <c r="H11" s="832"/>
      <c r="I11" s="832"/>
      <c r="J11" s="832"/>
      <c r="K11" s="832" t="s">
        <v>173</v>
      </c>
      <c r="L11" s="832"/>
      <c r="M11" s="832"/>
      <c r="N11" s="832"/>
      <c r="O11" s="288"/>
      <c r="P11" s="282" t="s">
        <v>174</v>
      </c>
      <c r="Q11" s="289"/>
      <c r="R11" s="286"/>
      <c r="S11" s="832" t="s">
        <v>285</v>
      </c>
      <c r="T11" s="832"/>
      <c r="U11" s="832"/>
      <c r="V11" s="832"/>
      <c r="W11" s="286"/>
    </row>
    <row r="12" spans="1:23" ht="16.5" customHeight="1" thickBot="1">
      <c r="A12" s="286"/>
      <c r="B12" s="287"/>
      <c r="C12" s="289"/>
      <c r="D12" s="282"/>
      <c r="E12" s="289"/>
      <c r="F12" s="286"/>
      <c r="G12" s="288"/>
      <c r="H12" s="282"/>
      <c r="I12" s="289"/>
      <c r="J12" s="286"/>
      <c r="K12" s="288"/>
      <c r="L12" s="282"/>
      <c r="M12" s="289"/>
      <c r="N12" s="286"/>
      <c r="O12" s="288"/>
      <c r="P12" s="282"/>
      <c r="Q12" s="289"/>
      <c r="R12" s="286"/>
      <c r="S12" s="286"/>
      <c r="T12" s="286"/>
      <c r="U12" s="286"/>
      <c r="V12" s="286"/>
      <c r="W12" s="286"/>
    </row>
    <row r="13" spans="1:23" ht="16.5" customHeight="1">
      <c r="A13" s="708"/>
      <c r="B13" s="709"/>
      <c r="C13" s="413"/>
      <c r="D13" s="710"/>
      <c r="E13" s="710"/>
      <c r="F13" s="711"/>
      <c r="G13" s="413"/>
      <c r="H13" s="710"/>
      <c r="I13" s="710"/>
      <c r="J13" s="711"/>
      <c r="K13" s="413"/>
      <c r="L13" s="710"/>
      <c r="M13" s="710"/>
      <c r="N13" s="711"/>
      <c r="O13" s="413"/>
      <c r="P13" s="710"/>
      <c r="Q13" s="710"/>
      <c r="R13" s="711"/>
      <c r="S13" s="413"/>
      <c r="T13" s="710"/>
      <c r="U13" s="710"/>
      <c r="V13" s="711"/>
      <c r="W13" s="286"/>
    </row>
    <row r="14" spans="1:23" ht="16.5" customHeight="1">
      <c r="A14" s="448" t="s">
        <v>6</v>
      </c>
      <c r="B14" s="479"/>
      <c r="C14" s="444"/>
      <c r="D14" s="445">
        <v>5852</v>
      </c>
      <c r="E14" s="445">
        <v>5852</v>
      </c>
      <c r="F14" s="480">
        <f aca="true" t="shared" si="0" ref="F14:F42">E14/D14*100</f>
        <v>100</v>
      </c>
      <c r="G14" s="444">
        <v>34035</v>
      </c>
      <c r="H14" s="445">
        <v>34091</v>
      </c>
      <c r="I14" s="445">
        <v>34091</v>
      </c>
      <c r="J14" s="480">
        <f aca="true" t="shared" si="1" ref="J14:J42">I14/H14*100</f>
        <v>100</v>
      </c>
      <c r="K14" s="444"/>
      <c r="L14" s="445"/>
      <c r="M14" s="445"/>
      <c r="N14" s="481"/>
      <c r="O14" s="444"/>
      <c r="P14" s="445">
        <v>40952</v>
      </c>
      <c r="Q14" s="445">
        <v>40719</v>
      </c>
      <c r="R14" s="480">
        <f aca="true" t="shared" si="2" ref="R14:R21">Q14/P14*100</f>
        <v>99.43104121898809</v>
      </c>
      <c r="S14" s="444"/>
      <c r="T14" s="445"/>
      <c r="U14" s="445"/>
      <c r="V14" s="481"/>
      <c r="W14" s="293"/>
    </row>
    <row r="15" spans="1:23" ht="16.5" customHeight="1">
      <c r="A15" s="72" t="s">
        <v>7</v>
      </c>
      <c r="B15" s="77"/>
      <c r="C15" s="74"/>
      <c r="D15" s="75">
        <v>2617</v>
      </c>
      <c r="E15" s="75">
        <v>2617</v>
      </c>
      <c r="F15" s="480">
        <f t="shared" si="0"/>
        <v>100</v>
      </c>
      <c r="G15" s="74">
        <v>6171</v>
      </c>
      <c r="H15" s="75">
        <v>6213</v>
      </c>
      <c r="I15" s="75">
        <v>6213</v>
      </c>
      <c r="J15" s="480">
        <f t="shared" si="1"/>
        <v>100</v>
      </c>
      <c r="K15" s="444"/>
      <c r="L15" s="75"/>
      <c r="M15" s="75"/>
      <c r="N15" s="416"/>
      <c r="O15" s="74"/>
      <c r="P15" s="75">
        <v>4120</v>
      </c>
      <c r="Q15" s="75">
        <v>4120</v>
      </c>
      <c r="R15" s="480">
        <f t="shared" si="2"/>
        <v>100</v>
      </c>
      <c r="S15" s="74"/>
      <c r="T15" s="75"/>
      <c r="U15" s="75"/>
      <c r="V15" s="416"/>
      <c r="W15" s="293"/>
    </row>
    <row r="16" spans="1:23" ht="16.5" customHeight="1">
      <c r="A16" s="72" t="s">
        <v>8</v>
      </c>
      <c r="B16" s="77"/>
      <c r="C16" s="74"/>
      <c r="D16" s="75">
        <v>1216</v>
      </c>
      <c r="E16" s="75">
        <v>1216</v>
      </c>
      <c r="F16" s="480">
        <f t="shared" si="0"/>
        <v>100</v>
      </c>
      <c r="G16" s="74">
        <v>6106</v>
      </c>
      <c r="H16" s="75">
        <v>6070</v>
      </c>
      <c r="I16" s="75">
        <v>6070</v>
      </c>
      <c r="J16" s="480">
        <f t="shared" si="1"/>
        <v>100</v>
      </c>
      <c r="K16" s="74"/>
      <c r="L16" s="75"/>
      <c r="M16" s="75"/>
      <c r="N16" s="416"/>
      <c r="O16" s="74"/>
      <c r="P16" s="75">
        <v>6052</v>
      </c>
      <c r="Q16" s="75">
        <v>6052</v>
      </c>
      <c r="R16" s="480">
        <f t="shared" si="2"/>
        <v>100</v>
      </c>
      <c r="S16" s="74"/>
      <c r="T16" s="75"/>
      <c r="U16" s="75"/>
      <c r="V16" s="480"/>
      <c r="W16" s="293"/>
    </row>
    <row r="17" spans="1:23" ht="16.5" customHeight="1">
      <c r="A17" s="72" t="s">
        <v>9</v>
      </c>
      <c r="B17" s="77"/>
      <c r="C17" s="74"/>
      <c r="D17" s="75">
        <v>632</v>
      </c>
      <c r="E17" s="75">
        <v>632</v>
      </c>
      <c r="F17" s="480">
        <f t="shared" si="0"/>
        <v>100</v>
      </c>
      <c r="G17" s="74">
        <v>4850</v>
      </c>
      <c r="H17" s="75">
        <v>4796</v>
      </c>
      <c r="I17" s="75">
        <v>4796</v>
      </c>
      <c r="J17" s="480">
        <f t="shared" si="1"/>
        <v>100</v>
      </c>
      <c r="K17" s="74"/>
      <c r="L17" s="75">
        <v>1062</v>
      </c>
      <c r="M17" s="75">
        <v>1062</v>
      </c>
      <c r="N17" s="480">
        <f>M17/L17*100</f>
        <v>100</v>
      </c>
      <c r="O17" s="74"/>
      <c r="P17" s="75">
        <v>3476</v>
      </c>
      <c r="Q17" s="75">
        <v>3462</v>
      </c>
      <c r="R17" s="480">
        <f t="shared" si="2"/>
        <v>99.59723820483313</v>
      </c>
      <c r="S17" s="74"/>
      <c r="T17" s="75"/>
      <c r="U17" s="75"/>
      <c r="V17" s="480"/>
      <c r="W17" s="293"/>
    </row>
    <row r="18" spans="1:23" ht="16.5" customHeight="1">
      <c r="A18" s="72" t="s">
        <v>10</v>
      </c>
      <c r="B18" s="77"/>
      <c r="C18" s="74"/>
      <c r="D18" s="75">
        <v>986</v>
      </c>
      <c r="E18" s="75">
        <v>986</v>
      </c>
      <c r="F18" s="480">
        <f t="shared" si="0"/>
        <v>100</v>
      </c>
      <c r="G18" s="74">
        <v>5329</v>
      </c>
      <c r="H18" s="75">
        <v>5340</v>
      </c>
      <c r="I18" s="75">
        <v>5340</v>
      </c>
      <c r="J18" s="480">
        <f t="shared" si="1"/>
        <v>100</v>
      </c>
      <c r="K18" s="74"/>
      <c r="L18" s="75">
        <v>1471</v>
      </c>
      <c r="M18" s="75">
        <v>1471</v>
      </c>
      <c r="N18" s="480">
        <f>M18/L18*100</f>
        <v>100</v>
      </c>
      <c r="O18" s="74"/>
      <c r="P18" s="75">
        <v>3100</v>
      </c>
      <c r="Q18" s="75">
        <v>3100</v>
      </c>
      <c r="R18" s="480">
        <f t="shared" si="2"/>
        <v>100</v>
      </c>
      <c r="S18" s="74"/>
      <c r="T18" s="75"/>
      <c r="U18" s="75"/>
      <c r="V18" s="481"/>
      <c r="W18" s="293"/>
    </row>
    <row r="19" spans="1:23" ht="16.5" customHeight="1">
      <c r="A19" s="72" t="s">
        <v>11</v>
      </c>
      <c r="B19" s="77"/>
      <c r="C19" s="74"/>
      <c r="D19" s="75">
        <v>135</v>
      </c>
      <c r="E19" s="75">
        <v>135</v>
      </c>
      <c r="F19" s="480">
        <f t="shared" si="0"/>
        <v>100</v>
      </c>
      <c r="G19" s="74">
        <v>875</v>
      </c>
      <c r="H19" s="75">
        <v>889</v>
      </c>
      <c r="I19" s="75">
        <v>889</v>
      </c>
      <c r="J19" s="480">
        <f t="shared" si="1"/>
        <v>100</v>
      </c>
      <c r="K19" s="74"/>
      <c r="L19" s="75"/>
      <c r="M19" s="75"/>
      <c r="N19" s="480"/>
      <c r="O19" s="74"/>
      <c r="P19" s="75">
        <v>750</v>
      </c>
      <c r="Q19" s="75">
        <v>750</v>
      </c>
      <c r="R19" s="480">
        <f t="shared" si="2"/>
        <v>100</v>
      </c>
      <c r="S19" s="74"/>
      <c r="T19" s="75"/>
      <c r="U19" s="75"/>
      <c r="V19" s="480"/>
      <c r="W19" s="293"/>
    </row>
    <row r="20" spans="1:23" ht="16.5" customHeight="1">
      <c r="A20" s="72" t="s">
        <v>242</v>
      </c>
      <c r="B20" s="77"/>
      <c r="C20" s="74"/>
      <c r="D20" s="75">
        <v>2298</v>
      </c>
      <c r="E20" s="75">
        <v>2298</v>
      </c>
      <c r="F20" s="480">
        <f t="shared" si="0"/>
        <v>100</v>
      </c>
      <c r="G20" s="74">
        <v>9817</v>
      </c>
      <c r="H20" s="75">
        <v>9824</v>
      </c>
      <c r="I20" s="75">
        <v>9824</v>
      </c>
      <c r="J20" s="480">
        <f t="shared" si="1"/>
        <v>100</v>
      </c>
      <c r="K20" s="74"/>
      <c r="L20" s="75"/>
      <c r="M20" s="75"/>
      <c r="N20" s="416"/>
      <c r="O20" s="74"/>
      <c r="P20" s="75">
        <v>7269</v>
      </c>
      <c r="Q20" s="75">
        <v>7269</v>
      </c>
      <c r="R20" s="480">
        <f t="shared" si="2"/>
        <v>100</v>
      </c>
      <c r="S20" s="74"/>
      <c r="T20" s="75"/>
      <c r="U20" s="75"/>
      <c r="V20" s="481"/>
      <c r="W20" s="293"/>
    </row>
    <row r="21" spans="1:23" ht="16.5" customHeight="1">
      <c r="A21" s="72" t="s">
        <v>13</v>
      </c>
      <c r="B21" s="77"/>
      <c r="C21" s="74"/>
      <c r="D21" s="75">
        <v>3352</v>
      </c>
      <c r="E21" s="75">
        <v>3352</v>
      </c>
      <c r="F21" s="480">
        <f t="shared" si="0"/>
        <v>100</v>
      </c>
      <c r="G21" s="74">
        <v>10244</v>
      </c>
      <c r="H21" s="75">
        <v>10282</v>
      </c>
      <c r="I21" s="75">
        <v>10282</v>
      </c>
      <c r="J21" s="480">
        <f t="shared" si="1"/>
        <v>100</v>
      </c>
      <c r="K21" s="74"/>
      <c r="L21" s="75">
        <v>1014</v>
      </c>
      <c r="M21" s="75">
        <v>1013</v>
      </c>
      <c r="N21" s="480">
        <f>M21/L21*100</f>
        <v>99.90138067061145</v>
      </c>
      <c r="O21" s="74"/>
      <c r="P21" s="75">
        <v>4403</v>
      </c>
      <c r="Q21" s="75">
        <v>4353</v>
      </c>
      <c r="R21" s="480">
        <f t="shared" si="2"/>
        <v>98.86441062911652</v>
      </c>
      <c r="S21" s="74"/>
      <c r="T21" s="75"/>
      <c r="U21" s="75"/>
      <c r="V21" s="416"/>
      <c r="W21" s="293"/>
    </row>
    <row r="22" spans="1:23" ht="16.5" customHeight="1">
      <c r="A22" s="72" t="s">
        <v>14</v>
      </c>
      <c r="B22" s="77"/>
      <c r="C22" s="74"/>
      <c r="D22" s="75">
        <v>35</v>
      </c>
      <c r="E22" s="75">
        <v>35</v>
      </c>
      <c r="F22" s="480">
        <f t="shared" si="0"/>
        <v>100</v>
      </c>
      <c r="G22" s="74">
        <v>290</v>
      </c>
      <c r="H22" s="75">
        <v>292</v>
      </c>
      <c r="I22" s="75">
        <v>292</v>
      </c>
      <c r="J22" s="480">
        <f t="shared" si="1"/>
        <v>100</v>
      </c>
      <c r="K22" s="74"/>
      <c r="L22" s="75"/>
      <c r="M22" s="75"/>
      <c r="N22" s="416"/>
      <c r="O22" s="74"/>
      <c r="P22" s="75"/>
      <c r="Q22" s="75"/>
      <c r="R22" s="480"/>
      <c r="S22" s="74"/>
      <c r="T22" s="75"/>
      <c r="U22" s="75"/>
      <c r="V22" s="416"/>
      <c r="W22" s="293"/>
    </row>
    <row r="23" spans="1:23" ht="16.5" customHeight="1">
      <c r="A23" s="72" t="s">
        <v>15</v>
      </c>
      <c r="B23" s="77"/>
      <c r="C23" s="74"/>
      <c r="D23" s="75">
        <v>434</v>
      </c>
      <c r="E23" s="75">
        <v>434</v>
      </c>
      <c r="F23" s="480">
        <f t="shared" si="0"/>
        <v>100</v>
      </c>
      <c r="G23" s="74">
        <v>2840</v>
      </c>
      <c r="H23" s="75">
        <v>2849</v>
      </c>
      <c r="I23" s="75">
        <v>2849</v>
      </c>
      <c r="J23" s="480">
        <f t="shared" si="1"/>
        <v>100</v>
      </c>
      <c r="K23" s="74"/>
      <c r="L23" s="75"/>
      <c r="M23" s="75"/>
      <c r="N23" s="416"/>
      <c r="O23" s="74"/>
      <c r="P23" s="75">
        <v>1642</v>
      </c>
      <c r="Q23" s="75">
        <v>1602</v>
      </c>
      <c r="R23" s="480">
        <f aca="true" t="shared" si="3" ref="R23:R38">Q23/P23*100</f>
        <v>97.56394640682095</v>
      </c>
      <c r="S23" s="74"/>
      <c r="T23" s="75"/>
      <c r="U23" s="75"/>
      <c r="V23" s="416"/>
      <c r="W23" s="293"/>
    </row>
    <row r="24" spans="1:23" ht="16.5" customHeight="1">
      <c r="A24" s="72" t="s">
        <v>16</v>
      </c>
      <c r="B24" s="77"/>
      <c r="C24" s="74"/>
      <c r="D24" s="75">
        <v>6095</v>
      </c>
      <c r="E24" s="75">
        <v>6095</v>
      </c>
      <c r="F24" s="480">
        <f t="shared" si="0"/>
        <v>100</v>
      </c>
      <c r="G24" s="74">
        <v>1448</v>
      </c>
      <c r="H24" s="75">
        <v>1465</v>
      </c>
      <c r="I24" s="75">
        <v>1465</v>
      </c>
      <c r="J24" s="480">
        <f t="shared" si="1"/>
        <v>100</v>
      </c>
      <c r="K24" s="74"/>
      <c r="L24" s="75"/>
      <c r="M24" s="75"/>
      <c r="N24" s="416"/>
      <c r="O24" s="74"/>
      <c r="P24" s="75">
        <v>530</v>
      </c>
      <c r="Q24" s="75">
        <v>530</v>
      </c>
      <c r="R24" s="480">
        <f t="shared" si="3"/>
        <v>100</v>
      </c>
      <c r="S24" s="74"/>
      <c r="T24" s="75"/>
      <c r="U24" s="75"/>
      <c r="V24" s="416"/>
      <c r="W24" s="293"/>
    </row>
    <row r="25" spans="1:24" ht="16.5" customHeight="1">
      <c r="A25" s="72" t="s">
        <v>244</v>
      </c>
      <c r="B25" s="77"/>
      <c r="C25" s="74"/>
      <c r="D25" s="75">
        <v>213</v>
      </c>
      <c r="E25" s="75">
        <v>213</v>
      </c>
      <c r="F25" s="480">
        <f t="shared" si="0"/>
        <v>100</v>
      </c>
      <c r="G25" s="74">
        <v>1098</v>
      </c>
      <c r="H25" s="75">
        <v>1113</v>
      </c>
      <c r="I25" s="75">
        <v>1113</v>
      </c>
      <c r="J25" s="480">
        <f t="shared" si="1"/>
        <v>100</v>
      </c>
      <c r="K25" s="74"/>
      <c r="L25" s="75"/>
      <c r="M25" s="75"/>
      <c r="N25" s="416"/>
      <c r="O25" s="74"/>
      <c r="P25" s="75">
        <v>534</v>
      </c>
      <c r="Q25" s="75">
        <v>534</v>
      </c>
      <c r="R25" s="480">
        <f t="shared" si="3"/>
        <v>100</v>
      </c>
      <c r="S25" s="74"/>
      <c r="T25" s="75"/>
      <c r="U25" s="75"/>
      <c r="V25" s="416"/>
      <c r="W25" s="293"/>
      <c r="X25" s="6"/>
    </row>
    <row r="26" spans="1:23" ht="16.5" customHeight="1">
      <c r="A26" s="72" t="s">
        <v>18</v>
      </c>
      <c r="B26" s="77"/>
      <c r="C26" s="74"/>
      <c r="D26" s="75">
        <v>4446</v>
      </c>
      <c r="E26" s="75">
        <v>4446</v>
      </c>
      <c r="F26" s="480">
        <f t="shared" si="0"/>
        <v>100</v>
      </c>
      <c r="G26" s="74">
        <v>20380</v>
      </c>
      <c r="H26" s="75">
        <v>20369</v>
      </c>
      <c r="I26" s="75">
        <v>20369</v>
      </c>
      <c r="J26" s="480">
        <f t="shared" si="1"/>
        <v>100</v>
      </c>
      <c r="K26" s="74"/>
      <c r="L26" s="75">
        <v>991</v>
      </c>
      <c r="M26" s="75">
        <f>991-1</f>
        <v>990</v>
      </c>
      <c r="N26" s="480">
        <f>M26/L26*100</f>
        <v>99.89909182643795</v>
      </c>
      <c r="O26" s="74"/>
      <c r="P26" s="75">
        <v>16835</v>
      </c>
      <c r="Q26" s="75">
        <f>16095-1</f>
        <v>16094</v>
      </c>
      <c r="R26" s="480">
        <f t="shared" si="3"/>
        <v>95.5984555984556</v>
      </c>
      <c r="S26" s="74"/>
      <c r="T26" s="75"/>
      <c r="U26" s="75"/>
      <c r="V26" s="441"/>
      <c r="W26" s="494"/>
    </row>
    <row r="27" spans="1:23" ht="16.5" customHeight="1">
      <c r="A27" s="72" t="s">
        <v>58</v>
      </c>
      <c r="B27" s="77"/>
      <c r="C27" s="74"/>
      <c r="D27" s="75">
        <v>380</v>
      </c>
      <c r="E27" s="75">
        <v>380</v>
      </c>
      <c r="F27" s="480">
        <f t="shared" si="0"/>
        <v>100</v>
      </c>
      <c r="G27" s="74">
        <v>2070</v>
      </c>
      <c r="H27" s="75">
        <v>2068</v>
      </c>
      <c r="I27" s="75">
        <v>2068</v>
      </c>
      <c r="J27" s="480">
        <f t="shared" si="1"/>
        <v>100</v>
      </c>
      <c r="K27" s="74"/>
      <c r="L27" s="75"/>
      <c r="M27" s="75"/>
      <c r="N27" s="416"/>
      <c r="O27" s="74"/>
      <c r="P27" s="75">
        <v>1216</v>
      </c>
      <c r="Q27" s="75">
        <v>1196</v>
      </c>
      <c r="R27" s="480">
        <f t="shared" si="3"/>
        <v>98.35526315789474</v>
      </c>
      <c r="S27" s="74"/>
      <c r="T27" s="75"/>
      <c r="U27" s="75"/>
      <c r="V27" s="416"/>
      <c r="W27" s="293"/>
    </row>
    <row r="28" spans="1:23" ht="15.75" customHeight="1">
      <c r="A28" s="72" t="s">
        <v>19</v>
      </c>
      <c r="B28" s="77"/>
      <c r="C28" s="74"/>
      <c r="D28" s="75">
        <v>2253</v>
      </c>
      <c r="E28" s="75">
        <v>2253</v>
      </c>
      <c r="F28" s="480">
        <f t="shared" si="0"/>
        <v>100</v>
      </c>
      <c r="G28" s="74">
        <v>10256</v>
      </c>
      <c r="H28" s="75">
        <v>10398</v>
      </c>
      <c r="I28" s="75">
        <v>10398</v>
      </c>
      <c r="J28" s="480">
        <f t="shared" si="1"/>
        <v>100</v>
      </c>
      <c r="K28" s="74"/>
      <c r="L28" s="75">
        <v>889</v>
      </c>
      <c r="M28" s="75">
        <v>889</v>
      </c>
      <c r="N28" s="480">
        <f>M28/L28*100</f>
        <v>100</v>
      </c>
      <c r="O28" s="74"/>
      <c r="P28" s="75">
        <v>6893</v>
      </c>
      <c r="Q28" s="75">
        <v>6893</v>
      </c>
      <c r="R28" s="480">
        <f t="shared" si="3"/>
        <v>100</v>
      </c>
      <c r="S28" s="74"/>
      <c r="T28" s="75"/>
      <c r="U28" s="75"/>
      <c r="V28" s="441"/>
      <c r="W28" s="494"/>
    </row>
    <row r="29" spans="1:23" ht="16.5" customHeight="1">
      <c r="A29" s="72" t="s">
        <v>20</v>
      </c>
      <c r="B29" s="77"/>
      <c r="C29" s="74"/>
      <c r="D29" s="75">
        <v>396</v>
      </c>
      <c r="E29" s="75">
        <v>396</v>
      </c>
      <c r="F29" s="480">
        <f t="shared" si="0"/>
        <v>100</v>
      </c>
      <c r="G29" s="74">
        <v>3311</v>
      </c>
      <c r="H29" s="75">
        <v>3351</v>
      </c>
      <c r="I29" s="75">
        <v>3351</v>
      </c>
      <c r="J29" s="480">
        <f t="shared" si="1"/>
        <v>100</v>
      </c>
      <c r="K29" s="74"/>
      <c r="L29" s="75">
        <v>425</v>
      </c>
      <c r="M29" s="75">
        <v>425</v>
      </c>
      <c r="N29" s="480">
        <f>M29/L29*100</f>
        <v>100</v>
      </c>
      <c r="O29" s="74"/>
      <c r="P29" s="75">
        <v>4000</v>
      </c>
      <c r="Q29" s="75">
        <v>4000</v>
      </c>
      <c r="R29" s="480">
        <f t="shared" si="3"/>
        <v>100</v>
      </c>
      <c r="S29" s="74"/>
      <c r="T29" s="75"/>
      <c r="U29" s="75"/>
      <c r="V29" s="416"/>
      <c r="W29" s="293"/>
    </row>
    <row r="30" spans="1:23" ht="16.5" customHeight="1">
      <c r="A30" s="72" t="s">
        <v>21</v>
      </c>
      <c r="B30" s="77"/>
      <c r="C30" s="74"/>
      <c r="D30" s="75">
        <v>728</v>
      </c>
      <c r="E30" s="75">
        <v>728</v>
      </c>
      <c r="F30" s="480">
        <f t="shared" si="0"/>
        <v>100</v>
      </c>
      <c r="G30" s="74">
        <v>3718</v>
      </c>
      <c r="H30" s="75">
        <v>3738</v>
      </c>
      <c r="I30" s="75">
        <v>3738</v>
      </c>
      <c r="J30" s="480">
        <f t="shared" si="1"/>
        <v>100</v>
      </c>
      <c r="K30" s="74"/>
      <c r="L30" s="75"/>
      <c r="M30" s="75"/>
      <c r="N30" s="480"/>
      <c r="O30" s="74"/>
      <c r="P30" s="75">
        <v>3500</v>
      </c>
      <c r="Q30" s="75">
        <v>3500</v>
      </c>
      <c r="R30" s="480">
        <f t="shared" si="3"/>
        <v>100</v>
      </c>
      <c r="S30" s="74"/>
      <c r="T30" s="75"/>
      <c r="U30" s="75"/>
      <c r="V30" s="416"/>
      <c r="W30" s="293"/>
    </row>
    <row r="31" spans="1:23" ht="16.5" customHeight="1">
      <c r="A31" s="72" t="s">
        <v>22</v>
      </c>
      <c r="B31" s="77"/>
      <c r="C31" s="74"/>
      <c r="D31" s="75">
        <v>1155</v>
      </c>
      <c r="E31" s="75">
        <v>1155</v>
      </c>
      <c r="F31" s="480">
        <f t="shared" si="0"/>
        <v>100</v>
      </c>
      <c r="G31" s="74">
        <v>5177</v>
      </c>
      <c r="H31" s="75">
        <v>5117</v>
      </c>
      <c r="I31" s="75">
        <v>5117</v>
      </c>
      <c r="J31" s="480">
        <f t="shared" si="1"/>
        <v>100</v>
      </c>
      <c r="K31" s="74"/>
      <c r="L31" s="75">
        <v>2336</v>
      </c>
      <c r="M31" s="75">
        <v>2336</v>
      </c>
      <c r="N31" s="480">
        <f>M31/L31*100</f>
        <v>100</v>
      </c>
      <c r="O31" s="74"/>
      <c r="P31" s="75">
        <v>2500</v>
      </c>
      <c r="Q31" s="75">
        <v>2500</v>
      </c>
      <c r="R31" s="480">
        <f t="shared" si="3"/>
        <v>100</v>
      </c>
      <c r="S31" s="74"/>
      <c r="T31" s="75"/>
      <c r="U31" s="75"/>
      <c r="V31" s="416"/>
      <c r="W31" s="293"/>
    </row>
    <row r="32" spans="1:23" ht="16.5" customHeight="1">
      <c r="A32" s="72" t="s">
        <v>23</v>
      </c>
      <c r="B32" s="77"/>
      <c r="C32" s="74"/>
      <c r="D32" s="75">
        <v>1893</v>
      </c>
      <c r="E32" s="75">
        <v>1893</v>
      </c>
      <c r="F32" s="480">
        <f t="shared" si="0"/>
        <v>100</v>
      </c>
      <c r="G32" s="74">
        <v>12279</v>
      </c>
      <c r="H32" s="75">
        <v>12375</v>
      </c>
      <c r="I32" s="75">
        <v>12375</v>
      </c>
      <c r="J32" s="480">
        <f t="shared" si="1"/>
        <v>100</v>
      </c>
      <c r="K32" s="74"/>
      <c r="L32" s="75"/>
      <c r="M32" s="75"/>
      <c r="N32" s="480"/>
      <c r="O32" s="74"/>
      <c r="P32" s="75">
        <v>7269</v>
      </c>
      <c r="Q32" s="75">
        <v>7269</v>
      </c>
      <c r="R32" s="480">
        <f t="shared" si="3"/>
        <v>100</v>
      </c>
      <c r="S32" s="74"/>
      <c r="T32" s="75"/>
      <c r="U32" s="75"/>
      <c r="V32" s="416"/>
      <c r="W32" s="293"/>
    </row>
    <row r="33" spans="1:23" ht="16.5" customHeight="1">
      <c r="A33" s="72" t="s">
        <v>24</v>
      </c>
      <c r="B33" s="77"/>
      <c r="C33" s="74"/>
      <c r="D33" s="75">
        <v>734</v>
      </c>
      <c r="E33" s="75">
        <v>734</v>
      </c>
      <c r="F33" s="480">
        <f t="shared" si="0"/>
        <v>100</v>
      </c>
      <c r="G33" s="74">
        <v>3655</v>
      </c>
      <c r="H33" s="75">
        <v>3708</v>
      </c>
      <c r="I33" s="75">
        <v>3708</v>
      </c>
      <c r="J33" s="480">
        <f t="shared" si="1"/>
        <v>100</v>
      </c>
      <c r="K33" s="74">
        <v>979</v>
      </c>
      <c r="L33" s="75">
        <v>1423</v>
      </c>
      <c r="M33" s="75">
        <v>979</v>
      </c>
      <c r="N33" s="480">
        <f>M33/L33*100</f>
        <v>68.79831342234716</v>
      </c>
      <c r="O33" s="74"/>
      <c r="P33" s="75">
        <v>1800</v>
      </c>
      <c r="Q33" s="75">
        <v>1800</v>
      </c>
      <c r="R33" s="480">
        <f t="shared" si="3"/>
        <v>100</v>
      </c>
      <c r="S33" s="74"/>
      <c r="T33" s="75"/>
      <c r="U33" s="75"/>
      <c r="V33" s="416"/>
      <c r="W33" s="293"/>
    </row>
    <row r="34" spans="1:23" ht="16.5" customHeight="1">
      <c r="A34" s="72" t="s">
        <v>25</v>
      </c>
      <c r="B34" s="77"/>
      <c r="C34" s="74"/>
      <c r="D34" s="75">
        <v>274</v>
      </c>
      <c r="E34" s="75">
        <v>274</v>
      </c>
      <c r="F34" s="480">
        <f t="shared" si="0"/>
        <v>100</v>
      </c>
      <c r="G34" s="74">
        <v>2371</v>
      </c>
      <c r="H34" s="75">
        <v>2399</v>
      </c>
      <c r="I34" s="75">
        <v>2399</v>
      </c>
      <c r="J34" s="480">
        <f t="shared" si="1"/>
        <v>100</v>
      </c>
      <c r="K34" s="74"/>
      <c r="L34" s="75"/>
      <c r="M34" s="75"/>
      <c r="N34" s="480"/>
      <c r="O34" s="74"/>
      <c r="P34" s="75">
        <v>848</v>
      </c>
      <c r="Q34" s="75">
        <v>848</v>
      </c>
      <c r="R34" s="480">
        <f t="shared" si="3"/>
        <v>100</v>
      </c>
      <c r="S34" s="74"/>
      <c r="T34" s="75"/>
      <c r="U34" s="75"/>
      <c r="V34" s="480"/>
      <c r="W34" s="293"/>
    </row>
    <row r="35" spans="1:23" ht="16.5" customHeight="1">
      <c r="A35" s="72" t="s">
        <v>26</v>
      </c>
      <c r="B35" s="77"/>
      <c r="C35" s="74"/>
      <c r="D35" s="75">
        <v>181</v>
      </c>
      <c r="E35" s="75">
        <v>181</v>
      </c>
      <c r="F35" s="480">
        <f t="shared" si="0"/>
        <v>100</v>
      </c>
      <c r="G35" s="74">
        <v>1555</v>
      </c>
      <c r="H35" s="75">
        <v>1598</v>
      </c>
      <c r="I35" s="75">
        <v>1598</v>
      </c>
      <c r="J35" s="480">
        <f t="shared" si="1"/>
        <v>100</v>
      </c>
      <c r="K35" s="74"/>
      <c r="L35" s="75"/>
      <c r="M35" s="75"/>
      <c r="N35" s="416"/>
      <c r="O35" s="74"/>
      <c r="P35" s="75">
        <v>1552</v>
      </c>
      <c r="Q35" s="75">
        <v>1552</v>
      </c>
      <c r="R35" s="480">
        <f t="shared" si="3"/>
        <v>100</v>
      </c>
      <c r="S35" s="74"/>
      <c r="T35" s="75"/>
      <c r="U35" s="75"/>
      <c r="V35" s="416"/>
      <c r="W35" s="293"/>
    </row>
    <row r="36" spans="1:23" ht="16.5" customHeight="1">
      <c r="A36" s="72" t="s">
        <v>27</v>
      </c>
      <c r="B36" s="77"/>
      <c r="C36" s="74"/>
      <c r="D36" s="75">
        <v>4196</v>
      </c>
      <c r="E36" s="75">
        <v>4196</v>
      </c>
      <c r="F36" s="480">
        <f t="shared" si="0"/>
        <v>100</v>
      </c>
      <c r="G36" s="74">
        <v>12555</v>
      </c>
      <c r="H36" s="75">
        <v>12560</v>
      </c>
      <c r="I36" s="75">
        <v>12560</v>
      </c>
      <c r="J36" s="480">
        <f t="shared" si="1"/>
        <v>100</v>
      </c>
      <c r="K36" s="74"/>
      <c r="L36" s="75">
        <v>787</v>
      </c>
      <c r="M36" s="75">
        <v>787</v>
      </c>
      <c r="N36" s="480">
        <f>M36/L36*100</f>
        <v>100</v>
      </c>
      <c r="O36" s="74"/>
      <c r="P36" s="75">
        <v>11103</v>
      </c>
      <c r="Q36" s="75">
        <v>11102</v>
      </c>
      <c r="R36" s="480">
        <f t="shared" si="3"/>
        <v>99.99099342520039</v>
      </c>
      <c r="S36" s="74"/>
      <c r="T36" s="75"/>
      <c r="U36" s="75"/>
      <c r="V36" s="481"/>
      <c r="W36" s="293"/>
    </row>
    <row r="37" spans="1:23" ht="16.5" customHeight="1">
      <c r="A37" s="72" t="s">
        <v>28</v>
      </c>
      <c r="B37" s="77"/>
      <c r="C37" s="74"/>
      <c r="D37" s="75">
        <v>530</v>
      </c>
      <c r="E37" s="75">
        <v>530</v>
      </c>
      <c r="F37" s="480">
        <f t="shared" si="0"/>
        <v>100</v>
      </c>
      <c r="G37" s="74">
        <v>1681</v>
      </c>
      <c r="H37" s="75">
        <v>1646</v>
      </c>
      <c r="I37" s="75">
        <v>1646</v>
      </c>
      <c r="J37" s="480">
        <f t="shared" si="1"/>
        <v>100</v>
      </c>
      <c r="K37" s="74"/>
      <c r="L37" s="75"/>
      <c r="M37" s="75"/>
      <c r="N37" s="480"/>
      <c r="O37" s="74"/>
      <c r="P37" s="75">
        <v>650</v>
      </c>
      <c r="Q37" s="75">
        <v>650</v>
      </c>
      <c r="R37" s="480">
        <f t="shared" si="3"/>
        <v>100</v>
      </c>
      <c r="S37" s="74"/>
      <c r="T37" s="75"/>
      <c r="U37" s="75"/>
      <c r="V37" s="416"/>
      <c r="W37" s="293"/>
    </row>
    <row r="38" spans="1:23" ht="16.5" customHeight="1">
      <c r="A38" s="72" t="s">
        <v>325</v>
      </c>
      <c r="B38" s="77"/>
      <c r="C38" s="74"/>
      <c r="D38" s="75">
        <v>1307</v>
      </c>
      <c r="E38" s="75">
        <v>1307</v>
      </c>
      <c r="F38" s="480">
        <f t="shared" si="0"/>
        <v>100</v>
      </c>
      <c r="G38" s="74">
        <v>6596</v>
      </c>
      <c r="H38" s="75">
        <v>6699</v>
      </c>
      <c r="I38" s="75">
        <v>6699</v>
      </c>
      <c r="J38" s="480">
        <f t="shared" si="1"/>
        <v>100</v>
      </c>
      <c r="K38" s="74"/>
      <c r="L38" s="75"/>
      <c r="M38" s="75"/>
      <c r="N38" s="416"/>
      <c r="O38" s="74"/>
      <c r="P38" s="75">
        <v>5000</v>
      </c>
      <c r="Q38" s="75">
        <v>5000</v>
      </c>
      <c r="R38" s="480">
        <f t="shared" si="3"/>
        <v>100</v>
      </c>
      <c r="S38" s="74"/>
      <c r="T38" s="75"/>
      <c r="U38" s="75"/>
      <c r="V38" s="416"/>
      <c r="W38" s="293"/>
    </row>
    <row r="39" spans="1:23" ht="16.5" customHeight="1">
      <c r="A39" s="72" t="s">
        <v>29</v>
      </c>
      <c r="B39" s="77"/>
      <c r="C39" s="74"/>
      <c r="D39" s="75">
        <v>45</v>
      </c>
      <c r="E39" s="75">
        <v>45</v>
      </c>
      <c r="F39" s="480">
        <f t="shared" si="0"/>
        <v>100</v>
      </c>
      <c r="G39" s="74">
        <v>435</v>
      </c>
      <c r="H39" s="75">
        <v>437</v>
      </c>
      <c r="I39" s="75">
        <v>437</v>
      </c>
      <c r="J39" s="480">
        <f t="shared" si="1"/>
        <v>100</v>
      </c>
      <c r="K39" s="74"/>
      <c r="L39" s="75"/>
      <c r="M39" s="75"/>
      <c r="N39" s="416"/>
      <c r="O39" s="74"/>
      <c r="P39" s="75">
        <v>436</v>
      </c>
      <c r="Q39" s="75">
        <v>436</v>
      </c>
      <c r="R39" s="480">
        <f>Q39/P39*100</f>
        <v>100</v>
      </c>
      <c r="S39" s="74"/>
      <c r="T39" s="75"/>
      <c r="U39" s="75"/>
      <c r="V39" s="416"/>
      <c r="W39" s="293"/>
    </row>
    <row r="40" spans="1:23" ht="16.5" customHeight="1">
      <c r="A40" s="72" t="s">
        <v>30</v>
      </c>
      <c r="B40" s="73"/>
      <c r="C40" s="74"/>
      <c r="D40" s="75">
        <v>45</v>
      </c>
      <c r="E40" s="75">
        <v>45</v>
      </c>
      <c r="F40" s="480">
        <f t="shared" si="0"/>
        <v>100</v>
      </c>
      <c r="G40" s="74">
        <v>536</v>
      </c>
      <c r="H40" s="75">
        <v>548</v>
      </c>
      <c r="I40" s="75">
        <v>548</v>
      </c>
      <c r="J40" s="480">
        <f t="shared" si="1"/>
        <v>100</v>
      </c>
      <c r="K40" s="74"/>
      <c r="L40" s="75"/>
      <c r="M40" s="75"/>
      <c r="N40" s="416"/>
      <c r="O40" s="74"/>
      <c r="P40" s="75"/>
      <c r="Q40" s="75"/>
      <c r="R40" s="481"/>
      <c r="S40" s="74"/>
      <c r="T40" s="75"/>
      <c r="U40" s="75"/>
      <c r="V40" s="416"/>
      <c r="W40" s="293"/>
    </row>
    <row r="41" spans="1:23" ht="16.5" customHeight="1">
      <c r="A41" s="72" t="s">
        <v>31</v>
      </c>
      <c r="B41" s="73"/>
      <c r="C41" s="74"/>
      <c r="D41" s="75">
        <v>45</v>
      </c>
      <c r="E41" s="75">
        <v>45</v>
      </c>
      <c r="F41" s="480">
        <f t="shared" si="0"/>
        <v>100</v>
      </c>
      <c r="G41" s="74">
        <v>174</v>
      </c>
      <c r="H41" s="75">
        <v>174</v>
      </c>
      <c r="I41" s="75">
        <v>174</v>
      </c>
      <c r="J41" s="480">
        <f t="shared" si="1"/>
        <v>100</v>
      </c>
      <c r="K41" s="74"/>
      <c r="L41" s="75"/>
      <c r="M41" s="500"/>
      <c r="N41" s="416"/>
      <c r="O41" s="389"/>
      <c r="P41" s="75"/>
      <c r="Q41" s="500"/>
      <c r="R41" s="481"/>
      <c r="S41" s="389"/>
      <c r="T41" s="75"/>
      <c r="U41" s="500"/>
      <c r="V41" s="416"/>
      <c r="W41" s="293"/>
    </row>
    <row r="42" spans="1:23" ht="15" customHeight="1">
      <c r="A42" s="448" t="s">
        <v>32</v>
      </c>
      <c r="B42" s="449"/>
      <c r="C42" s="74"/>
      <c r="D42" s="75">
        <v>45</v>
      </c>
      <c r="E42" s="75">
        <v>45</v>
      </c>
      <c r="F42" s="480">
        <f t="shared" si="0"/>
        <v>100</v>
      </c>
      <c r="G42" s="444">
        <v>199</v>
      </c>
      <c r="H42" s="445">
        <v>199</v>
      </c>
      <c r="I42" s="75">
        <v>199</v>
      </c>
      <c r="J42" s="480">
        <f t="shared" si="1"/>
        <v>100</v>
      </c>
      <c r="K42" s="503"/>
      <c r="L42" s="75"/>
      <c r="M42" s="445"/>
      <c r="N42" s="416"/>
      <c r="O42" s="444"/>
      <c r="P42" s="75"/>
      <c r="Q42" s="445"/>
      <c r="R42" s="481"/>
      <c r="S42" s="444"/>
      <c r="T42" s="75"/>
      <c r="U42" s="445"/>
      <c r="V42" s="416"/>
      <c r="W42" s="293"/>
    </row>
    <row r="43" spans="1:23" ht="15" customHeight="1" thickBot="1">
      <c r="A43" s="13"/>
      <c r="B43" s="223"/>
      <c r="C43" s="508"/>
      <c r="D43" s="509"/>
      <c r="E43" s="509"/>
      <c r="F43" s="452"/>
      <c r="G43" s="508"/>
      <c r="H43" s="509"/>
      <c r="I43" s="509"/>
      <c r="J43" s="452"/>
      <c r="K43" s="508"/>
      <c r="L43" s="509"/>
      <c r="M43" s="509"/>
      <c r="N43" s="712"/>
      <c r="O43" s="508"/>
      <c r="P43" s="82"/>
      <c r="Q43" s="509"/>
      <c r="R43" s="414"/>
      <c r="S43" s="508"/>
      <c r="T43" s="82"/>
      <c r="U43" s="509"/>
      <c r="V43" s="510"/>
      <c r="W43" s="469"/>
    </row>
    <row r="44" spans="1:23" ht="15" customHeight="1">
      <c r="A44" s="4"/>
      <c r="B44" s="4"/>
      <c r="C44" s="4"/>
      <c r="D44" s="4"/>
      <c r="E44" s="4"/>
      <c r="F44" s="4"/>
      <c r="G44" s="4"/>
      <c r="H44" s="4"/>
      <c r="I44" s="4"/>
      <c r="J44" s="7"/>
      <c r="K44" s="4"/>
      <c r="L44" s="4"/>
      <c r="M44" s="4"/>
      <c r="N44" s="4"/>
      <c r="O44" s="4"/>
      <c r="P44" s="4"/>
      <c r="Q44" s="4"/>
      <c r="R44" s="7"/>
      <c r="S44" s="7"/>
      <c r="T44" s="7"/>
      <c r="U44" s="7"/>
      <c r="V44" s="7"/>
      <c r="W44" s="7"/>
    </row>
    <row r="45" spans="1:23" ht="16.5" customHeight="1" thickBot="1">
      <c r="A45" s="4"/>
      <c r="B45" s="4"/>
      <c r="C45" s="4"/>
      <c r="D45" s="4"/>
      <c r="E45" s="4"/>
      <c r="F45" s="4"/>
      <c r="G45" s="522"/>
      <c r="H45" s="4"/>
      <c r="I45" s="4"/>
      <c r="J45" s="7"/>
      <c r="K45" s="4"/>
      <c r="L45" s="4"/>
      <c r="M45" s="4"/>
      <c r="N45" s="4"/>
      <c r="O45" s="4"/>
      <c r="P45" s="4"/>
      <c r="Q45" s="4"/>
      <c r="R45" s="7"/>
      <c r="S45" s="7"/>
      <c r="T45" s="7"/>
      <c r="U45" s="7"/>
      <c r="V45" s="7"/>
      <c r="W45" s="7"/>
    </row>
    <row r="46" spans="1:23" ht="18" customHeight="1" thickBot="1">
      <c r="A46" s="49" t="s">
        <v>33</v>
      </c>
      <c r="B46" s="4"/>
      <c r="C46" s="87"/>
      <c r="D46" s="88">
        <f>SUM(D14:D45)</f>
        <v>42518</v>
      </c>
      <c r="E46" s="88">
        <f>SUM(E13:E42)</f>
        <v>42518</v>
      </c>
      <c r="F46" s="89">
        <f>E46/D46*100</f>
        <v>100</v>
      </c>
      <c r="G46" s="87">
        <f>SUM(G14:G42)</f>
        <v>170051</v>
      </c>
      <c r="H46" s="88">
        <f>SUM(H14:H42)</f>
        <v>170608</v>
      </c>
      <c r="I46" s="88">
        <f>SUM(I14:I42)</f>
        <v>170608</v>
      </c>
      <c r="J46" s="89">
        <f>I46/H46*100</f>
        <v>100</v>
      </c>
      <c r="K46" s="87">
        <f>SUM(K14:K42)</f>
        <v>979</v>
      </c>
      <c r="L46" s="88">
        <f>SUM(L13:L43)</f>
        <v>10398</v>
      </c>
      <c r="M46" s="88">
        <f>SUM(M13:M43)</f>
        <v>9952</v>
      </c>
      <c r="N46" s="89">
        <f>M46/L46*100</f>
        <v>95.71071359876899</v>
      </c>
      <c r="O46" s="87"/>
      <c r="P46" s="88">
        <f>SUM(P14:P42)</f>
        <v>136430</v>
      </c>
      <c r="Q46" s="88">
        <f>SUM(Q14:Q42)</f>
        <v>135331</v>
      </c>
      <c r="R46" s="89">
        <f>Q46/P46*100</f>
        <v>99.19445869676757</v>
      </c>
      <c r="S46" s="523">
        <f>SUM(S14:S42)</f>
        <v>0</v>
      </c>
      <c r="T46" s="524">
        <f>SUM(T14:T42)</f>
        <v>0</v>
      </c>
      <c r="U46" s="524">
        <f>SUM(U14:U42)</f>
        <v>0</v>
      </c>
      <c r="V46" s="89"/>
      <c r="W46" s="293"/>
    </row>
    <row r="47" spans="1:23" ht="16.5" customHeight="1">
      <c r="A47" s="49"/>
      <c r="B47" s="4"/>
      <c r="C47" s="12"/>
      <c r="D47" s="12"/>
      <c r="E47" s="12"/>
      <c r="F47" s="293"/>
      <c r="G47" s="12"/>
      <c r="H47" s="12"/>
      <c r="I47" s="12"/>
      <c r="J47" s="293"/>
      <c r="K47" s="12"/>
      <c r="L47" s="12"/>
      <c r="M47" s="12"/>
      <c r="N47" s="293"/>
      <c r="O47" s="12"/>
      <c r="P47" s="12"/>
      <c r="Q47" s="12"/>
      <c r="R47" s="293"/>
      <c r="S47" s="293"/>
      <c r="T47" s="12"/>
      <c r="U47" s="12"/>
      <c r="V47" s="293"/>
      <c r="W47" s="293"/>
    </row>
    <row r="48" spans="15:23" ht="16.5" customHeight="1">
      <c r="O48" s="12"/>
      <c r="P48" s="12"/>
      <c r="Q48" s="12"/>
      <c r="R48" s="293"/>
      <c r="S48" s="293"/>
      <c r="T48" s="713"/>
      <c r="U48" s="713"/>
      <c r="V48" s="293"/>
      <c r="W48" s="293"/>
    </row>
    <row r="49" spans="2:23" ht="16.5" customHeight="1">
      <c r="B49" s="2" t="s">
        <v>281</v>
      </c>
      <c r="D49" s="6">
        <v>42518</v>
      </c>
      <c r="E49" s="6">
        <v>42518</v>
      </c>
      <c r="F49" s="6"/>
      <c r="G49" s="6">
        <v>170051</v>
      </c>
      <c r="H49" s="6">
        <v>170608</v>
      </c>
      <c r="I49" s="6">
        <v>170608</v>
      </c>
      <c r="J49" s="6"/>
      <c r="K49" s="6">
        <v>979</v>
      </c>
      <c r="L49" s="6">
        <v>10398</v>
      </c>
      <c r="M49" s="6">
        <v>9952</v>
      </c>
      <c r="N49" s="6"/>
      <c r="O49" s="603"/>
      <c r="P49" s="603">
        <v>136430</v>
      </c>
      <c r="Q49" s="603">
        <v>135331</v>
      </c>
      <c r="R49" s="713"/>
      <c r="S49" s="713">
        <v>0</v>
      </c>
      <c r="T49" s="713">
        <v>0</v>
      </c>
      <c r="U49" s="713">
        <v>0</v>
      </c>
      <c r="V49" s="713"/>
      <c r="W49" s="293"/>
    </row>
    <row r="50" ht="15">
      <c r="Q50" s="195"/>
    </row>
  </sheetData>
  <mergeCells count="8">
    <mergeCell ref="O8:R8"/>
    <mergeCell ref="S8:V8"/>
    <mergeCell ref="A2:V2"/>
    <mergeCell ref="C7:V7"/>
    <mergeCell ref="C11:F11"/>
    <mergeCell ref="G11:J11"/>
    <mergeCell ref="K11:N11"/>
    <mergeCell ref="S11:V11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03"/>
  <sheetViews>
    <sheetView view="pageBreakPreview" zoomScale="60" workbookViewId="0" topLeftCell="A1">
      <pane xSplit="1" ySplit="12" topLeftCell="B22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M36" sqref="M36"/>
    </sheetView>
  </sheetViews>
  <sheetFormatPr defaultColWidth="8.796875" defaultRowHeight="15"/>
  <cols>
    <col min="1" max="1" width="11.3984375" style="2" customWidth="1"/>
    <col min="2" max="2" width="11.296875" style="2" customWidth="1"/>
    <col min="3" max="4" width="8.69921875" style="2" customWidth="1"/>
    <col min="5" max="5" width="10.296875" style="2" customWidth="1"/>
    <col min="6" max="6" width="5.69921875" style="2" customWidth="1"/>
    <col min="7" max="8" width="9.796875" style="2" customWidth="1"/>
    <col min="9" max="9" width="10.59765625" style="2" customWidth="1"/>
    <col min="10" max="10" width="5.3984375" style="2" customWidth="1"/>
    <col min="11" max="11" width="7.796875" style="2" customWidth="1"/>
    <col min="12" max="12" width="7.296875" style="2" customWidth="1"/>
    <col min="13" max="13" width="10.296875" style="2" customWidth="1"/>
    <col min="14" max="14" width="6.796875" style="2" customWidth="1"/>
    <col min="15" max="15" width="7.59765625" style="2" customWidth="1"/>
    <col min="16" max="16" width="8.3984375" style="2" customWidth="1"/>
    <col min="17" max="17" width="9.8984375" style="2" customWidth="1"/>
    <col min="18" max="18" width="5.796875" style="2" customWidth="1"/>
    <col min="19" max="19" width="7.59765625" style="2" hidden="1" customWidth="1"/>
    <col min="20" max="20" width="8.19921875" style="2" hidden="1" customWidth="1"/>
    <col min="21" max="21" width="10.09765625" style="2" hidden="1" customWidth="1"/>
    <col min="22" max="22" width="6" style="2" hidden="1" customWidth="1"/>
    <col min="23" max="23" width="8" style="2" hidden="1" customWidth="1"/>
    <col min="24" max="24" width="7.796875" style="2" hidden="1" customWidth="1"/>
    <col min="25" max="25" width="10.19921875" style="2" hidden="1" customWidth="1"/>
    <col min="26" max="26" width="6" style="2" hidden="1" customWidth="1"/>
    <col min="27" max="27" width="7.59765625" style="2" customWidth="1"/>
    <col min="28" max="28" width="8.3984375" style="2" customWidth="1"/>
    <col min="29" max="29" width="9.8984375" style="2" customWidth="1"/>
    <col min="30" max="30" width="5.796875" style="2" customWidth="1"/>
    <col min="31" max="31" width="8.8984375" style="290" customWidth="1"/>
    <col min="32" max="34" width="8.8984375" style="2" customWidth="1"/>
    <col min="35" max="35" width="13.3984375" style="2" bestFit="1" customWidth="1"/>
    <col min="36" max="36" width="10.796875" style="2" customWidth="1"/>
    <col min="37" max="37" width="12.296875" style="2" customWidth="1"/>
    <col min="38" max="16384" width="8.8984375" style="2" customWidth="1"/>
  </cols>
  <sheetData>
    <row r="1" spans="1:30" ht="17.25" customHeight="1">
      <c r="A1" s="824"/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1"/>
      <c r="P1" s="1"/>
      <c r="Q1" s="1"/>
      <c r="R1" s="1"/>
      <c r="S1" s="1"/>
      <c r="T1" s="1"/>
      <c r="U1" s="1"/>
      <c r="V1" s="1"/>
      <c r="AA1" s="1"/>
      <c r="AB1" s="1"/>
      <c r="AC1" s="1"/>
      <c r="AD1" s="1"/>
    </row>
    <row r="2" spans="1:30" ht="24" customHeight="1">
      <c r="A2" s="824" t="s">
        <v>315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58"/>
      <c r="AB2" s="58"/>
      <c r="AC2" s="58"/>
      <c r="AD2" s="58"/>
    </row>
    <row r="3" spans="1:30" ht="15" customHeight="1">
      <c r="A3" s="837" t="s">
        <v>333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167"/>
      <c r="AB3" s="167"/>
      <c r="AC3" s="167"/>
      <c r="AD3" s="167"/>
    </row>
    <row r="4" spans="1:30" ht="21" customHeight="1">
      <c r="A4" s="837"/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167"/>
      <c r="AB4" s="167"/>
      <c r="AC4" s="167"/>
      <c r="AD4" s="167"/>
    </row>
    <row r="5" spans="1:30" ht="22.5" customHeight="1">
      <c r="A5" s="49"/>
      <c r="B5" s="4"/>
      <c r="C5" s="12"/>
      <c r="D5" s="12"/>
      <c r="E5" s="12"/>
      <c r="J5" s="291"/>
      <c r="N5" s="507"/>
      <c r="AB5" s="292"/>
      <c r="AD5" s="775" t="s">
        <v>249</v>
      </c>
    </row>
    <row r="6" spans="14:30" ht="22.5" customHeight="1" thickBot="1">
      <c r="N6" s="4"/>
      <c r="AD6" s="775" t="s">
        <v>3</v>
      </c>
    </row>
    <row r="7" spans="1:30" ht="21" customHeight="1">
      <c r="A7" s="18"/>
      <c r="B7" s="24"/>
      <c r="C7" s="835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6"/>
      <c r="O7" s="835"/>
      <c r="P7" s="834"/>
      <c r="Q7" s="834"/>
      <c r="R7" s="836"/>
      <c r="S7" s="835"/>
      <c r="T7" s="834"/>
      <c r="U7" s="834"/>
      <c r="V7" s="836"/>
      <c r="W7" s="835"/>
      <c r="X7" s="834"/>
      <c r="Y7" s="834"/>
      <c r="Z7" s="834"/>
      <c r="AA7" s="858" t="s">
        <v>327</v>
      </c>
      <c r="AB7" s="859"/>
      <c r="AC7" s="859"/>
      <c r="AD7" s="860"/>
    </row>
    <row r="8" spans="1:30" ht="18.75" customHeight="1" thickBot="1">
      <c r="A8" s="37"/>
      <c r="B8" s="124"/>
      <c r="C8" s="782" t="s">
        <v>252</v>
      </c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783"/>
      <c r="O8" s="782" t="s">
        <v>219</v>
      </c>
      <c r="P8" s="838"/>
      <c r="Q8" s="838"/>
      <c r="R8" s="783"/>
      <c r="S8" s="782" t="s">
        <v>247</v>
      </c>
      <c r="T8" s="838"/>
      <c r="U8" s="838"/>
      <c r="V8" s="783"/>
      <c r="W8" s="782" t="s">
        <v>181</v>
      </c>
      <c r="X8" s="838"/>
      <c r="Y8" s="838"/>
      <c r="Z8" s="838"/>
      <c r="AA8" s="861"/>
      <c r="AB8" s="862"/>
      <c r="AC8" s="862"/>
      <c r="AD8" s="863"/>
    </row>
    <row r="9" spans="1:30" ht="19.5" customHeight="1">
      <c r="A9" s="25" t="s">
        <v>45</v>
      </c>
      <c r="B9" s="124"/>
      <c r="C9" s="867" t="s">
        <v>175</v>
      </c>
      <c r="D9" s="868"/>
      <c r="E9" s="868"/>
      <c r="F9" s="869"/>
      <c r="G9" s="849" t="s">
        <v>176</v>
      </c>
      <c r="H9" s="850"/>
      <c r="I9" s="850"/>
      <c r="J9" s="851"/>
      <c r="K9" s="852" t="s">
        <v>246</v>
      </c>
      <c r="L9" s="853"/>
      <c r="M9" s="853"/>
      <c r="N9" s="854"/>
      <c r="O9" s="295"/>
      <c r="P9" s="278"/>
      <c r="Q9" s="296"/>
      <c r="R9" s="297"/>
      <c r="S9" s="295"/>
      <c r="T9" s="278"/>
      <c r="U9" s="296"/>
      <c r="V9" s="297"/>
      <c r="W9" s="298"/>
      <c r="X9" s="242"/>
      <c r="Y9" s="242"/>
      <c r="Z9" s="242"/>
      <c r="AA9" s="864"/>
      <c r="AB9" s="865"/>
      <c r="AC9" s="865"/>
      <c r="AD9" s="866"/>
    </row>
    <row r="10" spans="1:34" ht="15.75">
      <c r="A10" s="37"/>
      <c r="B10" s="218" t="s">
        <v>46</v>
      </c>
      <c r="C10" s="277" t="s">
        <v>71</v>
      </c>
      <c r="D10" s="237"/>
      <c r="E10" s="220" t="s">
        <v>72</v>
      </c>
      <c r="F10" s="238" t="s">
        <v>2</v>
      </c>
      <c r="G10" s="277" t="s">
        <v>71</v>
      </c>
      <c r="H10" s="237"/>
      <c r="I10" s="220" t="s">
        <v>5</v>
      </c>
      <c r="J10" s="238" t="s">
        <v>2</v>
      </c>
      <c r="K10" s="277" t="s">
        <v>71</v>
      </c>
      <c r="L10" s="237"/>
      <c r="M10" s="220" t="s">
        <v>5</v>
      </c>
      <c r="N10" s="238" t="s">
        <v>2</v>
      </c>
      <c r="O10" s="277" t="s">
        <v>71</v>
      </c>
      <c r="P10" s="237"/>
      <c r="Q10" s="220" t="s">
        <v>5</v>
      </c>
      <c r="R10" s="238" t="s">
        <v>2</v>
      </c>
      <c r="S10" s="277" t="s">
        <v>71</v>
      </c>
      <c r="T10" s="237"/>
      <c r="U10" s="220" t="s">
        <v>5</v>
      </c>
      <c r="V10" s="238" t="s">
        <v>2</v>
      </c>
      <c r="W10" s="277" t="s">
        <v>71</v>
      </c>
      <c r="X10" s="237"/>
      <c r="Y10" s="220" t="s">
        <v>5</v>
      </c>
      <c r="Z10" s="495" t="s">
        <v>2</v>
      </c>
      <c r="AA10" s="496" t="s">
        <v>71</v>
      </c>
      <c r="AB10" s="237"/>
      <c r="AC10" s="220" t="s">
        <v>5</v>
      </c>
      <c r="AD10" s="497" t="s">
        <v>2</v>
      </c>
      <c r="AF10" s="855" t="s">
        <v>266</v>
      </c>
      <c r="AG10" s="856"/>
      <c r="AH10" s="857"/>
    </row>
    <row r="11" spans="1:34" ht="16.5" thickBot="1">
      <c r="A11" s="13"/>
      <c r="B11" s="131"/>
      <c r="C11" s="43" t="s">
        <v>74</v>
      </c>
      <c r="D11" s="44" t="s">
        <v>75</v>
      </c>
      <c r="E11" s="44" t="s">
        <v>316</v>
      </c>
      <c r="F11" s="46" t="s">
        <v>48</v>
      </c>
      <c r="G11" s="43" t="s">
        <v>74</v>
      </c>
      <c r="H11" s="44" t="s">
        <v>75</v>
      </c>
      <c r="I11" s="44" t="s">
        <v>316</v>
      </c>
      <c r="J11" s="46" t="s">
        <v>48</v>
      </c>
      <c r="K11" s="43" t="s">
        <v>74</v>
      </c>
      <c r="L11" s="44" t="s">
        <v>75</v>
      </c>
      <c r="M11" s="44" t="s">
        <v>316</v>
      </c>
      <c r="N11" s="46" t="s">
        <v>48</v>
      </c>
      <c r="O11" s="43" t="s">
        <v>74</v>
      </c>
      <c r="P11" s="44" t="s">
        <v>75</v>
      </c>
      <c r="Q11" s="44" t="s">
        <v>316</v>
      </c>
      <c r="R11" s="46" t="s">
        <v>48</v>
      </c>
      <c r="S11" s="43" t="s">
        <v>74</v>
      </c>
      <c r="T11" s="44" t="s">
        <v>75</v>
      </c>
      <c r="U11" s="44" t="s">
        <v>316</v>
      </c>
      <c r="V11" s="46" t="s">
        <v>48</v>
      </c>
      <c r="W11" s="43" t="s">
        <v>74</v>
      </c>
      <c r="X11" s="44" t="s">
        <v>75</v>
      </c>
      <c r="Y11" s="44" t="s">
        <v>316</v>
      </c>
      <c r="Z11" s="45" t="s">
        <v>48</v>
      </c>
      <c r="AA11" s="265" t="s">
        <v>74</v>
      </c>
      <c r="AB11" s="162" t="s">
        <v>75</v>
      </c>
      <c r="AC11" s="162" t="s">
        <v>316</v>
      </c>
      <c r="AD11" s="266" t="s">
        <v>48</v>
      </c>
      <c r="AF11" s="263"/>
      <c r="AG11" s="263"/>
      <c r="AH11" s="299"/>
    </row>
    <row r="12" spans="1:35" ht="18.75" thickBot="1">
      <c r="A12" s="286"/>
      <c r="B12" s="287"/>
      <c r="C12" s="832" t="s">
        <v>177</v>
      </c>
      <c r="D12" s="832"/>
      <c r="E12" s="832"/>
      <c r="F12" s="832"/>
      <c r="G12" s="286"/>
      <c r="H12" s="282"/>
      <c r="I12" s="286"/>
      <c r="J12" s="286"/>
      <c r="K12" s="779"/>
      <c r="L12" s="779"/>
      <c r="M12" s="779"/>
      <c r="N12" s="779"/>
      <c r="O12" s="832" t="s">
        <v>220</v>
      </c>
      <c r="P12" s="832"/>
      <c r="Q12" s="832"/>
      <c r="R12" s="832"/>
      <c r="S12" s="832" t="s">
        <v>248</v>
      </c>
      <c r="T12" s="832"/>
      <c r="U12" s="832"/>
      <c r="V12" s="832"/>
      <c r="W12" s="832" t="s">
        <v>185</v>
      </c>
      <c r="X12" s="832"/>
      <c r="Y12" s="832"/>
      <c r="Z12" s="832"/>
      <c r="AA12" s="816" t="s">
        <v>328</v>
      </c>
      <c r="AB12" s="816"/>
      <c r="AC12" s="816"/>
      <c r="AD12" s="816"/>
      <c r="AF12" s="258" t="s">
        <v>49</v>
      </c>
      <c r="AG12" s="300" t="s">
        <v>50</v>
      </c>
      <c r="AH12" s="780" t="s">
        <v>184</v>
      </c>
      <c r="AI12" s="781"/>
    </row>
    <row r="13" spans="1:37" ht="18.75" thickBot="1">
      <c r="A13" s="286"/>
      <c r="B13" s="287"/>
      <c r="C13" s="288"/>
      <c r="D13" s="282"/>
      <c r="E13" s="289"/>
      <c r="F13" s="286"/>
      <c r="G13" s="286"/>
      <c r="H13" s="286"/>
      <c r="I13" s="286"/>
      <c r="J13" s="286"/>
      <c r="K13" s="288"/>
      <c r="L13" s="282"/>
      <c r="M13" s="289"/>
      <c r="N13" s="286"/>
      <c r="O13" s="288"/>
      <c r="P13" s="282"/>
      <c r="Q13" s="289"/>
      <c r="R13" s="286"/>
      <c r="S13" s="288"/>
      <c r="T13" s="282"/>
      <c r="U13" s="289"/>
      <c r="V13" s="286"/>
      <c r="W13" s="223"/>
      <c r="X13" s="14"/>
      <c r="Y13" s="14"/>
      <c r="Z13" s="14"/>
      <c r="AA13" s="288"/>
      <c r="AB13" s="282"/>
      <c r="AC13" s="289"/>
      <c r="AD13" s="286"/>
      <c r="AF13" s="258"/>
      <c r="AG13" s="258"/>
      <c r="AH13" s="714" t="s">
        <v>270</v>
      </c>
      <c r="AI13" s="715" t="s">
        <v>271</v>
      </c>
      <c r="AK13" s="2" t="s">
        <v>271</v>
      </c>
    </row>
    <row r="14" spans="1:37" ht="18">
      <c r="A14" s="708"/>
      <c r="B14" s="716"/>
      <c r="C14" s="413"/>
      <c r="D14" s="710"/>
      <c r="E14" s="710"/>
      <c r="F14" s="711"/>
      <c r="G14" s="717"/>
      <c r="H14" s="710"/>
      <c r="I14" s="710"/>
      <c r="J14" s="711"/>
      <c r="K14" s="672"/>
      <c r="L14" s="710"/>
      <c r="M14" s="710"/>
      <c r="N14" s="711"/>
      <c r="O14" s="413"/>
      <c r="P14" s="710"/>
      <c r="Q14" s="710"/>
      <c r="R14" s="711"/>
      <c r="S14" s="413"/>
      <c r="T14" s="710"/>
      <c r="U14" s="710"/>
      <c r="V14" s="711"/>
      <c r="W14" s="718"/>
      <c r="X14" s="719"/>
      <c r="Y14" s="375"/>
      <c r="Z14" s="720"/>
      <c r="AA14" s="413"/>
      <c r="AB14" s="710"/>
      <c r="AC14" s="710"/>
      <c r="AD14" s="711"/>
      <c r="AF14" s="263"/>
      <c r="AG14" s="263"/>
      <c r="AH14" s="263"/>
      <c r="AI14" s="721" t="s">
        <v>269</v>
      </c>
      <c r="AJ14" s="490" t="s">
        <v>268</v>
      </c>
      <c r="AK14" s="722" t="s">
        <v>272</v>
      </c>
    </row>
    <row r="15" spans="1:37" ht="16.5">
      <c r="A15" s="448" t="s">
        <v>6</v>
      </c>
      <c r="B15" s="487"/>
      <c r="C15" s="444">
        <v>146963</v>
      </c>
      <c r="D15" s="445">
        <v>140697</v>
      </c>
      <c r="E15" s="445">
        <v>140697</v>
      </c>
      <c r="F15" s="480">
        <f aca="true" t="shared" si="0" ref="F15:F43">E15/D15*100</f>
        <v>100</v>
      </c>
      <c r="G15" s="74">
        <f aca="true" t="shared" si="1" ref="G15:G43">SUM(C15-K15)</f>
        <v>146963</v>
      </c>
      <c r="H15" s="75">
        <f aca="true" t="shared" si="2" ref="H15:H43">SUM(D15-L15)</f>
        <v>140697</v>
      </c>
      <c r="I15" s="75">
        <f aca="true" t="shared" si="3" ref="I15:I43">SUM(E15-M15)</f>
        <v>140697</v>
      </c>
      <c r="J15" s="480">
        <f aca="true" t="shared" si="4" ref="J15:J43">I15/H15*100</f>
        <v>100</v>
      </c>
      <c r="K15" s="74"/>
      <c r="L15" s="445"/>
      <c r="M15" s="445"/>
      <c r="N15" s="481"/>
      <c r="O15" s="444"/>
      <c r="P15" s="445">
        <v>20</v>
      </c>
      <c r="Q15" s="445">
        <v>20</v>
      </c>
      <c r="R15" s="480">
        <f>Q15/P15*100</f>
        <v>100</v>
      </c>
      <c r="S15" s="444"/>
      <c r="T15" s="445"/>
      <c r="U15" s="445"/>
      <c r="V15" s="481"/>
      <c r="W15" s="488"/>
      <c r="X15" s="75"/>
      <c r="Y15" s="75"/>
      <c r="Z15" s="482"/>
      <c r="AA15" s="444"/>
      <c r="AB15" s="445"/>
      <c r="AC15" s="445"/>
      <c r="AD15" s="480"/>
      <c r="AE15" s="290">
        <f aca="true" t="shared" si="5" ref="AE15:AE29">AI15-AH15</f>
        <v>0.05200000002514571</v>
      </c>
      <c r="AF15" s="485">
        <f>'Transfery neinvestiční 2.6'!C14+'Transfery neinvestiční 2.6'!G14+'Transfery neinvestiční 2.6'!K14+'Transfery neinvestiční 2.6'!O14+'Transfery neinvestiční 2.6'!S14+'Transfery nein.2.6a'!C15+'Transfery nein.2.6a'!O15+'Transfery nein.2.6a'!W15+'Transfery nein.2.6a'!S15+'Transfery investiční'!C14+'Transfery investiční'!G14+'Transfery investiční'!K14+'Transfery investiční'!O14+'Transfery investiční'!S14+'Transfery investiční'!W14</f>
        <v>220998</v>
      </c>
      <c r="AG15" s="485">
        <f>'Transfery neinvestiční 2.6'!D14+'Transfery neinvestiční 2.6'!H14+'Transfery neinvestiční 2.6'!L14+'Transfery neinvestiční 2.6'!P14+'Transfery neinvestiční 2.6'!T14+'Transfery nein.2.6a'!D15+'Transfery nein.2.6a'!P15+'Transfery nein.2.6a'!X15+'Transfery nein.2.6a'!T15+'Transfery investiční'!D14+'Transfery investiční'!H14+'Transfery investiční'!L14+'Transfery investiční'!P14+'Transfery investiční'!T14+'Transfery investiční'!X14</f>
        <v>276412</v>
      </c>
      <c r="AH15" s="485">
        <f>'Transfery neinvestiční 2.6'!E14+'Transfery neinvestiční 2.6'!I14+'Transfery neinvestiční 2.6'!M14+'Transfery neinvestiční 2.6'!Q14+'Transfery neinvestiční 2.6'!U14+'Transfery nein.2.6a'!E15+'Transfery nein.2.6a'!Q15+'Transfery nein.2.6a'!Y15+'Transfery nein.2.6a'!U15+'Transfery investiční'!E14+'Transfery investiční'!I14+'Transfery investiční'!M14+'Transfery investiční'!Q14+'Transfery investiční'!U14+'Transfery investiční'!Y14+'Transfery investiční'!AC14+AC15</f>
        <v>276177</v>
      </c>
      <c r="AI15" s="489">
        <f aca="true" t="shared" si="6" ref="AI15:AI43">AK15-AJ15</f>
        <v>276177.052</v>
      </c>
      <c r="AJ15" s="490">
        <v>606328.431</v>
      </c>
      <c r="AK15" s="490">
        <v>882505.483</v>
      </c>
    </row>
    <row r="16" spans="1:37" ht="16.5">
      <c r="A16" s="72" t="s">
        <v>7</v>
      </c>
      <c r="B16" s="491"/>
      <c r="C16" s="74">
        <v>27237</v>
      </c>
      <c r="D16" s="75">
        <v>27760</v>
      </c>
      <c r="E16" s="75">
        <v>27760</v>
      </c>
      <c r="F16" s="480">
        <f t="shared" si="0"/>
        <v>100</v>
      </c>
      <c r="G16" s="74">
        <f t="shared" si="1"/>
        <v>27237</v>
      </c>
      <c r="H16" s="75">
        <f t="shared" si="2"/>
        <v>27760</v>
      </c>
      <c r="I16" s="75">
        <f t="shared" si="3"/>
        <v>27760</v>
      </c>
      <c r="J16" s="480">
        <f t="shared" si="4"/>
        <v>100</v>
      </c>
      <c r="K16" s="74"/>
      <c r="L16" s="75"/>
      <c r="M16" s="75"/>
      <c r="N16" s="481"/>
      <c r="O16" s="74"/>
      <c r="P16" s="75">
        <v>11</v>
      </c>
      <c r="Q16" s="75">
        <v>11</v>
      </c>
      <c r="R16" s="480">
        <f>Q16/P16*100</f>
        <v>100</v>
      </c>
      <c r="S16" s="74"/>
      <c r="T16" s="75"/>
      <c r="U16" s="75"/>
      <c r="V16" s="480"/>
      <c r="W16" s="488"/>
      <c r="X16" s="75"/>
      <c r="Y16" s="75"/>
      <c r="Z16" s="482"/>
      <c r="AA16" s="74"/>
      <c r="AB16" s="75"/>
      <c r="AC16" s="75"/>
      <c r="AD16" s="480"/>
      <c r="AE16" s="290">
        <f t="shared" si="5"/>
        <v>0.4220000000059372</v>
      </c>
      <c r="AF16" s="485">
        <f>'Transfery neinvestiční 2.6'!C15+'Transfery neinvestiční 2.6'!G15+'Transfery neinvestiční 2.6'!K15+'Transfery neinvestiční 2.6'!O15+'Transfery neinvestiční 2.6'!S15+'Transfery nein.2.6a'!C16+'Transfery nein.2.6a'!O16+'Transfery nein.2.6a'!W16+'Transfery nein.2.6a'!S16+'Transfery investiční'!C15+'Transfery investiční'!G15+'Transfery investiční'!K15+'Transfery investiční'!O15+'Transfery investiční'!S15+'Transfery investiční'!W15</f>
        <v>33408</v>
      </c>
      <c r="AG16" s="485">
        <f>'Transfery neinvestiční 2.6'!D15+'Transfery neinvestiční 2.6'!H15+'Transfery neinvestiční 2.6'!L15+'Transfery neinvestiční 2.6'!P15+'Transfery neinvestiční 2.6'!T15+'Transfery nein.2.6a'!D16+'Transfery nein.2.6a'!P16+'Transfery nein.2.6a'!X16+'Transfery nein.2.6a'!T16+'Transfery investiční'!D15+'Transfery investiční'!H15+'Transfery investiční'!L15+'Transfery investiční'!P15+'Transfery investiční'!T15+'Transfery investiční'!X15</f>
        <v>47796</v>
      </c>
      <c r="AH16" s="485">
        <f>'Transfery neinvestiční 2.6'!E15+'Transfery neinvestiční 2.6'!I15+'Transfery neinvestiční 2.6'!M15+'Transfery neinvestiční 2.6'!Q15+'Transfery neinvestiční 2.6'!U15+'Transfery nein.2.6a'!E16+'Transfery nein.2.6a'!Q16+'Transfery nein.2.6a'!Y16+'Transfery nein.2.6a'!U16+'Transfery investiční'!E15+'Transfery investiční'!I15+'Transfery investiční'!M15+'Transfery investiční'!Q15+'Transfery investiční'!U15+'Transfery investiční'!Y15+'Transfery investiční'!AC15+AC16</f>
        <v>47796</v>
      </c>
      <c r="AI16" s="489">
        <f t="shared" si="6"/>
        <v>47796.422000000006</v>
      </c>
      <c r="AJ16" s="490">
        <v>84761.298</v>
      </c>
      <c r="AK16" s="490">
        <v>132557.72</v>
      </c>
    </row>
    <row r="17" spans="1:37" ht="15.75">
      <c r="A17" s="72" t="s">
        <v>8</v>
      </c>
      <c r="B17" s="491"/>
      <c r="C17" s="74">
        <v>26233</v>
      </c>
      <c r="D17" s="75">
        <v>30744</v>
      </c>
      <c r="E17" s="75">
        <v>30744</v>
      </c>
      <c r="F17" s="480">
        <f t="shared" si="0"/>
        <v>100</v>
      </c>
      <c r="G17" s="74">
        <f t="shared" si="1"/>
        <v>26163</v>
      </c>
      <c r="H17" s="75">
        <f t="shared" si="2"/>
        <v>30484</v>
      </c>
      <c r="I17" s="75">
        <f t="shared" si="3"/>
        <v>30484</v>
      </c>
      <c r="J17" s="480">
        <f t="shared" si="4"/>
        <v>100</v>
      </c>
      <c r="K17" s="74">
        <v>70</v>
      </c>
      <c r="L17" s="75">
        <v>260</v>
      </c>
      <c r="M17" s="75">
        <v>260</v>
      </c>
      <c r="N17" s="480">
        <f>M17/L17*100</f>
        <v>100</v>
      </c>
      <c r="O17" s="74"/>
      <c r="P17" s="75">
        <v>207</v>
      </c>
      <c r="Q17" s="75">
        <v>207</v>
      </c>
      <c r="R17" s="480">
        <f>Q17/P17*100</f>
        <v>100</v>
      </c>
      <c r="S17" s="74"/>
      <c r="T17" s="75"/>
      <c r="U17" s="75"/>
      <c r="V17" s="480"/>
      <c r="W17" s="488"/>
      <c r="X17" s="75"/>
      <c r="Y17" s="75"/>
      <c r="Z17" s="482"/>
      <c r="AA17" s="74"/>
      <c r="AB17" s="75"/>
      <c r="AC17" s="75"/>
      <c r="AD17" s="480"/>
      <c r="AE17" s="290">
        <f t="shared" si="5"/>
        <v>-0.8229999999894062</v>
      </c>
      <c r="AF17" s="485">
        <f>'Transfery neinvestiční 2.6'!C16+'Transfery neinvestiční 2.6'!G16+'Transfery neinvestiční 2.6'!K16+'Transfery neinvestiční 2.6'!O16+'Transfery neinvestiční 2.6'!S16+'Transfery nein.2.6a'!C17+'Transfery nein.2.6a'!O17+'Transfery nein.2.6a'!W17+'Transfery nein.2.6a'!S17+'Transfery investiční'!C16+'Transfery investiční'!G16+'Transfery investiční'!K16+'Transfery investiční'!O16+'Transfery investiční'!S16+'Transfery investiční'!W16</f>
        <v>55201</v>
      </c>
      <c r="AG17" s="485">
        <f>'Transfery neinvestiční 2.6'!D16+'Transfery neinvestiční 2.6'!H16+'Transfery neinvestiční 2.6'!L16+'Transfery neinvestiční 2.6'!P16+'Transfery neinvestiční 2.6'!T16+'Transfery nein.2.6a'!D17+'Transfery nein.2.6a'!P17+'Transfery nein.2.6a'!X17+'Transfery nein.2.6a'!T17+'Transfery investiční'!D16+'Transfery investiční'!H16+'Transfery investiční'!L16+'Transfery investiční'!P16+'Transfery investiční'!T16+'Transfery investiční'!X16</f>
        <v>77109</v>
      </c>
      <c r="AH17" s="485">
        <f>'Transfery neinvestiční 2.6'!E16+'Transfery neinvestiční 2.6'!I16+'Transfery neinvestiční 2.6'!M16+'Transfery neinvestiční 2.6'!Q16+'Transfery neinvestiční 2.6'!U16+'Transfery nein.2.6a'!E17+'Transfery nein.2.6a'!Q17+'Transfery nein.2.6a'!Y17+'Transfery nein.2.6a'!U17+'Transfery investiční'!E16+'Transfery investiční'!I16+'Transfery investiční'!M16+'Transfery investiční'!Q16+'Transfery investiční'!U16+'Transfery investiční'!Y16+'Transfery investiční'!AC16+AC17</f>
        <v>62614</v>
      </c>
      <c r="AI17" s="489">
        <f t="shared" si="6"/>
        <v>62613.17700000001</v>
      </c>
      <c r="AJ17" s="490">
        <v>69260.385</v>
      </c>
      <c r="AK17" s="490">
        <v>131873.562</v>
      </c>
    </row>
    <row r="18" spans="1:37" ht="15.75">
      <c r="A18" s="72" t="s">
        <v>9</v>
      </c>
      <c r="B18" s="491"/>
      <c r="C18" s="74">
        <v>21399</v>
      </c>
      <c r="D18" s="75">
        <v>24712</v>
      </c>
      <c r="E18" s="75">
        <v>24712</v>
      </c>
      <c r="F18" s="480">
        <f t="shared" si="0"/>
        <v>100</v>
      </c>
      <c r="G18" s="74">
        <f t="shared" si="1"/>
        <v>21399</v>
      </c>
      <c r="H18" s="75">
        <f t="shared" si="2"/>
        <v>24712</v>
      </c>
      <c r="I18" s="75">
        <f t="shared" si="3"/>
        <v>24712</v>
      </c>
      <c r="J18" s="480">
        <f t="shared" si="4"/>
        <v>100</v>
      </c>
      <c r="K18" s="74"/>
      <c r="L18" s="75"/>
      <c r="M18" s="75"/>
      <c r="N18" s="480"/>
      <c r="O18" s="74"/>
      <c r="P18" s="75">
        <v>75</v>
      </c>
      <c r="Q18" s="75">
        <v>75</v>
      </c>
      <c r="R18" s="480">
        <f>Q18/P18*100</f>
        <v>100</v>
      </c>
      <c r="S18" s="74"/>
      <c r="T18" s="75"/>
      <c r="U18" s="75"/>
      <c r="V18" s="480"/>
      <c r="W18" s="488"/>
      <c r="X18" s="75"/>
      <c r="Y18" s="75"/>
      <c r="Z18" s="482"/>
      <c r="AA18" s="74"/>
      <c r="AB18" s="75"/>
      <c r="AC18" s="75"/>
      <c r="AD18" s="480"/>
      <c r="AE18" s="290">
        <f t="shared" si="5"/>
        <v>0.1840000000083819</v>
      </c>
      <c r="AF18" s="485">
        <f>'Transfery neinvestiční 2.6'!C17+'Transfery neinvestiční 2.6'!G17+'Transfery neinvestiční 2.6'!K17+'Transfery neinvestiční 2.6'!O17+'Transfery neinvestiční 2.6'!S17+'Transfery nein.2.6a'!C18+'Transfery nein.2.6a'!O18+'Transfery nein.2.6a'!W18+'Transfery nein.2.6a'!S18+'Transfery investiční'!C17+'Transfery investiční'!G17+'Transfery investiční'!K17+'Transfery investiční'!O17+'Transfery investiční'!S17+'Transfery investiční'!W17</f>
        <v>36960</v>
      </c>
      <c r="AG18" s="485">
        <f>'Transfery neinvestiční 2.6'!D17+'Transfery neinvestiční 2.6'!H17+'Transfery neinvestiční 2.6'!L17+'Transfery neinvestiční 2.6'!P17+'Transfery neinvestiční 2.6'!T17+'Transfery nein.2.6a'!D18+'Transfery nein.2.6a'!P18+'Transfery nein.2.6a'!X18+'Transfery nein.2.6a'!T18+'Transfery investiční'!D17+'Transfery investiční'!H17+'Transfery investiční'!L17+'Transfery investiční'!P17+'Transfery investiční'!T17+'Transfery investiční'!X17</f>
        <v>46319</v>
      </c>
      <c r="AH18" s="485">
        <f>'Transfery neinvestiční 2.6'!E17+'Transfery neinvestiční 2.6'!I17+'Transfery neinvestiční 2.6'!M17+'Transfery neinvestiční 2.6'!Q17+'Transfery neinvestiční 2.6'!U17+'Transfery nein.2.6a'!E18+'Transfery nein.2.6a'!Q18+'Transfery nein.2.6a'!Y18+'Transfery nein.2.6a'!U18+'Transfery investiční'!E17+'Transfery investiční'!I17+'Transfery investiční'!M17+'Transfery investiční'!Q17+'Transfery investiční'!U17+'Transfery investiční'!Y17+'Transfery investiční'!AC17+AC18</f>
        <v>50826</v>
      </c>
      <c r="AI18" s="489">
        <f t="shared" si="6"/>
        <v>50826.18400000001</v>
      </c>
      <c r="AJ18" s="490">
        <v>84729.66</v>
      </c>
      <c r="AK18" s="490">
        <v>135555.844</v>
      </c>
    </row>
    <row r="19" spans="1:37" ht="15.75">
      <c r="A19" s="72" t="s">
        <v>10</v>
      </c>
      <c r="B19" s="491"/>
      <c r="C19" s="74">
        <v>25099</v>
      </c>
      <c r="D19" s="75">
        <v>25879</v>
      </c>
      <c r="E19" s="75">
        <v>25879</v>
      </c>
      <c r="F19" s="480">
        <f t="shared" si="0"/>
        <v>100</v>
      </c>
      <c r="G19" s="74">
        <f t="shared" si="1"/>
        <v>25099</v>
      </c>
      <c r="H19" s="75">
        <f t="shared" si="2"/>
        <v>25879</v>
      </c>
      <c r="I19" s="75">
        <f t="shared" si="3"/>
        <v>25879</v>
      </c>
      <c r="J19" s="480">
        <f t="shared" si="4"/>
        <v>100</v>
      </c>
      <c r="K19" s="74"/>
      <c r="L19" s="75"/>
      <c r="M19" s="75"/>
      <c r="N19" s="480"/>
      <c r="O19" s="74"/>
      <c r="P19" s="75">
        <v>50</v>
      </c>
      <c r="Q19" s="75">
        <v>50</v>
      </c>
      <c r="R19" s="480">
        <f>Q19/P19*100</f>
        <v>100</v>
      </c>
      <c r="S19" s="74"/>
      <c r="T19" s="75"/>
      <c r="U19" s="75"/>
      <c r="V19" s="480"/>
      <c r="W19" s="488"/>
      <c r="X19" s="75"/>
      <c r="Y19" s="75"/>
      <c r="Z19" s="480"/>
      <c r="AA19" s="74"/>
      <c r="AB19" s="75"/>
      <c r="AC19" s="75"/>
      <c r="AD19" s="480"/>
      <c r="AE19" s="290">
        <f t="shared" si="5"/>
        <v>0.17899999998917338</v>
      </c>
      <c r="AF19" s="485">
        <f>'Transfery neinvestiční 2.6'!C18+'Transfery neinvestiční 2.6'!G18+'Transfery neinvestiční 2.6'!K18+'Transfery neinvestiční 2.6'!O18+'Transfery neinvestiční 2.6'!S18+'Transfery nein.2.6a'!C19+'Transfery nein.2.6a'!O19+'Transfery nein.2.6a'!W19+'Transfery nein.2.6a'!S19+'Transfery investiční'!C18+'Transfery investiční'!G18+'Transfery investiční'!K18+'Transfery investiční'!O18+'Transfery investiční'!S18+'Transfery investiční'!W18</f>
        <v>48917</v>
      </c>
      <c r="AG19" s="485">
        <f>'Transfery neinvestiční 2.6'!D18+'Transfery neinvestiční 2.6'!H18+'Transfery neinvestiční 2.6'!L18+'Transfery neinvestiční 2.6'!P18+'Transfery neinvestiční 2.6'!T18+'Transfery nein.2.6a'!D19+'Transfery nein.2.6a'!P19+'Transfery nein.2.6a'!X19+'Transfery nein.2.6a'!T19+'Transfery investiční'!D18+'Transfery investiční'!H18+'Transfery investiční'!L18+'Transfery investiční'!P18+'Transfery investiční'!T18+'Transfery investiční'!X18</f>
        <v>58503</v>
      </c>
      <c r="AH19" s="485">
        <f>'Transfery neinvestiční 2.6'!E18+'Transfery neinvestiční 2.6'!I18+'Transfery neinvestiční 2.6'!M18+'Transfery neinvestiční 2.6'!Q18+'Transfery neinvestiční 2.6'!U18+'Transfery nein.2.6a'!E19+'Transfery nein.2.6a'!Q19+'Transfery nein.2.6a'!Y19+'Transfery nein.2.6a'!U19+'Transfery investiční'!E18+'Transfery investiční'!I18+'Transfery investiční'!M18+'Transfery investiční'!Q18+'Transfery investiční'!U18+'Transfery investiční'!Y18+'Transfery investiční'!AC18+AC19</f>
        <v>58502</v>
      </c>
      <c r="AI19" s="489">
        <f t="shared" si="6"/>
        <v>58502.17899999999</v>
      </c>
      <c r="AJ19" s="490">
        <v>71758.657</v>
      </c>
      <c r="AK19" s="490">
        <v>130260.836</v>
      </c>
    </row>
    <row r="20" spans="1:37" ht="15.75">
      <c r="A20" s="72" t="s">
        <v>11</v>
      </c>
      <c r="B20" s="491"/>
      <c r="C20" s="74">
        <v>7859</v>
      </c>
      <c r="D20" s="75">
        <v>7916</v>
      </c>
      <c r="E20" s="75">
        <v>7916</v>
      </c>
      <c r="F20" s="480">
        <f t="shared" si="0"/>
        <v>100</v>
      </c>
      <c r="G20" s="74">
        <f t="shared" si="1"/>
        <v>7859</v>
      </c>
      <c r="H20" s="75">
        <f t="shared" si="2"/>
        <v>7916</v>
      </c>
      <c r="I20" s="75">
        <f t="shared" si="3"/>
        <v>7916</v>
      </c>
      <c r="J20" s="480">
        <f t="shared" si="4"/>
        <v>100</v>
      </c>
      <c r="K20" s="74"/>
      <c r="L20" s="75"/>
      <c r="M20" s="75"/>
      <c r="N20" s="480"/>
      <c r="O20" s="74"/>
      <c r="P20" s="75"/>
      <c r="Q20" s="75"/>
      <c r="R20" s="480"/>
      <c r="S20" s="74"/>
      <c r="T20" s="75"/>
      <c r="U20" s="75"/>
      <c r="V20" s="480"/>
      <c r="W20" s="488"/>
      <c r="X20" s="75"/>
      <c r="Y20" s="75"/>
      <c r="Z20" s="480"/>
      <c r="AA20" s="74"/>
      <c r="AB20" s="75"/>
      <c r="AC20" s="75"/>
      <c r="AD20" s="480"/>
      <c r="AE20" s="290">
        <f t="shared" si="5"/>
        <v>0</v>
      </c>
      <c r="AF20" s="485">
        <f>'Transfery neinvestiční 2.6'!C19+'Transfery neinvestiční 2.6'!G19+'Transfery neinvestiční 2.6'!K19+'Transfery neinvestiční 2.6'!O19+'Transfery neinvestiční 2.6'!S19+'Transfery nein.2.6a'!C20+'Transfery nein.2.6a'!O20+'Transfery nein.2.6a'!W20+'Transfery nein.2.6a'!S20+'Transfery investiční'!C19+'Transfery investiční'!G19+'Transfery investiční'!K19+'Transfery investiční'!O19+'Transfery investiční'!S19+'Transfery investiční'!W19</f>
        <v>8734</v>
      </c>
      <c r="AG20" s="485">
        <f>'Transfery neinvestiční 2.6'!D19+'Transfery neinvestiční 2.6'!H19+'Transfery neinvestiční 2.6'!L19+'Transfery neinvestiční 2.6'!P19+'Transfery neinvestiční 2.6'!T19+'Transfery nein.2.6a'!D20+'Transfery nein.2.6a'!P20+'Transfery nein.2.6a'!X20+'Transfery nein.2.6a'!T20+'Transfery investiční'!D19+'Transfery investiční'!H19+'Transfery investiční'!L19+'Transfery investiční'!P19+'Transfery investiční'!T19+'Transfery investiční'!X19</f>
        <v>10490</v>
      </c>
      <c r="AH20" s="485">
        <f>'Transfery neinvestiční 2.6'!E19+'Transfery neinvestiční 2.6'!I19+'Transfery neinvestiční 2.6'!M19+'Transfery neinvestiční 2.6'!Q19+'Transfery neinvestiční 2.6'!U19+'Transfery nein.2.6a'!E20+'Transfery nein.2.6a'!Q20+'Transfery nein.2.6a'!Y20+'Transfery nein.2.6a'!U20+'Transfery investiční'!E19+'Transfery investiční'!I19+'Transfery investiční'!M19+'Transfery investiční'!Q19+'Transfery investiční'!U19+'Transfery investiční'!Y19+'Transfery investiční'!AC19+AC20</f>
        <v>10490</v>
      </c>
      <c r="AI20" s="489">
        <f t="shared" si="6"/>
        <v>10490</v>
      </c>
      <c r="AJ20" s="490">
        <v>18007.606</v>
      </c>
      <c r="AK20" s="490">
        <v>28497.606</v>
      </c>
    </row>
    <row r="21" spans="1:37" ht="15.75">
      <c r="A21" s="72" t="s">
        <v>242</v>
      </c>
      <c r="B21" s="491"/>
      <c r="C21" s="74">
        <v>49271</v>
      </c>
      <c r="D21" s="75">
        <v>55961</v>
      </c>
      <c r="E21" s="75">
        <v>55961</v>
      </c>
      <c r="F21" s="480">
        <f t="shared" si="0"/>
        <v>100</v>
      </c>
      <c r="G21" s="74">
        <f t="shared" si="1"/>
        <v>49271</v>
      </c>
      <c r="H21" s="75">
        <f t="shared" si="2"/>
        <v>55890</v>
      </c>
      <c r="I21" s="75">
        <f t="shared" si="3"/>
        <v>55890</v>
      </c>
      <c r="J21" s="480">
        <f t="shared" si="4"/>
        <v>100</v>
      </c>
      <c r="K21" s="74"/>
      <c r="L21" s="75">
        <v>71</v>
      </c>
      <c r="M21" s="75">
        <v>71</v>
      </c>
      <c r="N21" s="480">
        <f>M21/L21*100</f>
        <v>100</v>
      </c>
      <c r="O21" s="74"/>
      <c r="P21" s="75"/>
      <c r="Q21" s="75"/>
      <c r="R21" s="480"/>
      <c r="S21" s="74"/>
      <c r="T21" s="75"/>
      <c r="U21" s="75"/>
      <c r="V21" s="480"/>
      <c r="W21" s="488"/>
      <c r="X21" s="75"/>
      <c r="Y21" s="75"/>
      <c r="Z21" s="482"/>
      <c r="AA21" s="74"/>
      <c r="AB21" s="75"/>
      <c r="AC21" s="75"/>
      <c r="AD21" s="480"/>
      <c r="AE21" s="290">
        <f t="shared" si="5"/>
        <v>0.5269999999727588</v>
      </c>
      <c r="AF21" s="485">
        <f>'Transfery neinvestiční 2.6'!C20+'Transfery neinvestiční 2.6'!G20+'Transfery neinvestiční 2.6'!K20+'Transfery neinvestiční 2.6'!O20+'Transfery neinvestiční 2.6'!S20+'Transfery nein.2.6a'!C21+'Transfery nein.2.6a'!O21+'Transfery nein.2.6a'!W21+'Transfery nein.2.6a'!S21+'Transfery investiční'!C20+'Transfery investiční'!G20+'Transfery investiční'!K20+'Transfery investiční'!O20+'Transfery investiční'!S20+'Transfery investiční'!W20</f>
        <v>79675</v>
      </c>
      <c r="AG21" s="485">
        <f>'Transfery neinvestiční 2.6'!D20+'Transfery neinvestiční 2.6'!H20+'Transfery neinvestiční 2.6'!L20+'Transfery neinvestiční 2.6'!P20+'Transfery neinvestiční 2.6'!T20+'Transfery nein.2.6a'!D21+'Transfery nein.2.6a'!P21+'Transfery nein.2.6a'!X21+'Transfery nein.2.6a'!T21+'Transfery investiční'!D20+'Transfery investiční'!H20+'Transfery investiční'!L20+'Transfery investiční'!P20+'Transfery investiční'!T20+'Transfery investiční'!X20</f>
        <v>121349</v>
      </c>
      <c r="AH21" s="485">
        <f>'Transfery neinvestiční 2.6'!E20+'Transfery neinvestiční 2.6'!I20+'Transfery neinvestiční 2.6'!M20+'Transfery neinvestiční 2.6'!Q20+'Transfery neinvestiční 2.6'!U20+'Transfery nein.2.6a'!E21+'Transfery nein.2.6a'!Q21+'Transfery nein.2.6a'!Y21+'Transfery nein.2.6a'!U21+'Transfery investiční'!E20+'Transfery investiční'!I20+'Transfery investiční'!M20+'Transfery investiční'!Q20+'Transfery investiční'!U20+'Transfery investiční'!Y20+'Transfery investiční'!AC20+AC21</f>
        <v>119983</v>
      </c>
      <c r="AI21" s="489">
        <f t="shared" si="6"/>
        <v>119983.52699999997</v>
      </c>
      <c r="AJ21" s="490">
        <v>154314.605</v>
      </c>
      <c r="AK21" s="490">
        <v>274298.132</v>
      </c>
    </row>
    <row r="22" spans="1:37" ht="15.75">
      <c r="A22" s="72" t="s">
        <v>13</v>
      </c>
      <c r="B22" s="491"/>
      <c r="C22" s="74">
        <v>59538</v>
      </c>
      <c r="D22" s="75">
        <v>62251</v>
      </c>
      <c r="E22" s="75">
        <v>62249</v>
      </c>
      <c r="F22" s="480">
        <f t="shared" si="0"/>
        <v>99.99678720020562</v>
      </c>
      <c r="G22" s="74">
        <f t="shared" si="1"/>
        <v>59388</v>
      </c>
      <c r="H22" s="75">
        <f t="shared" si="2"/>
        <v>62016</v>
      </c>
      <c r="I22" s="75">
        <f t="shared" si="3"/>
        <v>62016</v>
      </c>
      <c r="J22" s="480">
        <f t="shared" si="4"/>
        <v>100</v>
      </c>
      <c r="K22" s="74">
        <v>150</v>
      </c>
      <c r="L22" s="75">
        <v>235</v>
      </c>
      <c r="M22" s="75">
        <v>233</v>
      </c>
      <c r="N22" s="480">
        <f>M22/L22*100</f>
        <v>99.14893617021276</v>
      </c>
      <c r="O22" s="74"/>
      <c r="P22" s="75"/>
      <c r="Q22" s="75"/>
      <c r="R22" s="480"/>
      <c r="S22" s="74"/>
      <c r="T22" s="75"/>
      <c r="U22" s="75"/>
      <c r="V22" s="480"/>
      <c r="W22" s="488"/>
      <c r="X22" s="75"/>
      <c r="Y22" s="75"/>
      <c r="Z22" s="482"/>
      <c r="AA22" s="74"/>
      <c r="AB22" s="75"/>
      <c r="AC22" s="75"/>
      <c r="AD22" s="480"/>
      <c r="AE22" s="290">
        <f t="shared" si="5"/>
        <v>0.8799999999755528</v>
      </c>
      <c r="AF22" s="485">
        <f>'Transfery neinvestiční 2.6'!C21+'Transfery neinvestiční 2.6'!G21+'Transfery neinvestiční 2.6'!K21+'Transfery neinvestiční 2.6'!O21+'Transfery neinvestiční 2.6'!S21+'Transfery nein.2.6a'!C22+'Transfery nein.2.6a'!O22+'Transfery nein.2.6a'!W22+'Transfery nein.2.6a'!S22+'Transfery investiční'!C21+'Transfery investiční'!G21+'Transfery investiční'!K21+'Transfery investiční'!O21+'Transfery investiční'!S21+'Transfery investiční'!W21</f>
        <v>102782</v>
      </c>
      <c r="AG22" s="485">
        <f>'Transfery neinvestiční 2.6'!D21+'Transfery neinvestiční 2.6'!H21+'Transfery neinvestiční 2.6'!L21+'Transfery neinvestiční 2.6'!P21+'Transfery neinvestiční 2.6'!T21+'Transfery nein.2.6a'!D22+'Transfery nein.2.6a'!P22+'Transfery nein.2.6a'!X22+'Transfery nein.2.6a'!T22+'Transfery investiční'!D21+'Transfery investiční'!H21+'Transfery investiční'!L21+'Transfery investiční'!P21+'Transfery investiční'!T21+'Transfery investiční'!X21</f>
        <v>126821</v>
      </c>
      <c r="AH22" s="485">
        <f>'Transfery neinvestiční 2.6'!E21+'Transfery neinvestiční 2.6'!I21+'Transfery neinvestiční 2.6'!M21+'Transfery neinvestiční 2.6'!Q21+'Transfery neinvestiční 2.6'!U21+'Transfery nein.2.6a'!E22+'Transfery nein.2.6a'!Q22+'Transfery nein.2.6a'!Y22+'Transfery nein.2.6a'!U22+'Transfery investiční'!E21+'Transfery investiční'!I21+'Transfery investiční'!M21+'Transfery investiční'!Q21+'Transfery investiční'!U21+'Transfery investiční'!Y21+'Transfery investiční'!AC21+AC22</f>
        <v>126768</v>
      </c>
      <c r="AI22" s="489">
        <f t="shared" si="6"/>
        <v>126768.87999999998</v>
      </c>
      <c r="AJ22" s="490">
        <v>227973.122</v>
      </c>
      <c r="AK22" s="490">
        <v>354742.002</v>
      </c>
    </row>
    <row r="23" spans="1:37" ht="15.75">
      <c r="A23" s="72" t="s">
        <v>14</v>
      </c>
      <c r="B23" s="491"/>
      <c r="C23" s="74">
        <v>9943</v>
      </c>
      <c r="D23" s="75">
        <v>9951</v>
      </c>
      <c r="E23" s="75">
        <v>9951</v>
      </c>
      <c r="F23" s="480">
        <f t="shared" si="0"/>
        <v>100</v>
      </c>
      <c r="G23" s="74">
        <f t="shared" si="1"/>
        <v>9943</v>
      </c>
      <c r="H23" s="75">
        <f t="shared" si="2"/>
        <v>9951</v>
      </c>
      <c r="I23" s="75">
        <f t="shared" si="3"/>
        <v>9951</v>
      </c>
      <c r="J23" s="480">
        <f t="shared" si="4"/>
        <v>100</v>
      </c>
      <c r="K23" s="74"/>
      <c r="L23" s="75"/>
      <c r="M23" s="75"/>
      <c r="N23" s="480"/>
      <c r="O23" s="74"/>
      <c r="P23" s="75"/>
      <c r="Q23" s="75"/>
      <c r="R23" s="480"/>
      <c r="S23" s="74"/>
      <c r="T23" s="75"/>
      <c r="U23" s="75"/>
      <c r="V23" s="480"/>
      <c r="W23" s="488"/>
      <c r="X23" s="75"/>
      <c r="Y23" s="75"/>
      <c r="Z23" s="482"/>
      <c r="AA23" s="74"/>
      <c r="AB23" s="75"/>
      <c r="AC23" s="75"/>
      <c r="AD23" s="480"/>
      <c r="AE23" s="290">
        <f t="shared" si="5"/>
        <v>0</v>
      </c>
      <c r="AF23" s="485">
        <f>'Transfery neinvestiční 2.6'!C22+'Transfery neinvestiční 2.6'!G22+'Transfery neinvestiční 2.6'!K22+'Transfery neinvestiční 2.6'!O22+'Transfery neinvestiční 2.6'!S22+'Transfery nein.2.6a'!C23+'Transfery nein.2.6a'!O23+'Transfery nein.2.6a'!W23+'Transfery nein.2.6a'!S23+'Transfery investiční'!C22+'Transfery investiční'!G22+'Transfery investiční'!K22+'Transfery investiční'!O22+'Transfery investiční'!S22+'Transfery investiční'!W22</f>
        <v>10233</v>
      </c>
      <c r="AG23" s="485">
        <f>'Transfery neinvestiční 2.6'!D22+'Transfery neinvestiční 2.6'!H22+'Transfery neinvestiční 2.6'!L22+'Transfery neinvestiční 2.6'!P22+'Transfery neinvestiční 2.6'!T22+'Transfery nein.2.6a'!D23+'Transfery nein.2.6a'!P23+'Transfery nein.2.6a'!X23+'Transfery nein.2.6a'!T23+'Transfery investiční'!D22+'Transfery investiční'!H22+'Transfery investiční'!L22+'Transfery investiční'!P22+'Transfery investiční'!T22+'Transfery investiční'!X22</f>
        <v>10278</v>
      </c>
      <c r="AH23" s="485">
        <f>'Transfery neinvestiční 2.6'!E22+'Transfery neinvestiční 2.6'!I22+'Transfery neinvestiční 2.6'!M22+'Transfery neinvestiční 2.6'!Q22+'Transfery neinvestiční 2.6'!U22+'Transfery nein.2.6a'!E23+'Transfery nein.2.6a'!Q23+'Transfery nein.2.6a'!Y23+'Transfery nein.2.6a'!U23+'Transfery investiční'!E22+'Transfery investiční'!I22+'Transfery investiční'!M22+'Transfery investiční'!Q22+'Transfery investiční'!U22+'Transfery investiční'!Y22+'Transfery investiční'!AC22+AC23</f>
        <v>10278</v>
      </c>
      <c r="AI23" s="489">
        <f t="shared" si="6"/>
        <v>10278.000000000002</v>
      </c>
      <c r="AJ23" s="490">
        <v>15415.327</v>
      </c>
      <c r="AK23" s="490">
        <v>25693.327</v>
      </c>
    </row>
    <row r="24" spans="1:37" ht="15.75">
      <c r="A24" s="72" t="s">
        <v>15</v>
      </c>
      <c r="B24" s="491"/>
      <c r="C24" s="74">
        <v>16779</v>
      </c>
      <c r="D24" s="75">
        <v>16846</v>
      </c>
      <c r="E24" s="75">
        <v>16846</v>
      </c>
      <c r="F24" s="480">
        <f t="shared" si="0"/>
        <v>100</v>
      </c>
      <c r="G24" s="74">
        <f t="shared" si="1"/>
        <v>16779</v>
      </c>
      <c r="H24" s="75">
        <f t="shared" si="2"/>
        <v>16846</v>
      </c>
      <c r="I24" s="75">
        <f t="shared" si="3"/>
        <v>16846</v>
      </c>
      <c r="J24" s="480">
        <f t="shared" si="4"/>
        <v>100</v>
      </c>
      <c r="K24" s="74"/>
      <c r="L24" s="75"/>
      <c r="M24" s="75"/>
      <c r="N24" s="480"/>
      <c r="O24" s="74"/>
      <c r="P24" s="75">
        <v>269</v>
      </c>
      <c r="Q24" s="75">
        <v>269</v>
      </c>
      <c r="R24" s="480">
        <f aca="true" t="shared" si="7" ref="R24:R29">Q24/P24*100</f>
        <v>100</v>
      </c>
      <c r="S24" s="74"/>
      <c r="T24" s="75"/>
      <c r="U24" s="75"/>
      <c r="V24" s="480"/>
      <c r="W24" s="488"/>
      <c r="X24" s="75"/>
      <c r="Y24" s="75"/>
      <c r="Z24" s="482"/>
      <c r="AA24" s="74"/>
      <c r="AB24" s="75"/>
      <c r="AC24" s="75"/>
      <c r="AD24" s="480"/>
      <c r="AE24" s="290">
        <f t="shared" si="5"/>
        <v>-0.3489999999947031</v>
      </c>
      <c r="AF24" s="485">
        <f>'Transfery neinvestiční 2.6'!C23+'Transfery neinvestiční 2.6'!G23+'Transfery neinvestiční 2.6'!K23+'Transfery neinvestiční 2.6'!O23+'Transfery neinvestiční 2.6'!S23+'Transfery nein.2.6a'!C24+'Transfery nein.2.6a'!O24+'Transfery nein.2.6a'!W24+'Transfery nein.2.6a'!S24+'Transfery investiční'!C23+'Transfery investiční'!G23+'Transfery investiční'!K23+'Transfery investiční'!O23+'Transfery investiční'!S23+'Transfery investiční'!W23</f>
        <v>21164</v>
      </c>
      <c r="AG24" s="485">
        <f>'Transfery neinvestiční 2.6'!D23+'Transfery neinvestiční 2.6'!H23+'Transfery neinvestiční 2.6'!L23+'Transfery neinvestiční 2.6'!P23+'Transfery neinvestiční 2.6'!T23+'Transfery nein.2.6a'!D24+'Transfery nein.2.6a'!P24+'Transfery nein.2.6a'!X24+'Transfery nein.2.6a'!T24+'Transfery investiční'!D23+'Transfery investiční'!H23+'Transfery investiční'!L23+'Transfery investiční'!P23+'Transfery investiční'!T23+'Transfery investiční'!X23</f>
        <v>39685</v>
      </c>
      <c r="AH24" s="485">
        <f>'Transfery neinvestiční 2.6'!E23+'Transfery neinvestiční 2.6'!I23+'Transfery neinvestiční 2.6'!M23+'Transfery neinvestiční 2.6'!Q23+'Transfery neinvestiční 2.6'!U23+'Transfery nein.2.6a'!E24+'Transfery nein.2.6a'!Q24+'Transfery nein.2.6a'!Y24+'Transfery nein.2.6a'!U24+'Transfery investiční'!E23+'Transfery investiční'!I23+'Transfery investiční'!M23+'Transfery investiční'!Q23+'Transfery investiční'!U23+'Transfery investiční'!Y23+'Transfery investiční'!AC23+AC24</f>
        <v>39630</v>
      </c>
      <c r="AI24" s="489">
        <f t="shared" si="6"/>
        <v>39629.651000000005</v>
      </c>
      <c r="AJ24" s="490">
        <v>43662.744</v>
      </c>
      <c r="AK24" s="490">
        <v>83292.395</v>
      </c>
    </row>
    <row r="25" spans="1:37" ht="15.75">
      <c r="A25" s="72" t="s">
        <v>16</v>
      </c>
      <c r="B25" s="491"/>
      <c r="C25" s="74">
        <v>8047</v>
      </c>
      <c r="D25" s="75">
        <v>8732</v>
      </c>
      <c r="E25" s="75">
        <v>8732</v>
      </c>
      <c r="F25" s="480">
        <f t="shared" si="0"/>
        <v>100</v>
      </c>
      <c r="G25" s="74">
        <f t="shared" si="1"/>
        <v>8037</v>
      </c>
      <c r="H25" s="75">
        <f t="shared" si="2"/>
        <v>8722</v>
      </c>
      <c r="I25" s="75">
        <f t="shared" si="3"/>
        <v>8722</v>
      </c>
      <c r="J25" s="480">
        <f t="shared" si="4"/>
        <v>100</v>
      </c>
      <c r="K25" s="74">
        <v>10</v>
      </c>
      <c r="L25" s="75">
        <v>10</v>
      </c>
      <c r="M25" s="75">
        <v>10</v>
      </c>
      <c r="N25" s="480">
        <f>M25/L25*100</f>
        <v>100</v>
      </c>
      <c r="O25" s="74"/>
      <c r="P25" s="75">
        <v>2</v>
      </c>
      <c r="Q25" s="75">
        <v>2</v>
      </c>
      <c r="R25" s="480">
        <f t="shared" si="7"/>
        <v>100</v>
      </c>
      <c r="S25" s="74"/>
      <c r="T25" s="75"/>
      <c r="U25" s="75"/>
      <c r="V25" s="480"/>
      <c r="W25" s="488"/>
      <c r="X25" s="75"/>
      <c r="Y25" s="75"/>
      <c r="Z25" s="482"/>
      <c r="AA25" s="74"/>
      <c r="AB25" s="75"/>
      <c r="AC25" s="75"/>
      <c r="AD25" s="480"/>
      <c r="AE25" s="290">
        <f t="shared" si="5"/>
        <v>-0.34200000000419095</v>
      </c>
      <c r="AF25" s="485">
        <f>'Transfery neinvestiční 2.6'!C24+'Transfery neinvestiční 2.6'!G24+'Transfery neinvestiční 2.6'!K24+'Transfery neinvestiční 2.6'!O24+'Transfery neinvestiční 2.6'!S24+'Transfery nein.2.6a'!C25+'Transfery nein.2.6a'!O25+'Transfery nein.2.6a'!W25+'Transfery nein.2.6a'!S25+'Transfery investiční'!C24+'Transfery investiční'!G24+'Transfery investiční'!K24+'Transfery investiční'!O24+'Transfery investiční'!S24+'Transfery investiční'!W24</f>
        <v>10437</v>
      </c>
      <c r="AG25" s="485">
        <f>'Transfery neinvestiční 2.6'!D24+'Transfery neinvestiční 2.6'!H24+'Transfery neinvestiční 2.6'!L24+'Transfery neinvestiční 2.6'!P24+'Transfery neinvestiční 2.6'!T24+'Transfery nein.2.6a'!D25+'Transfery nein.2.6a'!P25+'Transfery nein.2.6a'!X25+'Transfery nein.2.6a'!T25+'Transfery investiční'!D24+'Transfery investiční'!H24+'Transfery investiční'!L24+'Transfery investiční'!P24+'Transfery investiční'!T24+'Transfery investiční'!X24</f>
        <v>46611</v>
      </c>
      <c r="AH25" s="485">
        <f>'Transfery neinvestiční 2.6'!E24+'Transfery neinvestiční 2.6'!I24+'Transfery neinvestiční 2.6'!M24+'Transfery neinvestiční 2.6'!Q24+'Transfery neinvestiční 2.6'!U24+'Transfery nein.2.6a'!E25+'Transfery nein.2.6a'!Q25+'Transfery nein.2.6a'!Y25+'Transfery nein.2.6a'!U25+'Transfery investiční'!E24+'Transfery investiční'!I24+'Transfery investiční'!M24+'Transfery investiční'!Q24+'Transfery investiční'!U24+'Transfery investiční'!Y24+'Transfery investiční'!AC24+AC25</f>
        <v>45549</v>
      </c>
      <c r="AI25" s="489">
        <f t="shared" si="6"/>
        <v>45548.657999999996</v>
      </c>
      <c r="AJ25" s="490">
        <v>29214.757</v>
      </c>
      <c r="AK25" s="490">
        <v>74763.415</v>
      </c>
    </row>
    <row r="26" spans="1:37" ht="15.75">
      <c r="A26" s="72" t="s">
        <v>244</v>
      </c>
      <c r="B26" s="491"/>
      <c r="C26" s="74">
        <v>10406</v>
      </c>
      <c r="D26" s="75">
        <v>11209</v>
      </c>
      <c r="E26" s="377">
        <v>11209</v>
      </c>
      <c r="F26" s="480">
        <f t="shared" si="0"/>
        <v>100</v>
      </c>
      <c r="G26" s="74">
        <f t="shared" si="1"/>
        <v>10406</v>
      </c>
      <c r="H26" s="75">
        <f t="shared" si="2"/>
        <v>11209</v>
      </c>
      <c r="I26" s="75">
        <f t="shared" si="3"/>
        <v>11209</v>
      </c>
      <c r="J26" s="480">
        <f t="shared" si="4"/>
        <v>100</v>
      </c>
      <c r="K26" s="74"/>
      <c r="L26" s="75"/>
      <c r="M26" s="377"/>
      <c r="N26" s="480"/>
      <c r="O26" s="74"/>
      <c r="P26" s="75">
        <v>33</v>
      </c>
      <c r="Q26" s="377">
        <v>33</v>
      </c>
      <c r="R26" s="480">
        <f t="shared" si="7"/>
        <v>100</v>
      </c>
      <c r="S26" s="74"/>
      <c r="T26" s="75"/>
      <c r="U26" s="377"/>
      <c r="V26" s="480"/>
      <c r="W26" s="488"/>
      <c r="X26" s="75"/>
      <c r="Y26" s="75"/>
      <c r="Z26" s="482"/>
      <c r="AA26" s="74"/>
      <c r="AB26" s="75"/>
      <c r="AC26" s="377"/>
      <c r="AD26" s="480"/>
      <c r="AE26" s="290">
        <f t="shared" si="5"/>
        <v>-0.47400000000197906</v>
      </c>
      <c r="AF26" s="485">
        <f>'Transfery neinvestiční 2.6'!C25+'Transfery neinvestiční 2.6'!G25+'Transfery neinvestiční 2.6'!K25+'Transfery neinvestiční 2.6'!O25+'Transfery neinvestiční 2.6'!S25+'Transfery nein.2.6a'!C26+'Transfery nein.2.6a'!O26+'Transfery nein.2.6a'!W26+'Transfery nein.2.6a'!S26+'Transfery investiční'!C25+'Transfery investiční'!G25+'Transfery investiční'!K25+'Transfery investiční'!O25+'Transfery investiční'!S25+'Transfery investiční'!W25</f>
        <v>11504</v>
      </c>
      <c r="AG26" s="485">
        <f>'Transfery neinvestiční 2.6'!D25+'Transfery neinvestiční 2.6'!H25+'Transfery neinvestiční 2.6'!L25+'Transfery neinvestiční 2.6'!P25+'Transfery neinvestiční 2.6'!T25+'Transfery nein.2.6a'!D26+'Transfery nein.2.6a'!P26+'Transfery nein.2.6a'!X26+'Transfery nein.2.6a'!T26+'Transfery investiční'!D25+'Transfery investiční'!H25+'Transfery investiční'!L25+'Transfery investiční'!P25+'Transfery investiční'!T25+'Transfery investiční'!X25</f>
        <v>14502</v>
      </c>
      <c r="AH26" s="485">
        <f>'Transfery neinvestiční 2.6'!E25+'Transfery neinvestiční 2.6'!I25+'Transfery neinvestiční 2.6'!M25+'Transfery neinvestiční 2.6'!Q25+'Transfery neinvestiční 2.6'!U25+'Transfery nein.2.6a'!E26+'Transfery nein.2.6a'!Q26+'Transfery nein.2.6a'!Y26+'Transfery nein.2.6a'!U26+'Transfery investiční'!E25+'Transfery investiční'!I25+'Transfery investiční'!M25+'Transfery investiční'!Q25+'Transfery investiční'!U25+'Transfery investiční'!Y25+'Transfery investiční'!AC25+AC26</f>
        <v>14502</v>
      </c>
      <c r="AI26" s="489">
        <f t="shared" si="6"/>
        <v>14501.525999999998</v>
      </c>
      <c r="AJ26" s="490">
        <v>23995.447</v>
      </c>
      <c r="AK26" s="490">
        <v>38496.973</v>
      </c>
    </row>
    <row r="27" spans="1:37" ht="15.75">
      <c r="A27" s="72" t="s">
        <v>18</v>
      </c>
      <c r="B27" s="491"/>
      <c r="C27" s="74">
        <v>96911</v>
      </c>
      <c r="D27" s="75">
        <v>104748</v>
      </c>
      <c r="E27" s="377">
        <v>104748</v>
      </c>
      <c r="F27" s="480">
        <f t="shared" si="0"/>
        <v>100</v>
      </c>
      <c r="G27" s="74">
        <f t="shared" si="1"/>
        <v>96711</v>
      </c>
      <c r="H27" s="75">
        <f t="shared" si="2"/>
        <v>104548</v>
      </c>
      <c r="I27" s="75">
        <f t="shared" si="3"/>
        <v>104548</v>
      </c>
      <c r="J27" s="480">
        <f t="shared" si="4"/>
        <v>100</v>
      </c>
      <c r="K27" s="74">
        <f>200</f>
        <v>200</v>
      </c>
      <c r="L27" s="498">
        <f>200</f>
        <v>200</v>
      </c>
      <c r="M27" s="75">
        <v>200</v>
      </c>
      <c r="N27" s="480">
        <f>M27/L27*100</f>
        <v>100</v>
      </c>
      <c r="O27" s="74"/>
      <c r="P27" s="498">
        <v>535</v>
      </c>
      <c r="Q27" s="75">
        <f>534+1</f>
        <v>535</v>
      </c>
      <c r="R27" s="480">
        <f t="shared" si="7"/>
        <v>100</v>
      </c>
      <c r="S27" s="74"/>
      <c r="T27" s="498"/>
      <c r="U27" s="75"/>
      <c r="V27" s="480"/>
      <c r="W27" s="488"/>
      <c r="X27" s="75"/>
      <c r="Y27" s="75"/>
      <c r="Z27" s="482"/>
      <c r="AA27" s="74"/>
      <c r="AB27" s="498">
        <v>6930</v>
      </c>
      <c r="AC27" s="75">
        <v>6930</v>
      </c>
      <c r="AD27" s="480">
        <f>AC27/AB27*100</f>
        <v>100</v>
      </c>
      <c r="AE27" s="290">
        <f t="shared" si="5"/>
        <v>0.6639999999897555</v>
      </c>
      <c r="AF27" s="485">
        <f>'Transfery neinvestiční 2.6'!C26+'Transfery neinvestiční 2.6'!G26+'Transfery neinvestiční 2.6'!K26+'Transfery neinvestiční 2.6'!O26+'Transfery neinvestiční 2.6'!S26+'Transfery nein.2.6a'!C27+'Transfery nein.2.6a'!O27+'Transfery nein.2.6a'!W27+'Transfery nein.2.6a'!S27+'Transfery investiční'!C26+'Transfery investiční'!G26+'Transfery investiční'!K26+'Transfery investiční'!O26+'Transfery investiční'!S26+'Transfery investiční'!W26+'Transfery investiční'!AA26+AA27</f>
        <v>161291</v>
      </c>
      <c r="AG27" s="485">
        <f>'Transfery neinvestiční 2.6'!D26+'Transfery neinvestiční 2.6'!H26+'Transfery neinvestiční 2.6'!L26+'Transfery neinvestiční 2.6'!P26+'Transfery neinvestiční 2.6'!T26+'Transfery nein.2.6a'!D27+'Transfery nein.2.6a'!P27+'Transfery nein.2.6a'!X27+'Transfery nein.2.6a'!T27+'Transfery investiční'!D26+'Transfery investiční'!H26+'Transfery investiční'!L26+'Transfery investiční'!P26+'Transfery investiční'!T26+'Transfery investiční'!X26+'Transfery investiční'!AB26+AB27</f>
        <v>257106</v>
      </c>
      <c r="AH27" s="485">
        <f>'Transfery neinvestiční 2.6'!E26+'Transfery neinvestiční 2.6'!I26+'Transfery neinvestiční 2.6'!M26+'Transfery neinvestiční 2.6'!Q26+'Transfery neinvestiční 2.6'!U26+'Transfery nein.2.6a'!E27+'Transfery nein.2.6a'!Q27+'Transfery nein.2.6a'!Y27+'Transfery nein.2.6a'!U27+'Transfery investiční'!E26+'Transfery investiční'!I26+'Transfery investiční'!M26+'Transfery investiční'!Q26+'Transfery investiční'!U26+'Transfery investiční'!Y26+'Transfery investiční'!AC26+AC27</f>
        <v>256365</v>
      </c>
      <c r="AI27" s="489">
        <f t="shared" si="6"/>
        <v>256365.664</v>
      </c>
      <c r="AJ27" s="490">
        <v>238489.435</v>
      </c>
      <c r="AK27" s="490">
        <v>494855.099</v>
      </c>
    </row>
    <row r="28" spans="1:37" ht="15.75">
      <c r="A28" s="72" t="s">
        <v>58</v>
      </c>
      <c r="B28" s="491"/>
      <c r="C28" s="74">
        <v>17068</v>
      </c>
      <c r="D28" s="75">
        <v>17775</v>
      </c>
      <c r="E28" s="75">
        <v>17775</v>
      </c>
      <c r="F28" s="480">
        <f t="shared" si="0"/>
        <v>100</v>
      </c>
      <c r="G28" s="74">
        <f t="shared" si="1"/>
        <v>17068</v>
      </c>
      <c r="H28" s="75">
        <f t="shared" si="2"/>
        <v>17775</v>
      </c>
      <c r="I28" s="75">
        <f t="shared" si="3"/>
        <v>17775</v>
      </c>
      <c r="J28" s="480">
        <f t="shared" si="4"/>
        <v>100</v>
      </c>
      <c r="K28" s="74"/>
      <c r="L28" s="75"/>
      <c r="M28" s="75"/>
      <c r="N28" s="480"/>
      <c r="O28" s="74"/>
      <c r="P28" s="75">
        <v>83</v>
      </c>
      <c r="Q28" s="75">
        <v>83</v>
      </c>
      <c r="R28" s="480">
        <f t="shared" si="7"/>
        <v>100</v>
      </c>
      <c r="S28" s="74"/>
      <c r="T28" s="75"/>
      <c r="U28" s="75"/>
      <c r="V28" s="480"/>
      <c r="W28" s="488"/>
      <c r="X28" s="75"/>
      <c r="Y28" s="75"/>
      <c r="Z28" s="482"/>
      <c r="AA28" s="74"/>
      <c r="AB28" s="75"/>
      <c r="AC28" s="75"/>
      <c r="AD28" s="480"/>
      <c r="AE28" s="290">
        <f t="shared" si="5"/>
        <v>0.14999999999417923</v>
      </c>
      <c r="AF28" s="485">
        <f>'Transfery neinvestiční 2.6'!C27+'Transfery neinvestiční 2.6'!G27+'Transfery neinvestiční 2.6'!K27+'Transfery neinvestiční 2.6'!O27+'Transfery neinvestiční 2.6'!S27+'Transfery nein.2.6a'!C28+'Transfery nein.2.6a'!O28+'Transfery nein.2.6a'!W28+'Transfery nein.2.6a'!S28+'Transfery investiční'!C27+'Transfery investiční'!G27+'Transfery investiční'!K27+'Transfery investiční'!O27+'Transfery investiční'!S27+'Transfery investiční'!W27+'Transfery investiční'!AA27</f>
        <v>21038</v>
      </c>
      <c r="AG28" s="485">
        <f>'Transfery neinvestiční 2.6'!D27+'Transfery neinvestiční 2.6'!H27+'Transfery neinvestiční 2.6'!L27+'Transfery neinvestiční 2.6'!P27+'Transfery neinvestiční 2.6'!T27+'Transfery nein.2.6a'!D28+'Transfery nein.2.6a'!P28+'Transfery nein.2.6a'!X28+'Transfery nein.2.6a'!T28+'Transfery investiční'!D27+'Transfery investiční'!H27+'Transfery investiční'!L27+'Transfery investiční'!P27+'Transfery investiční'!T27+'Transfery investiční'!X27+'Transfery investiční'!AB27</f>
        <v>24061</v>
      </c>
      <c r="AH28" s="485">
        <f>'Transfery neinvestiční 2.6'!E27+'Transfery neinvestiční 2.6'!I27+'Transfery neinvestiční 2.6'!M27+'Transfery neinvestiční 2.6'!Q27+'Transfery neinvestiční 2.6'!U27+'Transfery nein.2.6a'!E28+'Transfery nein.2.6a'!Q28+'Transfery nein.2.6a'!Y28+'Transfery nein.2.6a'!U28+'Transfery investiční'!E27+'Transfery investiční'!I27+'Transfery investiční'!M27+'Transfery investiční'!Q27+'Transfery investiční'!U27+'Transfery investiční'!Y27+'Transfery investiční'!AC27+AC28</f>
        <v>24426</v>
      </c>
      <c r="AI28" s="489">
        <f t="shared" si="6"/>
        <v>24426.149999999994</v>
      </c>
      <c r="AJ28" s="490">
        <v>43265.728</v>
      </c>
      <c r="AK28" s="490">
        <v>67691.878</v>
      </c>
    </row>
    <row r="29" spans="1:37" ht="15.75">
      <c r="A29" s="72" t="s">
        <v>19</v>
      </c>
      <c r="B29" s="491"/>
      <c r="C29" s="74">
        <v>53017</v>
      </c>
      <c r="D29" s="75">
        <v>57239</v>
      </c>
      <c r="E29" s="75">
        <v>57239</v>
      </c>
      <c r="F29" s="480">
        <f t="shared" si="0"/>
        <v>100</v>
      </c>
      <c r="G29" s="74">
        <f t="shared" si="1"/>
        <v>53017</v>
      </c>
      <c r="H29" s="75">
        <f t="shared" si="2"/>
        <v>57239</v>
      </c>
      <c r="I29" s="75">
        <f t="shared" si="3"/>
        <v>57239</v>
      </c>
      <c r="J29" s="480">
        <f t="shared" si="4"/>
        <v>100</v>
      </c>
      <c r="K29" s="74"/>
      <c r="L29" s="75"/>
      <c r="M29" s="75"/>
      <c r="N29" s="480"/>
      <c r="O29" s="74"/>
      <c r="P29" s="75">
        <v>2</v>
      </c>
      <c r="Q29" s="75">
        <v>2</v>
      </c>
      <c r="R29" s="480">
        <f t="shared" si="7"/>
        <v>100</v>
      </c>
      <c r="S29" s="74"/>
      <c r="T29" s="75"/>
      <c r="U29" s="75"/>
      <c r="V29" s="480"/>
      <c r="W29" s="488"/>
      <c r="X29" s="75"/>
      <c r="Y29" s="75"/>
      <c r="Z29" s="482"/>
      <c r="AA29" s="74"/>
      <c r="AB29" s="75"/>
      <c r="AC29" s="75"/>
      <c r="AD29" s="480"/>
      <c r="AE29" s="290">
        <f t="shared" si="5"/>
        <v>-0.2529999999969732</v>
      </c>
      <c r="AF29" s="485">
        <f>'Transfery neinvestiční 2.6'!C28+'Transfery neinvestiční 2.6'!G28+'Transfery neinvestiční 2.6'!K28+'Transfery neinvestiční 2.6'!O28+'Transfery neinvestiční 2.6'!S28+'Transfery nein.2.6a'!C29+'Transfery nein.2.6a'!O29+'Transfery nein.2.6a'!W29+'Transfery nein.2.6a'!S29+'Transfery investiční'!C28+'Transfery investiční'!G28+'Transfery investiční'!K28+'Transfery investiční'!O28+'Transfery investiční'!S28+'Transfery investiční'!W28+'Transfery investiční'!AA28</f>
        <v>87526</v>
      </c>
      <c r="AG29" s="485">
        <f>'Transfery neinvestiční 2.6'!D28+'Transfery neinvestiční 2.6'!H28+'Transfery neinvestiční 2.6'!L28+'Transfery neinvestiční 2.6'!P28+'Transfery neinvestiční 2.6'!T28+'Transfery nein.2.6a'!D29+'Transfery nein.2.6a'!P29+'Transfery nein.2.6a'!X29+'Transfery nein.2.6a'!T29+'Transfery investiční'!D28+'Transfery investiční'!H28+'Transfery investiční'!L28+'Transfery investiční'!P28+'Transfery investiční'!T28+'Transfery investiční'!X28+'Transfery investiční'!AB28</f>
        <v>110384</v>
      </c>
      <c r="AH29" s="485">
        <f>'Transfery neinvestiční 2.6'!E28+'Transfery neinvestiční 2.6'!I28+'Transfery neinvestiční 2.6'!M28+'Transfery neinvestiční 2.6'!Q28+'Transfery neinvestiční 2.6'!U28+'Transfery nein.2.6a'!E29+'Transfery nein.2.6a'!Q29+'Transfery nein.2.6a'!Y29+'Transfery nein.2.6a'!U29+'Transfery investiční'!E28+'Transfery investiční'!I28+'Transfery investiční'!M28+'Transfery investiční'!Q28+'Transfery investiční'!U28+'Transfery investiční'!Y28+'Transfery investiční'!AC28+AC29</f>
        <v>110385</v>
      </c>
      <c r="AI29" s="489">
        <f t="shared" si="6"/>
        <v>110384.747</v>
      </c>
      <c r="AJ29" s="490">
        <v>146805.421</v>
      </c>
      <c r="AK29" s="490">
        <v>257190.168</v>
      </c>
    </row>
    <row r="30" spans="1:37" ht="15.75">
      <c r="A30" s="72" t="s">
        <v>20</v>
      </c>
      <c r="B30" s="491"/>
      <c r="C30" s="74">
        <v>17657</v>
      </c>
      <c r="D30" s="75">
        <v>18789</v>
      </c>
      <c r="E30" s="75">
        <v>18789</v>
      </c>
      <c r="F30" s="480">
        <f t="shared" si="0"/>
        <v>100</v>
      </c>
      <c r="G30" s="74">
        <f t="shared" si="1"/>
        <v>17657</v>
      </c>
      <c r="H30" s="75">
        <f t="shared" si="2"/>
        <v>18789</v>
      </c>
      <c r="I30" s="75">
        <f t="shared" si="3"/>
        <v>18789</v>
      </c>
      <c r="J30" s="480">
        <f t="shared" si="4"/>
        <v>100</v>
      </c>
      <c r="K30" s="74"/>
      <c r="L30" s="377"/>
      <c r="M30" s="75"/>
      <c r="N30" s="480"/>
      <c r="O30" s="74"/>
      <c r="P30" s="377"/>
      <c r="Q30" s="75"/>
      <c r="R30" s="480"/>
      <c r="S30" s="74"/>
      <c r="T30" s="377"/>
      <c r="U30" s="75"/>
      <c r="V30" s="480"/>
      <c r="W30" s="488"/>
      <c r="X30" s="75"/>
      <c r="Y30" s="75"/>
      <c r="Z30" s="482"/>
      <c r="AA30" s="74"/>
      <c r="AB30" s="377"/>
      <c r="AC30" s="75"/>
      <c r="AD30" s="480"/>
      <c r="AE30" s="290">
        <f>AI30-AH30</f>
        <v>-0.08199999999487773</v>
      </c>
      <c r="AF30" s="485">
        <f>'Transfery neinvestiční 2.6'!C29+'Transfery neinvestiční 2.6'!G29+'Transfery neinvestiční 2.6'!K29+'Transfery neinvestiční 2.6'!O29+'Transfery neinvestiční 2.6'!S29+'Transfery nein.2.6a'!C30+'Transfery nein.2.6a'!O30+'Transfery nein.2.6a'!W30+'Transfery nein.2.6a'!S30+'Transfery investiční'!C29+'Transfery investiční'!G29+'Transfery investiční'!K29+'Transfery investiční'!O29+'Transfery investiční'!S29+'Transfery investiční'!W29+'Transfery investiční'!AA29</f>
        <v>35654</v>
      </c>
      <c r="AG30" s="485">
        <f>'Transfery neinvestiční 2.6'!D29+'Transfery neinvestiční 2.6'!H29+'Transfery neinvestiční 2.6'!L29+'Transfery neinvestiční 2.6'!P29+'Transfery neinvestiční 2.6'!T29+'Transfery nein.2.6a'!D30+'Transfery nein.2.6a'!P30+'Transfery nein.2.6a'!X30+'Transfery nein.2.6a'!T30+'Transfery investiční'!D29+'Transfery investiční'!H29+'Transfery investiční'!L29+'Transfery investiční'!P29+'Transfery investiční'!T29+'Transfery investiční'!X29+'Transfery investiční'!AB29</f>
        <v>42047</v>
      </c>
      <c r="AH30" s="485">
        <f>'Transfery neinvestiční 2.6'!E29+'Transfery neinvestiční 2.6'!I29+'Transfery neinvestiční 2.6'!M29+'Transfery neinvestiční 2.6'!Q29+'Transfery neinvestiční 2.6'!U29+'Transfery nein.2.6a'!E30+'Transfery nein.2.6a'!Q30+'Transfery nein.2.6a'!Y30+'Transfery nein.2.6a'!U30+'Transfery investiční'!E29+'Transfery investiční'!I29+'Transfery investiční'!M29+'Transfery investiční'!Q29+'Transfery investiční'!U29+'Transfery investiční'!Y29+'Transfery investiční'!AC29+AC30</f>
        <v>41995</v>
      </c>
      <c r="AI30" s="489">
        <f t="shared" si="6"/>
        <v>41994.918000000005</v>
      </c>
      <c r="AJ30" s="490">
        <v>56144.079</v>
      </c>
      <c r="AK30" s="490">
        <v>98138.997</v>
      </c>
    </row>
    <row r="31" spans="1:37" ht="15.75">
      <c r="A31" s="72" t="s">
        <v>21</v>
      </c>
      <c r="B31" s="491"/>
      <c r="C31" s="74">
        <v>25406</v>
      </c>
      <c r="D31" s="75">
        <v>25878</v>
      </c>
      <c r="E31" s="75">
        <v>25878</v>
      </c>
      <c r="F31" s="480">
        <f t="shared" si="0"/>
        <v>100</v>
      </c>
      <c r="G31" s="74">
        <f t="shared" si="1"/>
        <v>25406</v>
      </c>
      <c r="H31" s="75">
        <f t="shared" si="2"/>
        <v>25878</v>
      </c>
      <c r="I31" s="75">
        <f t="shared" si="3"/>
        <v>25878</v>
      </c>
      <c r="J31" s="480">
        <f t="shared" si="4"/>
        <v>100</v>
      </c>
      <c r="K31" s="74"/>
      <c r="L31" s="75"/>
      <c r="M31" s="75"/>
      <c r="N31" s="480"/>
      <c r="O31" s="74"/>
      <c r="P31" s="75">
        <v>105</v>
      </c>
      <c r="Q31" s="75">
        <v>105</v>
      </c>
      <c r="R31" s="480">
        <f aca="true" t="shared" si="8" ref="R31:R37">Q31/P31*100</f>
        <v>100</v>
      </c>
      <c r="S31" s="74"/>
      <c r="T31" s="75"/>
      <c r="U31" s="75"/>
      <c r="V31" s="480"/>
      <c r="W31" s="488"/>
      <c r="X31" s="75"/>
      <c r="Y31" s="75"/>
      <c r="Z31" s="482"/>
      <c r="AA31" s="74"/>
      <c r="AB31" s="75"/>
      <c r="AC31" s="75"/>
      <c r="AD31" s="480"/>
      <c r="AE31" s="290">
        <f aca="true" t="shared" si="9" ref="AE31:AE43">AI31-AH31</f>
        <v>-0.3760000000183936</v>
      </c>
      <c r="AF31" s="485">
        <f>'Transfery neinvestiční 2.6'!C30+'Transfery neinvestiční 2.6'!G30+'Transfery neinvestiční 2.6'!K30+'Transfery neinvestiční 2.6'!O30+'Transfery neinvestiční 2.6'!S30+'Transfery nein.2.6a'!C31+'Transfery nein.2.6a'!O31+'Transfery nein.2.6a'!W31+'Transfery nein.2.6a'!S31+'Transfery investiční'!C30+'Transfery investiční'!G30+'Transfery investiční'!K30+'Transfery investiční'!O30+'Transfery investiční'!S30+'Transfery investiční'!W30+'Transfery investiční'!AA30</f>
        <v>41124</v>
      </c>
      <c r="AG31" s="485">
        <f>'Transfery neinvestiční 2.6'!D30+'Transfery neinvestiční 2.6'!H30+'Transfery neinvestiční 2.6'!L30+'Transfery neinvestiční 2.6'!P30+'Transfery neinvestiční 2.6'!T30+'Transfery nein.2.6a'!D31+'Transfery nein.2.6a'!P31+'Transfery nein.2.6a'!X31+'Transfery nein.2.6a'!T31+'Transfery investiční'!D30+'Transfery investiční'!H30+'Transfery investiční'!L30+'Transfery investiční'!P30+'Transfery investiční'!T30+'Transfery investiční'!X30+'Transfery investiční'!AB30</f>
        <v>72195</v>
      </c>
      <c r="AH31" s="485">
        <f>'Transfery neinvestiční 2.6'!E30+'Transfery neinvestiční 2.6'!I30+'Transfery neinvestiční 2.6'!M30+'Transfery neinvestiční 2.6'!Q30+'Transfery neinvestiční 2.6'!U30+'Transfery nein.2.6a'!E31+'Transfery nein.2.6a'!Q31+'Transfery nein.2.6a'!Y31+'Transfery nein.2.6a'!U31+'Transfery investiční'!E30+'Transfery investiční'!I30+'Transfery investiční'!M30+'Transfery investiční'!Q30+'Transfery investiční'!U30+'Transfery investiční'!Y30+'Transfery investiční'!AC30+AC31</f>
        <v>72591</v>
      </c>
      <c r="AI31" s="489">
        <f t="shared" si="6"/>
        <v>72590.62399999998</v>
      </c>
      <c r="AJ31" s="490">
        <v>109040.85</v>
      </c>
      <c r="AK31" s="490">
        <v>181631.474</v>
      </c>
    </row>
    <row r="32" spans="1:37" ht="15.75">
      <c r="A32" s="72" t="s">
        <v>22</v>
      </c>
      <c r="B32" s="491"/>
      <c r="C32" s="74">
        <v>21338</v>
      </c>
      <c r="D32" s="75">
        <v>20973</v>
      </c>
      <c r="E32" s="75">
        <v>20973</v>
      </c>
      <c r="F32" s="480">
        <f t="shared" si="0"/>
        <v>100</v>
      </c>
      <c r="G32" s="74">
        <f t="shared" si="1"/>
        <v>21338</v>
      </c>
      <c r="H32" s="75">
        <f t="shared" si="2"/>
        <v>20973</v>
      </c>
      <c r="I32" s="75">
        <f t="shared" si="3"/>
        <v>20973</v>
      </c>
      <c r="J32" s="480">
        <f t="shared" si="4"/>
        <v>100</v>
      </c>
      <c r="K32" s="74"/>
      <c r="L32" s="75"/>
      <c r="M32" s="75"/>
      <c r="N32" s="480"/>
      <c r="O32" s="74"/>
      <c r="P32" s="75">
        <v>137</v>
      </c>
      <c r="Q32" s="75">
        <v>137</v>
      </c>
      <c r="R32" s="480">
        <f t="shared" si="8"/>
        <v>100</v>
      </c>
      <c r="S32" s="74"/>
      <c r="T32" s="75"/>
      <c r="U32" s="75"/>
      <c r="V32" s="480"/>
      <c r="W32" s="488"/>
      <c r="X32" s="75"/>
      <c r="Y32" s="75"/>
      <c r="Z32" s="482"/>
      <c r="AA32" s="74"/>
      <c r="AB32" s="75"/>
      <c r="AC32" s="75"/>
      <c r="AD32" s="480"/>
      <c r="AE32" s="290">
        <f t="shared" si="9"/>
        <v>-0.4539999999979045</v>
      </c>
      <c r="AF32" s="485">
        <f>'Transfery neinvestiční 2.6'!C31+'Transfery neinvestiční 2.6'!G31+'Transfery neinvestiční 2.6'!K31+'Transfery neinvestiční 2.6'!O31+'Transfery neinvestiční 2.6'!S31+'Transfery nein.2.6a'!C32+'Transfery nein.2.6a'!O32+'Transfery nein.2.6a'!W32+'Transfery nein.2.6a'!S32+'Transfery investiční'!C31+'Transfery investiční'!G31+'Transfery investiční'!K31+'Transfery investiční'!O31+'Transfery investiční'!S31+'Transfery investiční'!W31+'Transfery investiční'!AA31</f>
        <v>46015</v>
      </c>
      <c r="AG32" s="485">
        <f>'Transfery neinvestiční 2.6'!D31+'Transfery neinvestiční 2.6'!H31+'Transfery neinvestiční 2.6'!L31+'Transfery neinvestiční 2.6'!P31+'Transfery neinvestiční 2.6'!T31+'Transfery nein.2.6a'!D32+'Transfery nein.2.6a'!P32+'Transfery nein.2.6a'!X32+'Transfery nein.2.6a'!T32+'Transfery investiční'!D31+'Transfery investiční'!H31+'Transfery investiční'!L31+'Transfery investiční'!P31+'Transfery investiční'!T31+'Transfery investiční'!X31+'Transfery investiční'!AB31</f>
        <v>83773</v>
      </c>
      <c r="AH32" s="485">
        <f>'Transfery neinvestiční 2.6'!E31+'Transfery neinvestiční 2.6'!I31+'Transfery neinvestiční 2.6'!M31+'Transfery neinvestiční 2.6'!Q31+'Transfery neinvestiční 2.6'!U31+'Transfery nein.2.6a'!E32+'Transfery nein.2.6a'!Q32+'Transfery nein.2.6a'!Y32+'Transfery nein.2.6a'!U32+'Transfery investiční'!E31+'Transfery investiční'!I31+'Transfery investiční'!M31+'Transfery investiční'!Q31+'Transfery investiční'!U31+'Transfery investiční'!Y31+'Transfery investiční'!AC31+AC32</f>
        <v>84973</v>
      </c>
      <c r="AI32" s="489">
        <f t="shared" si="6"/>
        <v>84972.546</v>
      </c>
      <c r="AJ32" s="490">
        <v>129906.94</v>
      </c>
      <c r="AK32" s="490">
        <v>214879.486</v>
      </c>
    </row>
    <row r="33" spans="1:37" ht="15.75">
      <c r="A33" s="72" t="s">
        <v>23</v>
      </c>
      <c r="B33" s="491"/>
      <c r="C33" s="74">
        <v>55465</v>
      </c>
      <c r="D33" s="75">
        <v>58245</v>
      </c>
      <c r="E33" s="75">
        <v>58237</v>
      </c>
      <c r="F33" s="480">
        <f t="shared" si="0"/>
        <v>99.98626491544339</v>
      </c>
      <c r="G33" s="74">
        <f t="shared" si="1"/>
        <v>55465</v>
      </c>
      <c r="H33" s="75">
        <f t="shared" si="2"/>
        <v>57831</v>
      </c>
      <c r="I33" s="75">
        <f t="shared" si="3"/>
        <v>57831</v>
      </c>
      <c r="J33" s="480">
        <f t="shared" si="4"/>
        <v>100</v>
      </c>
      <c r="K33" s="74"/>
      <c r="L33" s="75">
        <f>405+9</f>
        <v>414</v>
      </c>
      <c r="M33" s="75">
        <f>397+9</f>
        <v>406</v>
      </c>
      <c r="N33" s="480">
        <f>M33/L33*100</f>
        <v>98.06763285024155</v>
      </c>
      <c r="O33" s="74"/>
      <c r="P33" s="75">
        <v>110</v>
      </c>
      <c r="Q33" s="75">
        <v>110</v>
      </c>
      <c r="R33" s="480">
        <f t="shared" si="8"/>
        <v>100</v>
      </c>
      <c r="S33" s="74"/>
      <c r="T33" s="75"/>
      <c r="U33" s="75"/>
      <c r="V33" s="480"/>
      <c r="W33" s="488"/>
      <c r="X33" s="75"/>
      <c r="Y33" s="75"/>
      <c r="Z33" s="482"/>
      <c r="AA33" s="74"/>
      <c r="AB33" s="75"/>
      <c r="AC33" s="75"/>
      <c r="AD33" s="480"/>
      <c r="AE33" s="290">
        <f t="shared" si="9"/>
        <v>-0.36399999997229315</v>
      </c>
      <c r="AF33" s="485">
        <f>'Transfery neinvestiční 2.6'!C32+'Transfery neinvestiční 2.6'!G32+'Transfery neinvestiční 2.6'!K32+'Transfery neinvestiční 2.6'!O32+'Transfery neinvestiční 2.6'!S32+'Transfery nein.2.6a'!C33+'Transfery nein.2.6a'!O33+'Transfery nein.2.6a'!W33+'Transfery nein.2.6a'!S33+'Transfery investiční'!C32+'Transfery investiční'!G32+'Transfery investiční'!K32+'Transfery investiční'!O32+'Transfery investiční'!S32+'Transfery investiční'!W32+'Transfery investiční'!AA32</f>
        <v>101648</v>
      </c>
      <c r="AG33" s="485">
        <f>'Transfery neinvestiční 2.6'!D32+'Transfery neinvestiční 2.6'!H32+'Transfery neinvestiční 2.6'!L32+'Transfery neinvestiční 2.6'!P32+'Transfery neinvestiční 2.6'!T32+'Transfery nein.2.6a'!D33+'Transfery nein.2.6a'!P33+'Transfery nein.2.6a'!X33+'Transfery nein.2.6a'!T33+'Transfery investiční'!D32+'Transfery investiční'!H32+'Transfery investiční'!L32+'Transfery investiční'!P32+'Transfery investiční'!T32+'Transfery investiční'!X32+'Transfery investiční'!AB32</f>
        <v>119149</v>
      </c>
      <c r="AH33" s="485">
        <f>'Transfery neinvestiční 2.6'!E32+'Transfery neinvestiční 2.6'!I32+'Transfery neinvestiční 2.6'!M32+'Transfery neinvestiční 2.6'!Q32+'Transfery neinvestiční 2.6'!U32+'Transfery nein.2.6a'!E33+'Transfery nein.2.6a'!Q33+'Transfery nein.2.6a'!Y33+'Transfery nein.2.6a'!U33+'Transfery investiční'!E32+'Transfery investiční'!I32+'Transfery investiční'!M32+'Transfery investiční'!Q32+'Transfery investiční'!U32+'Transfery investiční'!Y32+'Transfery investiční'!AC32+AC33</f>
        <v>119141</v>
      </c>
      <c r="AI33" s="489">
        <f t="shared" si="6"/>
        <v>119140.63600000003</v>
      </c>
      <c r="AJ33" s="490">
        <v>150409.204</v>
      </c>
      <c r="AK33" s="490">
        <v>269549.84</v>
      </c>
    </row>
    <row r="34" spans="1:37" ht="15.75">
      <c r="A34" s="72" t="s">
        <v>24</v>
      </c>
      <c r="B34" s="491"/>
      <c r="C34" s="74">
        <v>18536</v>
      </c>
      <c r="D34" s="75">
        <v>20495</v>
      </c>
      <c r="E34" s="75">
        <v>20495</v>
      </c>
      <c r="F34" s="480">
        <f t="shared" si="0"/>
        <v>100</v>
      </c>
      <c r="G34" s="74">
        <f t="shared" si="1"/>
        <v>18536</v>
      </c>
      <c r="H34" s="75">
        <f t="shared" si="2"/>
        <v>20316</v>
      </c>
      <c r="I34" s="75">
        <f t="shared" si="3"/>
        <v>20316</v>
      </c>
      <c r="J34" s="480">
        <f t="shared" si="4"/>
        <v>100</v>
      </c>
      <c r="K34" s="74"/>
      <c r="L34" s="75">
        <v>179</v>
      </c>
      <c r="M34" s="75">
        <v>179</v>
      </c>
      <c r="N34" s="480">
        <f>M34/L34*100</f>
        <v>100</v>
      </c>
      <c r="O34" s="74"/>
      <c r="P34" s="75">
        <v>81</v>
      </c>
      <c r="Q34" s="75">
        <v>81</v>
      </c>
      <c r="R34" s="480">
        <f t="shared" si="8"/>
        <v>100</v>
      </c>
      <c r="S34" s="74"/>
      <c r="T34" s="75"/>
      <c r="U34" s="75"/>
      <c r="V34" s="480"/>
      <c r="W34" s="488"/>
      <c r="X34" s="75"/>
      <c r="Y34" s="75"/>
      <c r="Z34" s="482"/>
      <c r="AA34" s="74"/>
      <c r="AB34" s="75"/>
      <c r="AC34" s="75"/>
      <c r="AD34" s="480"/>
      <c r="AE34" s="290">
        <f t="shared" si="9"/>
        <v>0.6330000000016298</v>
      </c>
      <c r="AF34" s="485">
        <f>'Transfery neinvestiční 2.6'!C33+'Transfery neinvestiční 2.6'!G33+'Transfery neinvestiční 2.6'!K33+'Transfery neinvestiční 2.6'!O33+'Transfery neinvestiční 2.6'!S33+'Transfery nein.2.6a'!C34+'Transfery nein.2.6a'!O34+'Transfery nein.2.6a'!W34+'Transfery nein.2.6a'!S34+'Transfery investiční'!C33+'Transfery investiční'!G33+'Transfery investiční'!K33+'Transfery investiční'!O33+'Transfery investiční'!S33+'Transfery investiční'!W33+'Transfery investiční'!AA33</f>
        <v>32808</v>
      </c>
      <c r="AG34" s="485">
        <f>'Transfery neinvestiční 2.6'!D33+'Transfery neinvestiční 2.6'!H33+'Transfery neinvestiční 2.6'!L33+'Transfery neinvestiční 2.6'!P33+'Transfery neinvestiční 2.6'!T33+'Transfery nein.2.6a'!D34+'Transfery nein.2.6a'!P34+'Transfery nein.2.6a'!X34+'Transfery nein.2.6a'!T34+'Transfery investiční'!D33+'Transfery investiční'!H33+'Transfery investiční'!L33+'Transfery investiční'!P33+'Transfery investiční'!T33+'Transfery investiční'!X33+'Transfery investiční'!AB33</f>
        <v>57564</v>
      </c>
      <c r="AH34" s="485">
        <f>'Transfery neinvestiční 2.6'!E33+'Transfery neinvestiční 2.6'!I33+'Transfery neinvestiční 2.6'!M33+'Transfery neinvestiční 2.6'!Q33+'Transfery neinvestiční 2.6'!U33+'Transfery nein.2.6a'!E34+'Transfery nein.2.6a'!Q34+'Transfery nein.2.6a'!Y34+'Transfery nein.2.6a'!U34+'Transfery investiční'!E33+'Transfery investiční'!I33+'Transfery investiční'!M33+'Transfery investiční'!Q33+'Transfery investiční'!U33+'Transfery investiční'!Y33+'Transfery investiční'!AC33+AC34</f>
        <v>56772</v>
      </c>
      <c r="AI34" s="489">
        <f t="shared" si="6"/>
        <v>56772.633</v>
      </c>
      <c r="AJ34" s="490">
        <v>69567.686</v>
      </c>
      <c r="AK34" s="490">
        <v>126340.319</v>
      </c>
    </row>
    <row r="35" spans="1:37" ht="15.75">
      <c r="A35" s="72" t="s">
        <v>25</v>
      </c>
      <c r="B35" s="491"/>
      <c r="C35" s="74">
        <v>19671</v>
      </c>
      <c r="D35" s="75">
        <v>20739</v>
      </c>
      <c r="E35" s="75">
        <v>20648</v>
      </c>
      <c r="F35" s="480">
        <f t="shared" si="0"/>
        <v>99.56121317324846</v>
      </c>
      <c r="G35" s="74">
        <f t="shared" si="1"/>
        <v>19671</v>
      </c>
      <c r="H35" s="75">
        <f t="shared" si="2"/>
        <v>20658</v>
      </c>
      <c r="I35" s="75">
        <f t="shared" si="3"/>
        <v>20567</v>
      </c>
      <c r="J35" s="480">
        <f t="shared" si="4"/>
        <v>99.55949269048311</v>
      </c>
      <c r="K35" s="74"/>
      <c r="L35" s="75">
        <v>81</v>
      </c>
      <c r="M35" s="75">
        <v>81</v>
      </c>
      <c r="N35" s="480">
        <f>M35/L35*100</f>
        <v>100</v>
      </c>
      <c r="O35" s="74"/>
      <c r="P35" s="75">
        <v>121</v>
      </c>
      <c r="Q35" s="75">
        <v>121</v>
      </c>
      <c r="R35" s="480">
        <f t="shared" si="8"/>
        <v>100</v>
      </c>
      <c r="S35" s="74"/>
      <c r="T35" s="75"/>
      <c r="U35" s="75"/>
      <c r="V35" s="480"/>
      <c r="W35" s="488"/>
      <c r="X35" s="75"/>
      <c r="Y35" s="75"/>
      <c r="Z35" s="482"/>
      <c r="AA35" s="74"/>
      <c r="AB35" s="75"/>
      <c r="AC35" s="75"/>
      <c r="AD35" s="480"/>
      <c r="AE35" s="290">
        <f t="shared" si="9"/>
        <v>-0.878999999993539</v>
      </c>
      <c r="AF35" s="485">
        <f>'Transfery neinvestiční 2.6'!C34+'Transfery neinvestiční 2.6'!G34+'Transfery neinvestiční 2.6'!K34+'Transfery neinvestiční 2.6'!O34+'Transfery neinvestiční 2.6'!S34+'Transfery nein.2.6a'!C35+'Transfery nein.2.6a'!O35+'Transfery nein.2.6a'!W35+'Transfery nein.2.6a'!S35+'Transfery investiční'!C34+'Transfery investiční'!G34+'Transfery investiční'!K34+'Transfery investiční'!O34+'Transfery investiční'!S34+'Transfery investiční'!W34+'Transfery investiční'!AA34</f>
        <v>22042</v>
      </c>
      <c r="AG35" s="485">
        <f>'Transfery neinvestiční 2.6'!D34+'Transfery neinvestiční 2.6'!H34+'Transfery neinvestiční 2.6'!L34+'Transfery neinvestiční 2.6'!P34+'Transfery neinvestiční 2.6'!T34+'Transfery nein.2.6a'!D35+'Transfery nein.2.6a'!P35+'Transfery nein.2.6a'!X35+'Transfery nein.2.6a'!T35+'Transfery investiční'!D34+'Transfery investiční'!H34+'Transfery investiční'!L34+'Transfery investiční'!P34+'Transfery investiční'!T34+'Transfery investiční'!X34+'Transfery investiční'!AB34</f>
        <v>24381</v>
      </c>
      <c r="AH35" s="485">
        <f>'Transfery neinvestiční 2.6'!E34+'Transfery neinvestiční 2.6'!I34+'Transfery neinvestiční 2.6'!M34+'Transfery neinvestiční 2.6'!Q34+'Transfery neinvestiční 2.6'!U34+'Transfery nein.2.6a'!E35+'Transfery nein.2.6a'!Q35+'Transfery nein.2.6a'!Y35+'Transfery nein.2.6a'!U35+'Transfery investiční'!E34+'Transfery investiční'!I34+'Transfery investiční'!M34+'Transfery investiční'!Q34+'Transfery investiční'!U34+'Transfery investiční'!Y34+'Transfery investiční'!AC34+AC35</f>
        <v>24290</v>
      </c>
      <c r="AI35" s="489">
        <f t="shared" si="6"/>
        <v>24289.121000000006</v>
      </c>
      <c r="AJ35" s="490">
        <v>49849.922</v>
      </c>
      <c r="AK35" s="490">
        <v>74139.043</v>
      </c>
    </row>
    <row r="36" spans="1:37" ht="15.75">
      <c r="A36" s="72" t="s">
        <v>26</v>
      </c>
      <c r="B36" s="491"/>
      <c r="C36" s="74">
        <v>11390</v>
      </c>
      <c r="D36" s="75">
        <v>12405</v>
      </c>
      <c r="E36" s="75">
        <f>12405-1</f>
        <v>12404</v>
      </c>
      <c r="F36" s="480">
        <f t="shared" si="0"/>
        <v>99.9919387343813</v>
      </c>
      <c r="G36" s="74">
        <f t="shared" si="1"/>
        <v>11390</v>
      </c>
      <c r="H36" s="75">
        <f t="shared" si="2"/>
        <v>12071</v>
      </c>
      <c r="I36" s="75">
        <f>SUM(E36-M36)</f>
        <v>12071</v>
      </c>
      <c r="J36" s="480">
        <f t="shared" si="4"/>
        <v>100</v>
      </c>
      <c r="K36" s="74"/>
      <c r="L36" s="75">
        <v>334</v>
      </c>
      <c r="M36" s="75">
        <f>334-1</f>
        <v>333</v>
      </c>
      <c r="N36" s="480">
        <f>M36/L36*100</f>
        <v>99.7005988023952</v>
      </c>
      <c r="O36" s="74"/>
      <c r="P36" s="75">
        <v>82</v>
      </c>
      <c r="Q36" s="75">
        <v>82</v>
      </c>
      <c r="R36" s="480">
        <f t="shared" si="8"/>
        <v>100</v>
      </c>
      <c r="S36" s="74"/>
      <c r="T36" s="75"/>
      <c r="U36" s="75"/>
      <c r="V36" s="480"/>
      <c r="W36" s="488"/>
      <c r="X36" s="75"/>
      <c r="Y36" s="75"/>
      <c r="Z36" s="482"/>
      <c r="AA36" s="74"/>
      <c r="AB36" s="75"/>
      <c r="AC36" s="75"/>
      <c r="AD36" s="480"/>
      <c r="AE36" s="290">
        <f t="shared" si="9"/>
        <v>-0.20700000000215368</v>
      </c>
      <c r="AF36" s="485">
        <f>'Transfery neinvestiční 2.6'!C35+'Transfery neinvestiční 2.6'!G35+'Transfery neinvestiční 2.6'!K35+'Transfery neinvestiční 2.6'!O35+'Transfery neinvestiční 2.6'!S35+'Transfery nein.2.6a'!C36+'Transfery nein.2.6a'!O36+'Transfery nein.2.6a'!W36+'Transfery nein.2.6a'!S36+'Transfery investiční'!C35+'Transfery investiční'!G35+'Transfery investiční'!K35+'Transfery investiční'!O35+'Transfery investiční'!S35+'Transfery investiční'!W35+'Transfery investiční'!AA35</f>
        <v>12945</v>
      </c>
      <c r="AG36" s="485">
        <f>'Transfery neinvestiční 2.6'!D35+'Transfery neinvestiční 2.6'!H35+'Transfery neinvestiční 2.6'!L35+'Transfery neinvestiční 2.6'!P35+'Transfery neinvestiční 2.6'!T35+'Transfery nein.2.6a'!D36+'Transfery nein.2.6a'!P36+'Transfery nein.2.6a'!X36+'Transfery nein.2.6a'!T36+'Transfery investiční'!D35+'Transfery investiční'!H35+'Transfery investiční'!L35+'Transfery investiční'!P35+'Transfery investiční'!T35+'Transfery investiční'!X35+'Transfery investiční'!AB35</f>
        <v>24436</v>
      </c>
      <c r="AH36" s="485">
        <f>'Transfery neinvestiční 2.6'!E35+'Transfery neinvestiční 2.6'!I35+'Transfery neinvestiční 2.6'!M35+'Transfery neinvestiční 2.6'!Q35+'Transfery neinvestiční 2.6'!U35+'Transfery nein.2.6a'!E36+'Transfery nein.2.6a'!Q36+'Transfery nein.2.6a'!Y36+'Transfery nein.2.6a'!U36+'Transfery investiční'!E35+'Transfery investiční'!I35+'Transfery investiční'!M35+'Transfery investiční'!Q35+'Transfery investiční'!U35+'Transfery investiční'!Y35+'Transfery investiční'!AC35+AC36</f>
        <v>22435</v>
      </c>
      <c r="AI36" s="489">
        <f t="shared" si="6"/>
        <v>22434.792999999998</v>
      </c>
      <c r="AJ36" s="490">
        <v>32487.146</v>
      </c>
      <c r="AK36" s="490">
        <v>54921.939</v>
      </c>
    </row>
    <row r="37" spans="1:37" ht="15.75">
      <c r="A37" s="72" t="s">
        <v>27</v>
      </c>
      <c r="B37" s="491"/>
      <c r="C37" s="74">
        <v>64662</v>
      </c>
      <c r="D37" s="75">
        <v>75829</v>
      </c>
      <c r="E37" s="75">
        <v>75734</v>
      </c>
      <c r="F37" s="480">
        <f t="shared" si="0"/>
        <v>99.87471811576046</v>
      </c>
      <c r="G37" s="74">
        <f t="shared" si="1"/>
        <v>64662</v>
      </c>
      <c r="H37" s="75">
        <f t="shared" si="2"/>
        <v>75675</v>
      </c>
      <c r="I37" s="75">
        <f t="shared" si="3"/>
        <v>75580</v>
      </c>
      <c r="J37" s="480">
        <f t="shared" si="4"/>
        <v>99.87446316484969</v>
      </c>
      <c r="K37" s="74"/>
      <c r="L37" s="75">
        <f>59+95</f>
        <v>154</v>
      </c>
      <c r="M37" s="75">
        <f>59+95</f>
        <v>154</v>
      </c>
      <c r="N37" s="480">
        <f>M37/L37*100</f>
        <v>100</v>
      </c>
      <c r="O37" s="74"/>
      <c r="P37" s="75">
        <v>66</v>
      </c>
      <c r="Q37" s="75">
        <v>66</v>
      </c>
      <c r="R37" s="480">
        <f t="shared" si="8"/>
        <v>100</v>
      </c>
      <c r="S37" s="74"/>
      <c r="T37" s="75"/>
      <c r="U37" s="75"/>
      <c r="V37" s="480"/>
      <c r="W37" s="488"/>
      <c r="X37" s="75"/>
      <c r="Y37" s="75"/>
      <c r="Z37" s="482"/>
      <c r="AA37" s="74"/>
      <c r="AB37" s="75"/>
      <c r="AC37" s="75"/>
      <c r="AD37" s="480"/>
      <c r="AE37" s="290">
        <f t="shared" si="9"/>
        <v>0.8550000000395812</v>
      </c>
      <c r="AF37" s="485">
        <f>'Transfery neinvestiční 2.6'!C36+'Transfery neinvestiční 2.6'!G36+'Transfery neinvestiční 2.6'!K36+'Transfery neinvestiční 2.6'!O36+'Transfery neinvestiční 2.6'!S36+'Transfery nein.2.6a'!C37+'Transfery nein.2.6a'!O37+'Transfery nein.2.6a'!W37+'Transfery nein.2.6a'!S37+'Transfery investiční'!C36+'Transfery investiční'!G36+'Transfery investiční'!K36+'Transfery investiční'!O36+'Transfery investiční'!S36+'Transfery investiční'!W36+'Transfery investiční'!AA36</f>
        <v>121493</v>
      </c>
      <c r="AG37" s="485">
        <f>'Transfery neinvestiční 2.6'!D36+'Transfery neinvestiční 2.6'!H36+'Transfery neinvestiční 2.6'!L36+'Transfery neinvestiční 2.6'!P36+'Transfery neinvestiční 2.6'!T36+'Transfery nein.2.6a'!D37+'Transfery nein.2.6a'!P37+'Transfery nein.2.6a'!X37+'Transfery nein.2.6a'!T37+'Transfery investiční'!D36+'Transfery investiční'!H36+'Transfery investiční'!L36+'Transfery investiční'!P36+'Transfery investiční'!T36+'Transfery investiční'!X36+'Transfery investiční'!AB36</f>
        <v>167585</v>
      </c>
      <c r="AH37" s="485">
        <f>'Transfery neinvestiční 2.6'!E36+'Transfery neinvestiční 2.6'!I36+'Transfery neinvestiční 2.6'!M36+'Transfery neinvestiční 2.6'!Q36+'Transfery neinvestiční 2.6'!U36+'Transfery nein.2.6a'!E37+'Transfery nein.2.6a'!Q37+'Transfery nein.2.6a'!Y37+'Transfery nein.2.6a'!U37+'Transfery investiční'!E36+'Transfery investiční'!I36+'Transfery investiční'!M36+'Transfery investiční'!Q36+'Transfery investiční'!U36+'Transfery investiční'!Y36+'Transfery investiční'!AC36+AC37</f>
        <v>167489</v>
      </c>
      <c r="AI37" s="489">
        <f t="shared" si="6"/>
        <v>167489.85500000004</v>
      </c>
      <c r="AJ37" s="490">
        <v>277253.084</v>
      </c>
      <c r="AK37" s="490">
        <v>444742.939</v>
      </c>
    </row>
    <row r="38" spans="1:37" ht="15.75">
      <c r="A38" s="72" t="s">
        <v>28</v>
      </c>
      <c r="B38" s="491"/>
      <c r="C38" s="74">
        <v>9770</v>
      </c>
      <c r="D38" s="75">
        <v>9814</v>
      </c>
      <c r="E38" s="75">
        <v>9814</v>
      </c>
      <c r="F38" s="480">
        <f t="shared" si="0"/>
        <v>100</v>
      </c>
      <c r="G38" s="74">
        <f t="shared" si="1"/>
        <v>9770</v>
      </c>
      <c r="H38" s="75">
        <f t="shared" si="2"/>
        <v>9814</v>
      </c>
      <c r="I38" s="75">
        <f t="shared" si="3"/>
        <v>9814</v>
      </c>
      <c r="J38" s="480">
        <f t="shared" si="4"/>
        <v>100</v>
      </c>
      <c r="K38" s="74"/>
      <c r="L38" s="75"/>
      <c r="M38" s="75"/>
      <c r="N38" s="480"/>
      <c r="O38" s="74"/>
      <c r="P38" s="75"/>
      <c r="Q38" s="75"/>
      <c r="R38" s="480"/>
      <c r="S38" s="74"/>
      <c r="T38" s="75"/>
      <c r="U38" s="75"/>
      <c r="V38" s="480"/>
      <c r="W38" s="488"/>
      <c r="X38" s="75"/>
      <c r="Y38" s="75"/>
      <c r="Z38" s="482"/>
      <c r="AA38" s="74"/>
      <c r="AB38" s="75"/>
      <c r="AC38" s="75"/>
      <c r="AD38" s="480"/>
      <c r="AE38" s="290">
        <f t="shared" si="9"/>
        <v>0</v>
      </c>
      <c r="AF38" s="485">
        <f>'Transfery neinvestiční 2.6'!C37+'Transfery neinvestiční 2.6'!G37+'Transfery neinvestiční 2.6'!K37+'Transfery neinvestiční 2.6'!O37+'Transfery neinvestiční 2.6'!S37+'Transfery nein.2.6a'!C38+'Transfery nein.2.6a'!O38+'Transfery nein.2.6a'!W38+'Transfery nein.2.6a'!S38+'Transfery investiční'!C37+'Transfery investiční'!G37+'Transfery investiční'!K37+'Transfery investiční'!O37+'Transfery investiční'!S37+'Transfery investiční'!W37+'Transfery investiční'!AA37</f>
        <v>11451</v>
      </c>
      <c r="AG38" s="485">
        <f>'Transfery neinvestiční 2.6'!D37+'Transfery neinvestiční 2.6'!H37+'Transfery neinvestiční 2.6'!L37+'Transfery neinvestiční 2.6'!P37+'Transfery neinvestiční 2.6'!T37+'Transfery nein.2.6a'!D38+'Transfery nein.2.6a'!P38+'Transfery nein.2.6a'!X38+'Transfery nein.2.6a'!T38+'Transfery investiční'!D37+'Transfery investiční'!H37+'Transfery investiční'!L37+'Transfery investiční'!P37+'Transfery investiční'!T37+'Transfery investiční'!X37+'Transfery investiční'!AB37</f>
        <v>30020</v>
      </c>
      <c r="AH38" s="485">
        <f>'Transfery neinvestiční 2.6'!E37+'Transfery neinvestiční 2.6'!I37+'Transfery neinvestiční 2.6'!M37+'Transfery neinvestiční 2.6'!Q37+'Transfery neinvestiční 2.6'!U37+'Transfery nein.2.6a'!E38+'Transfery nein.2.6a'!Q38+'Transfery nein.2.6a'!Y38+'Transfery nein.2.6a'!U38+'Transfery investiční'!E37+'Transfery investiční'!I37+'Transfery investiční'!M37+'Transfery investiční'!Q37+'Transfery investiční'!U37+'Transfery investiční'!Y37+'Transfery investiční'!AC37+AC38</f>
        <v>30020</v>
      </c>
      <c r="AI38" s="489">
        <f t="shared" si="6"/>
        <v>30020</v>
      </c>
      <c r="AJ38" s="490">
        <v>44457.053</v>
      </c>
      <c r="AK38" s="490">
        <v>74477.053</v>
      </c>
    </row>
    <row r="39" spans="1:37" ht="15.75">
      <c r="A39" s="72" t="s">
        <v>325</v>
      </c>
      <c r="B39" s="491"/>
      <c r="C39" s="74">
        <v>30735</v>
      </c>
      <c r="D39" s="75">
        <v>33003</v>
      </c>
      <c r="E39" s="75">
        <v>33003</v>
      </c>
      <c r="F39" s="480">
        <f t="shared" si="0"/>
        <v>100</v>
      </c>
      <c r="G39" s="74">
        <f t="shared" si="1"/>
        <v>30572</v>
      </c>
      <c r="H39" s="75">
        <f t="shared" si="2"/>
        <v>32833</v>
      </c>
      <c r="I39" s="75">
        <f t="shared" si="3"/>
        <v>32833</v>
      </c>
      <c r="J39" s="480">
        <f t="shared" si="4"/>
        <v>100</v>
      </c>
      <c r="K39" s="74">
        <f>105+58</f>
        <v>163</v>
      </c>
      <c r="L39" s="75">
        <f>105+58+7</f>
        <v>170</v>
      </c>
      <c r="M39" s="75">
        <f>105+58+7</f>
        <v>170</v>
      </c>
      <c r="N39" s="480">
        <f>M39/L39*100</f>
        <v>100</v>
      </c>
      <c r="O39" s="74"/>
      <c r="P39" s="75"/>
      <c r="Q39" s="75"/>
      <c r="R39" s="480"/>
      <c r="S39" s="74"/>
      <c r="T39" s="75"/>
      <c r="U39" s="75"/>
      <c r="V39" s="480"/>
      <c r="W39" s="488"/>
      <c r="X39" s="75"/>
      <c r="Y39" s="75"/>
      <c r="Z39" s="482"/>
      <c r="AA39" s="74"/>
      <c r="AB39" s="75">
        <v>8000</v>
      </c>
      <c r="AC39" s="75">
        <v>8000</v>
      </c>
      <c r="AD39" s="480">
        <f>AC39/AB39*100</f>
        <v>100</v>
      </c>
      <c r="AE39" s="290">
        <f t="shared" si="9"/>
        <v>-0.4470000000001164</v>
      </c>
      <c r="AF39" s="485">
        <f>'Transfery neinvestiční 2.6'!C38+'Transfery neinvestiční 2.6'!G38+'Transfery neinvestiční 2.6'!K38+'Transfery neinvestiční 2.6'!O38+'Transfery neinvestiční 2.6'!S38+'Transfery nein.2.6a'!C39+'Transfery nein.2.6a'!O39+'Transfery nein.2.6a'!W39+'Transfery nein.2.6a'!S39+'Transfery investiční'!C38+'Transfery investiční'!G38+'Transfery investiční'!K38+'Transfery investiční'!O38+'Transfery investiční'!S38+'Transfery investiční'!W38+'Transfery investiční'!AA38</f>
        <v>46331</v>
      </c>
      <c r="AG39" s="485">
        <f>'Transfery neinvestiční 2.6'!D38+'Transfery neinvestiční 2.6'!H38+'Transfery neinvestiční 2.6'!L38+'Transfery neinvestiční 2.6'!P38+'Transfery neinvestiční 2.6'!T38+'Transfery nein.2.6a'!D39+'Transfery nein.2.6a'!P39+'Transfery nein.2.6a'!X39+'Transfery nein.2.6a'!T39+'Transfery investiční'!D38+'Transfery investiční'!H38+'Transfery investiční'!L38+'Transfery investiční'!P38+'Transfery investiční'!T38+'Transfery investiční'!X38+'Transfery investiční'!AB38</f>
        <v>63659</v>
      </c>
      <c r="AH39" s="485">
        <f>'Transfery neinvestiční 2.6'!E38+'Transfery neinvestiční 2.6'!I38+'Transfery neinvestiční 2.6'!M38+'Transfery neinvestiční 2.6'!Q38+'Transfery neinvestiční 2.6'!U38+'Transfery nein.2.6a'!E39+'Transfery nein.2.6a'!Q39+'Transfery nein.2.6a'!Y39+'Transfery nein.2.6a'!U39+'Transfery investiční'!E38+'Transfery investiční'!I38+'Transfery investiční'!M38+'Transfery investiční'!Q38+'Transfery investiční'!U38+'Transfery investiční'!Y38+'Transfery investiční'!AC38+AC39</f>
        <v>75510</v>
      </c>
      <c r="AI39" s="489">
        <f t="shared" si="6"/>
        <v>75509.553</v>
      </c>
      <c r="AJ39" s="490">
        <v>102968.165</v>
      </c>
      <c r="AK39" s="490">
        <v>178477.718</v>
      </c>
    </row>
    <row r="40" spans="1:37" ht="15.75">
      <c r="A40" s="72" t="s">
        <v>29</v>
      </c>
      <c r="B40" s="491"/>
      <c r="C40" s="74">
        <v>2937</v>
      </c>
      <c r="D40" s="75">
        <v>2941</v>
      </c>
      <c r="E40" s="75">
        <v>2941</v>
      </c>
      <c r="F40" s="480">
        <f t="shared" si="0"/>
        <v>100</v>
      </c>
      <c r="G40" s="74">
        <f t="shared" si="1"/>
        <v>2937</v>
      </c>
      <c r="H40" s="75">
        <f t="shared" si="2"/>
        <v>2941</v>
      </c>
      <c r="I40" s="75">
        <f t="shared" si="3"/>
        <v>2941</v>
      </c>
      <c r="J40" s="480">
        <f t="shared" si="4"/>
        <v>100</v>
      </c>
      <c r="K40" s="74"/>
      <c r="L40" s="75"/>
      <c r="M40" s="75"/>
      <c r="N40" s="480"/>
      <c r="O40" s="74"/>
      <c r="P40" s="75"/>
      <c r="Q40" s="75"/>
      <c r="R40" s="480"/>
      <c r="S40" s="74"/>
      <c r="T40" s="75"/>
      <c r="U40" s="75"/>
      <c r="V40" s="480"/>
      <c r="W40" s="488"/>
      <c r="X40" s="75"/>
      <c r="Y40" s="75"/>
      <c r="Z40" s="482"/>
      <c r="AA40" s="74"/>
      <c r="AB40" s="75"/>
      <c r="AC40" s="75"/>
      <c r="AD40" s="480"/>
      <c r="AE40" s="290">
        <f t="shared" si="9"/>
        <v>0.06700000000091677</v>
      </c>
      <c r="AF40" s="485">
        <f>'Transfery neinvestiční 2.6'!C39+'Transfery neinvestiční 2.6'!G39+'Transfery neinvestiční 2.6'!K39+'Transfery neinvestiční 2.6'!O39+'Transfery neinvestiční 2.6'!S39+'Transfery nein.2.6a'!C40+'Transfery nein.2.6a'!O40+'Transfery nein.2.6a'!W40+'Transfery nein.2.6a'!S40+'Transfery investiční'!C39+'Transfery investiční'!G39+'Transfery investiční'!K39+'Transfery investiční'!O39+'Transfery investiční'!S39+'Transfery investiční'!W39+'Transfery investiční'!AA39</f>
        <v>3372</v>
      </c>
      <c r="AG40" s="485">
        <f>'Transfery neinvestiční 2.6'!D39+'Transfery neinvestiční 2.6'!H39+'Transfery neinvestiční 2.6'!L39+'Transfery neinvestiční 2.6'!P39+'Transfery neinvestiční 2.6'!T39+'Transfery nein.2.6a'!D40+'Transfery nein.2.6a'!P40+'Transfery nein.2.6a'!X40+'Transfery nein.2.6a'!T40+'Transfery investiční'!D39+'Transfery investiční'!H39+'Transfery investiční'!L39+'Transfery investiční'!P39+'Transfery investiční'!T39+'Transfery investiční'!X39+'Transfery investiční'!AB39</f>
        <v>4359</v>
      </c>
      <c r="AH40" s="485">
        <f>'Transfery neinvestiční 2.6'!E39+'Transfery neinvestiční 2.6'!I39+'Transfery neinvestiční 2.6'!M39+'Transfery neinvestiční 2.6'!Q39+'Transfery neinvestiční 2.6'!U39+'Transfery nein.2.6a'!E40+'Transfery nein.2.6a'!Q40+'Transfery nein.2.6a'!Y40+'Transfery nein.2.6a'!U40+'Transfery investiční'!E39+'Transfery investiční'!I39+'Transfery investiční'!M39+'Transfery investiční'!Q39+'Transfery investiční'!U39+'Transfery investiční'!Y39+'Transfery investiční'!AC39+AC40</f>
        <v>4359</v>
      </c>
      <c r="AI40" s="489">
        <f t="shared" si="6"/>
        <v>4359.067000000001</v>
      </c>
      <c r="AJ40" s="490">
        <v>6831.659</v>
      </c>
      <c r="AK40" s="490">
        <v>11190.726</v>
      </c>
    </row>
    <row r="41" spans="1:37" ht="15.75">
      <c r="A41" s="72" t="s">
        <v>30</v>
      </c>
      <c r="B41" s="499"/>
      <c r="C41" s="74">
        <v>4101</v>
      </c>
      <c r="D41" s="75">
        <v>4150</v>
      </c>
      <c r="E41" s="75">
        <v>4150</v>
      </c>
      <c r="F41" s="480">
        <f t="shared" si="0"/>
        <v>100</v>
      </c>
      <c r="G41" s="74">
        <f t="shared" si="1"/>
        <v>4101</v>
      </c>
      <c r="H41" s="75">
        <f t="shared" si="2"/>
        <v>4150</v>
      </c>
      <c r="I41" s="75">
        <f t="shared" si="3"/>
        <v>4150</v>
      </c>
      <c r="J41" s="480">
        <f t="shared" si="4"/>
        <v>100</v>
      </c>
      <c r="K41" s="74"/>
      <c r="L41" s="75"/>
      <c r="M41" s="75"/>
      <c r="N41" s="480"/>
      <c r="O41" s="74"/>
      <c r="P41" s="75"/>
      <c r="Q41" s="75"/>
      <c r="R41" s="480"/>
      <c r="S41" s="74"/>
      <c r="T41" s="75"/>
      <c r="U41" s="75"/>
      <c r="V41" s="480"/>
      <c r="W41" s="488"/>
      <c r="X41" s="75"/>
      <c r="Y41" s="75"/>
      <c r="Z41" s="482"/>
      <c r="AA41" s="74"/>
      <c r="AB41" s="75"/>
      <c r="AC41" s="75"/>
      <c r="AD41" s="480"/>
      <c r="AE41" s="290">
        <f t="shared" si="9"/>
        <v>0</v>
      </c>
      <c r="AF41" s="485">
        <f>'Transfery neinvestiční 2.6'!C40+'Transfery neinvestiční 2.6'!G40+'Transfery neinvestiční 2.6'!K40+'Transfery neinvestiční 2.6'!O40+'Transfery neinvestiční 2.6'!S40+'Transfery nein.2.6a'!C41+'Transfery nein.2.6a'!O41+'Transfery nein.2.6a'!W41+'Transfery nein.2.6a'!S41+'Transfery investiční'!C40+'Transfery investiční'!G40+'Transfery investiční'!K40+'Transfery investiční'!O40+'Transfery investiční'!S40+'Transfery investiční'!W40+'Transfery investiční'!AA40</f>
        <v>4637</v>
      </c>
      <c r="AG41" s="485">
        <f>'Transfery neinvestiční 2.6'!D40+'Transfery neinvestiční 2.6'!H40+'Transfery neinvestiční 2.6'!L40+'Transfery neinvestiční 2.6'!P40+'Transfery neinvestiční 2.6'!T40+'Transfery nein.2.6a'!D41+'Transfery nein.2.6a'!P41+'Transfery nein.2.6a'!X41+'Transfery nein.2.6a'!T41+'Transfery investiční'!D40+'Transfery investiční'!H40+'Transfery investiční'!L40+'Transfery investiční'!P40+'Transfery investiční'!T40+'Transfery investiční'!X40+'Transfery investiční'!AB40</f>
        <v>6743</v>
      </c>
      <c r="AH41" s="485">
        <f>'Transfery neinvestiční 2.6'!E40+'Transfery neinvestiční 2.6'!I40+'Transfery neinvestiční 2.6'!M40+'Transfery neinvestiční 2.6'!Q40+'Transfery neinvestiční 2.6'!U40+'Transfery nein.2.6a'!E41+'Transfery nein.2.6a'!Q41+'Transfery nein.2.6a'!Y41+'Transfery nein.2.6a'!U41+'Transfery investiční'!E40+'Transfery investiční'!I40+'Transfery investiční'!M40+'Transfery investiční'!Q40+'Transfery investiční'!U40+'Transfery investiční'!Y40+'Transfery investiční'!AC40+AC41</f>
        <v>6743</v>
      </c>
      <c r="AI41" s="489">
        <f t="shared" si="6"/>
        <v>6742.999999999999</v>
      </c>
      <c r="AJ41" s="490">
        <v>6988.496</v>
      </c>
      <c r="AK41" s="490">
        <v>13731.496</v>
      </c>
    </row>
    <row r="42" spans="1:37" ht="15" customHeight="1">
      <c r="A42" s="72" t="s">
        <v>31</v>
      </c>
      <c r="B42" s="499"/>
      <c r="C42" s="74">
        <v>2297</v>
      </c>
      <c r="D42" s="75">
        <v>2297</v>
      </c>
      <c r="E42" s="75">
        <v>2297</v>
      </c>
      <c r="F42" s="480">
        <f t="shared" si="0"/>
        <v>100</v>
      </c>
      <c r="G42" s="74">
        <f t="shared" si="1"/>
        <v>2297</v>
      </c>
      <c r="H42" s="75">
        <f t="shared" si="2"/>
        <v>2297</v>
      </c>
      <c r="I42" s="75">
        <f t="shared" si="3"/>
        <v>2297</v>
      </c>
      <c r="J42" s="480">
        <f t="shared" si="4"/>
        <v>100</v>
      </c>
      <c r="K42" s="74"/>
      <c r="L42" s="75"/>
      <c r="M42" s="75"/>
      <c r="N42" s="480"/>
      <c r="O42" s="74"/>
      <c r="P42" s="75">
        <v>3</v>
      </c>
      <c r="Q42" s="75">
        <v>3</v>
      </c>
      <c r="R42" s="480">
        <f>Q42/P42*100</f>
        <v>100</v>
      </c>
      <c r="S42" s="74"/>
      <c r="T42" s="75"/>
      <c r="U42" s="75"/>
      <c r="V42" s="480"/>
      <c r="W42" s="488"/>
      <c r="X42" s="75"/>
      <c r="Y42" s="75"/>
      <c r="Z42" s="482"/>
      <c r="AA42" s="74"/>
      <c r="AB42" s="75"/>
      <c r="AC42" s="75"/>
      <c r="AD42" s="480"/>
      <c r="AE42" s="290">
        <f t="shared" si="9"/>
        <v>0.42000000000098225</v>
      </c>
      <c r="AF42" s="485">
        <f>'Transfery neinvestiční 2.6'!C41+'Transfery neinvestiční 2.6'!G41+'Transfery neinvestiční 2.6'!K41+'Transfery neinvestiční 2.6'!O41+'Transfery neinvestiční 2.6'!S41+'Transfery nein.2.6a'!C42+'Transfery nein.2.6a'!O42+'Transfery nein.2.6a'!W42+'Transfery nein.2.6a'!S42+'Transfery investiční'!C41+'Transfery investiční'!G41+'Transfery investiční'!K41+'Transfery investiční'!O41+'Transfery investiční'!S41+'Transfery investiční'!W41+'Transfery investiční'!AA41</f>
        <v>2471</v>
      </c>
      <c r="AG42" s="485">
        <f>'Transfery neinvestiční 2.6'!D41+'Transfery neinvestiční 2.6'!H41+'Transfery neinvestiční 2.6'!L41+'Transfery neinvestiční 2.6'!P41+'Transfery neinvestiční 2.6'!T41+'Transfery nein.2.6a'!D42+'Transfery nein.2.6a'!P42+'Transfery nein.2.6a'!X42+'Transfery nein.2.6a'!T42+'Transfery investiční'!D41+'Transfery investiční'!H41+'Transfery investiční'!L41+'Transfery investiční'!P41+'Transfery investiční'!T41+'Transfery investiční'!X41+'Transfery investiční'!AB41</f>
        <v>2769</v>
      </c>
      <c r="AH42" s="485">
        <f>'Transfery neinvestiční 2.6'!E41+'Transfery neinvestiční 2.6'!I41+'Transfery neinvestiční 2.6'!M41+'Transfery neinvestiční 2.6'!Q41+'Transfery neinvestiční 2.6'!U41+'Transfery nein.2.6a'!E42+'Transfery nein.2.6a'!Q42+'Transfery nein.2.6a'!Y42+'Transfery nein.2.6a'!U42+'Transfery investiční'!E41+'Transfery investiční'!I41+'Transfery investiční'!M41+'Transfery investiční'!Q41+'Transfery investiční'!U41+'Transfery investiční'!Y41+'Transfery investiční'!AC41+AC42</f>
        <v>2769</v>
      </c>
      <c r="AI42" s="489">
        <f t="shared" si="6"/>
        <v>2769.420000000001</v>
      </c>
      <c r="AJ42" s="490">
        <v>6112.646</v>
      </c>
      <c r="AK42" s="490">
        <v>8882.066</v>
      </c>
    </row>
    <row r="43" spans="1:37" ht="15" customHeight="1">
      <c r="A43" s="448" t="s">
        <v>32</v>
      </c>
      <c r="B43" s="504"/>
      <c r="C43" s="74">
        <v>1897</v>
      </c>
      <c r="D43" s="75">
        <v>1897</v>
      </c>
      <c r="E43" s="75">
        <v>1897</v>
      </c>
      <c r="F43" s="480">
        <f t="shared" si="0"/>
        <v>100</v>
      </c>
      <c r="G43" s="74">
        <f t="shared" si="1"/>
        <v>1897</v>
      </c>
      <c r="H43" s="75">
        <f t="shared" si="2"/>
        <v>1897</v>
      </c>
      <c r="I43" s="75">
        <f t="shared" si="3"/>
        <v>1897</v>
      </c>
      <c r="J43" s="480">
        <f t="shared" si="4"/>
        <v>100</v>
      </c>
      <c r="K43" s="74"/>
      <c r="L43" s="75"/>
      <c r="M43" s="75"/>
      <c r="N43" s="480"/>
      <c r="O43" s="74"/>
      <c r="P43" s="75">
        <v>111</v>
      </c>
      <c r="Q43" s="75">
        <v>111</v>
      </c>
      <c r="R43" s="480">
        <f>Q43/P43*100</f>
        <v>100</v>
      </c>
      <c r="S43" s="74"/>
      <c r="T43" s="75"/>
      <c r="U43" s="75"/>
      <c r="V43" s="480"/>
      <c r="W43" s="483"/>
      <c r="X43" s="75"/>
      <c r="Y43" s="75"/>
      <c r="Z43" s="505"/>
      <c r="AA43" s="74"/>
      <c r="AB43" s="75"/>
      <c r="AC43" s="75"/>
      <c r="AD43" s="480"/>
      <c r="AE43" s="290">
        <f t="shared" si="9"/>
        <v>0.36999999999989086</v>
      </c>
      <c r="AF43" s="485">
        <f>'Transfery neinvestiční 2.6'!C42+'Transfery neinvestiční 2.6'!G42+'Transfery neinvestiční 2.6'!K42+'Transfery neinvestiční 2.6'!O42+'Transfery neinvestiční 2.6'!S42+'Transfery nein.2.6a'!C43+'Transfery nein.2.6a'!O43+'Transfery nein.2.6a'!W43+'Transfery nein.2.6a'!S43+'Transfery investiční'!C42+'Transfery investiční'!G42+'Transfery investiční'!K42+'Transfery investiční'!O42+'Transfery investiční'!S42+'Transfery investiční'!W42+'Transfery investiční'!AA42</f>
        <v>2096</v>
      </c>
      <c r="AG43" s="485">
        <f>'Transfery neinvestiční 2.6'!D42+'Transfery neinvestiční 2.6'!H42+'Transfery neinvestiční 2.6'!L42+'Transfery neinvestiční 2.6'!P42+'Transfery neinvestiční 2.6'!T42+'Transfery nein.2.6a'!D43+'Transfery nein.2.6a'!P43+'Transfery nein.2.6a'!X43+'Transfery nein.2.6a'!T43+'Transfery investiční'!D42+'Transfery investiční'!H42+'Transfery investiční'!L42+'Transfery investiční'!P42+'Transfery investiční'!T42+'Transfery investiční'!X42+'Transfery investiční'!AB42</f>
        <v>2552</v>
      </c>
      <c r="AH43" s="485">
        <f>'Transfery neinvestiční 2.6'!E42+'Transfery neinvestiční 2.6'!I42+'Transfery neinvestiční 2.6'!M42+'Transfery neinvestiční 2.6'!Q42+'Transfery neinvestiční 2.6'!U42+'Transfery nein.2.6a'!E43+'Transfery nein.2.6a'!Q43+'Transfery nein.2.6a'!Y43+'Transfery nein.2.6a'!U43+'Transfery investiční'!E42+'Transfery investiční'!I42+'Transfery investiční'!M42+'Transfery investiční'!Q42+'Transfery investiční'!U42+'Transfery investiční'!Y42+'Transfery investiční'!AC42+AC43</f>
        <v>2552</v>
      </c>
      <c r="AI43" s="489">
        <f t="shared" si="6"/>
        <v>2552.37</v>
      </c>
      <c r="AJ43" s="490">
        <v>4113.996</v>
      </c>
      <c r="AK43" s="490">
        <v>6666.366</v>
      </c>
    </row>
    <row r="44" spans="1:37" ht="15" customHeight="1" thickBot="1">
      <c r="A44" s="13"/>
      <c r="B44" s="224"/>
      <c r="C44" s="508"/>
      <c r="D44" s="82"/>
      <c r="E44" s="509"/>
      <c r="F44" s="510"/>
      <c r="G44" s="451"/>
      <c r="H44" s="82"/>
      <c r="I44" s="82"/>
      <c r="J44" s="414"/>
      <c r="K44" s="508"/>
      <c r="L44" s="82"/>
      <c r="M44" s="509"/>
      <c r="N44" s="83"/>
      <c r="O44" s="508"/>
      <c r="P44" s="82"/>
      <c r="Q44" s="509"/>
      <c r="R44" s="83"/>
      <c r="S44" s="508"/>
      <c r="T44" s="82"/>
      <c r="U44" s="509"/>
      <c r="V44" s="83"/>
      <c r="W44" s="511"/>
      <c r="X44" s="512"/>
      <c r="Y44" s="82"/>
      <c r="Z44" s="513"/>
      <c r="AA44" s="508"/>
      <c r="AB44" s="82"/>
      <c r="AC44" s="509"/>
      <c r="AD44" s="83"/>
      <c r="AF44" s="485">
        <f>'Transfery neinvestiční 2.6'!C43+'Transfery neinvestiční 2.6'!G43+'Transfery neinvestiční 2.6'!K43+'Transfery neinvestiční 2.6'!O43+'Transfery neinvestiční 2.6'!S43+'Transfery nein.2.6a'!C44+'Transfery nein.2.6a'!O44+'Transfery nein.2.6a'!W44+'Transfery nein.2.6a'!S44+'Transfery investiční'!C43+'Transfery investiční'!G43+'Transfery investiční'!K43+'Transfery investiční'!O43+'Transfery investiční'!S43+'Transfery investiční'!W43</f>
        <v>0</v>
      </c>
      <c r="AG44" s="485">
        <f>'Transfery neinvestiční 2.6'!D43+'Transfery neinvestiční 2.6'!H43+'Transfery neinvestiční 2.6'!L43+'Transfery neinvestiční 2.6'!P43+'Transfery neinvestiční 2.6'!T43+'Transfery nein.2.6a'!D44+'Transfery nein.2.6a'!P44+'Transfery nein.2.6a'!X44+'Transfery nein.2.6a'!T44+'Transfery investiční'!D43+'Transfery investiční'!H43+'Transfery investiční'!L43+'Transfery investiční'!P43+'Transfery investiční'!T43+'Transfery investiční'!X43</f>
        <v>0</v>
      </c>
      <c r="AH44" s="485">
        <f>'Transfery neinvestiční 2.6'!E43+'Transfery neinvestiční 2.6'!I43+'Transfery neinvestiční 2.6'!M43+'Transfery neinvestiční 2.6'!Q43+'Transfery neinvestiční 2.6'!U43+'Transfery nein.2.6a'!E44+'Transfery nein.2.6a'!Q44+'Transfery nein.2.6a'!Y44+'Transfery nein.2.6a'!U44+'Transfery investiční'!E43+'Transfery investiční'!I43+'Transfery investiční'!M43+'Transfery investiční'!Q43+'Transfery investiční'!U43+'Transfery investiční'!Y43+'Transfery investiční'!AC43+AC44</f>
        <v>0</v>
      </c>
      <c r="AI44" s="263"/>
      <c r="AJ44" s="490"/>
      <c r="AK44" s="490"/>
    </row>
    <row r="45" spans="1:37" ht="16.5">
      <c r="A45" s="4"/>
      <c r="B45" s="4"/>
      <c r="C45" s="4"/>
      <c r="D45" s="4"/>
      <c r="E45" s="4"/>
      <c r="F45" s="4"/>
      <c r="G45" s="12"/>
      <c r="H45" s="12"/>
      <c r="I45" s="12"/>
      <c r="J45" s="29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14"/>
      <c r="X45" s="514"/>
      <c r="Y45" s="514"/>
      <c r="Z45" s="514"/>
      <c r="AA45" s="4"/>
      <c r="AB45" s="4"/>
      <c r="AC45" s="4"/>
      <c r="AD45" s="4"/>
      <c r="AF45" s="485">
        <f>'Transfery neinvestiční 2.6'!C44+'Transfery neinvestiční 2.6'!G44+'Transfery neinvestiční 2.6'!K44+'Transfery neinvestiční 2.6'!O44+'Transfery neinvestiční 2.6'!S44+'Transfery nein.2.6a'!C45+'Transfery nein.2.6a'!O45+'Transfery nein.2.6a'!W45+'Transfery nein.2.6a'!S45+'Transfery investiční'!C44+'Transfery investiční'!G44+'Transfery investiční'!K44+'Transfery investiční'!O44+'Transfery investiční'!S44+'Transfery investiční'!W44</f>
        <v>0</v>
      </c>
      <c r="AG45" s="485">
        <f>'Transfery neinvestiční 2.6'!D44+'Transfery neinvestiční 2.6'!H44+'Transfery neinvestiční 2.6'!L44+'Transfery neinvestiční 2.6'!P44+'Transfery neinvestiční 2.6'!T44+'Transfery nein.2.6a'!D45+'Transfery nein.2.6a'!P45+'Transfery nein.2.6a'!X45+'Transfery nein.2.6a'!T45+'Transfery investiční'!D44+'Transfery investiční'!H44+'Transfery investiční'!L44+'Transfery investiční'!P44+'Transfery investiční'!T44+'Transfery investiční'!X44</f>
        <v>0</v>
      </c>
      <c r="AH45" s="485">
        <f>'Transfery neinvestiční 2.6'!E44+'Transfery neinvestiční 2.6'!I44+'Transfery neinvestiční 2.6'!M44+'Transfery neinvestiční 2.6'!Q44+'Transfery neinvestiční 2.6'!U44+'Transfery nein.2.6a'!E45+'Transfery nein.2.6a'!Q45+'Transfery nein.2.6a'!Y45+'Transfery nein.2.6a'!U45+'Transfery investiční'!E44+'Transfery investiční'!I44+'Transfery investiční'!M44+'Transfery investiční'!Q44+'Transfery investiční'!U44+'Transfery investiční'!Y44</f>
        <v>0</v>
      </c>
      <c r="AI45" s="263"/>
      <c r="AJ45" s="490"/>
      <c r="AK45" s="490"/>
    </row>
    <row r="46" spans="1:37" ht="17.25" thickBot="1">
      <c r="A46" s="4"/>
      <c r="B46" s="4"/>
      <c r="C46" s="4"/>
      <c r="D46" s="84"/>
      <c r="E46" s="84"/>
      <c r="F46" s="4"/>
      <c r="G46" s="12"/>
      <c r="H46" s="12"/>
      <c r="I46" s="12"/>
      <c r="J46" s="293"/>
      <c r="K46" s="4"/>
      <c r="L46" s="84"/>
      <c r="M46" s="84"/>
      <c r="N46" s="4"/>
      <c r="O46" s="4"/>
      <c r="P46" s="84"/>
      <c r="Q46" s="84"/>
      <c r="R46" s="515"/>
      <c r="S46" s="4"/>
      <c r="T46" s="84"/>
      <c r="U46" s="84"/>
      <c r="V46" s="515"/>
      <c r="W46" s="514"/>
      <c r="X46" s="514"/>
      <c r="Y46" s="514"/>
      <c r="Z46" s="514"/>
      <c r="AA46" s="4"/>
      <c r="AB46" s="84"/>
      <c r="AC46" s="84"/>
      <c r="AD46" s="515"/>
      <c r="AF46" s="485">
        <f>'Transfery neinvestiční 2.6'!C45+'Transfery neinvestiční 2.6'!G45+'Transfery neinvestiční 2.6'!K45+'Transfery neinvestiční 2.6'!O45+'Transfery neinvestiční 2.6'!S45+'Transfery nein.2.6a'!C46+'Transfery nein.2.6a'!O46+'Transfery nein.2.6a'!W46+'Transfery nein.2.6a'!S46+'Transfery investiční'!C45+'Transfery investiční'!G45+'Transfery investiční'!K45+'Transfery investiční'!O45+'Transfery investiční'!S45+'Transfery investiční'!W45</f>
        <v>0</v>
      </c>
      <c r="AG46" s="485">
        <f>'Transfery neinvestiční 2.6'!D45+'Transfery neinvestiční 2.6'!H45+'Transfery neinvestiční 2.6'!L45+'Transfery neinvestiční 2.6'!P45+'Transfery neinvestiční 2.6'!T45+'Transfery nein.2.6a'!D46+'Transfery nein.2.6a'!P46+'Transfery nein.2.6a'!X46+'Transfery nein.2.6a'!T46+'Transfery investiční'!D45+'Transfery investiční'!H45+'Transfery investiční'!L45+'Transfery investiční'!P45+'Transfery investiční'!T45+'Transfery investiční'!X45</f>
        <v>0</v>
      </c>
      <c r="AH46" s="485">
        <f>'Transfery neinvestiční 2.6'!E45+'Transfery neinvestiční 2.6'!I45+'Transfery neinvestiční 2.6'!M45+'Transfery neinvestiční 2.6'!Q45+'Transfery neinvestiční 2.6'!U45+'Transfery nein.2.6a'!E46+'Transfery nein.2.6a'!Q46+'Transfery nein.2.6a'!Y46+'Transfery nein.2.6a'!U46+'Transfery investiční'!E45+'Transfery investiční'!I45+'Transfery investiční'!M45+'Transfery investiční'!Q45+'Transfery investiční'!U45+'Transfery investiční'!Y45</f>
        <v>0</v>
      </c>
      <c r="AI46" s="263"/>
      <c r="AJ46" s="490"/>
      <c r="AK46" s="490"/>
    </row>
    <row r="47" spans="1:37" ht="16.5" thickBot="1">
      <c r="A47" s="49" t="s">
        <v>33</v>
      </c>
      <c r="B47" s="4"/>
      <c r="C47" s="87">
        <f>SUM(C15:C43)</f>
        <v>861632</v>
      </c>
      <c r="D47" s="88">
        <f>SUM(D15:D43)</f>
        <v>909875</v>
      </c>
      <c r="E47" s="88">
        <f>SUM(E15:E43)</f>
        <v>909678</v>
      </c>
      <c r="F47" s="89">
        <f>E47/D47*100</f>
        <v>99.97834867426845</v>
      </c>
      <c r="G47" s="87">
        <f>SUM(G15:G43)</f>
        <v>861039</v>
      </c>
      <c r="H47" s="88">
        <f>SUM(H15:H43)</f>
        <v>907767</v>
      </c>
      <c r="I47" s="88">
        <f>SUM(I15:I43)</f>
        <v>907581</v>
      </c>
      <c r="J47" s="89">
        <f>I47/H47*100</f>
        <v>99.97951016064694</v>
      </c>
      <c r="K47" s="87">
        <f>SUM(K14:K44)</f>
        <v>593</v>
      </c>
      <c r="L47" s="88">
        <f>SUM(L14:L44)</f>
        <v>2108</v>
      </c>
      <c r="M47" s="88">
        <f>SUM(M14:M44)</f>
        <v>2097</v>
      </c>
      <c r="N47" s="89">
        <f>M47/L47*100</f>
        <v>99.47817836812143</v>
      </c>
      <c r="O47" s="87"/>
      <c r="P47" s="88">
        <f>SUM(P14:P44)</f>
        <v>2103</v>
      </c>
      <c r="Q47" s="88">
        <f>SUM(Q14:Q44)</f>
        <v>2103</v>
      </c>
      <c r="R47" s="516">
        <f>Q47/P47*100</f>
        <v>100</v>
      </c>
      <c r="S47" s="87"/>
      <c r="T47" s="88">
        <f>SUM(T14:T44)</f>
        <v>0</v>
      </c>
      <c r="U47" s="88">
        <f>SUM(U14:U44)</f>
        <v>0</v>
      </c>
      <c r="V47" s="516"/>
      <c r="W47" s="517"/>
      <c r="X47" s="518">
        <f>SUM(X15:X44)</f>
        <v>0</v>
      </c>
      <c r="Y47" s="88">
        <f>SUM(Y15:Y43)</f>
        <v>0</v>
      </c>
      <c r="Z47" s="89"/>
      <c r="AA47" s="87"/>
      <c r="AB47" s="88">
        <f>SUM(AB14:AB44)</f>
        <v>14930</v>
      </c>
      <c r="AC47" s="88">
        <f>SUM(AC14:AC44)</f>
        <v>14930</v>
      </c>
      <c r="AD47" s="516">
        <f>AC47/AB47*100</f>
        <v>100</v>
      </c>
      <c r="AF47" s="723">
        <f>'Transfery neinvestiční 2.6'!C46+'Transfery neinvestiční 2.6'!G46+'Transfery neinvestiční 2.6'!K46+'Transfery neinvestiční 2.6'!O46+'Transfery neinvestiční 2.6'!S46+'Transfery nein.2.6a'!C47+'Transfery nein.2.6a'!O47+'Transfery nein.2.6a'!W47+'Transfery nein.2.6a'!S47+'Transfery investiční'!C46+'Transfery investiční'!G46+'Transfery investiční'!K46+'Transfery investiční'!O46+'Transfery investiční'!S46+'Transfery investiční'!W46</f>
        <v>1393955</v>
      </c>
      <c r="AG47" s="723">
        <f>'Transfery neinvestiční 2.6'!D46+'Transfery neinvestiční 2.6'!H46+'Transfery neinvestiční 2.6'!L46+'Transfery neinvestiční 2.6'!P46+'Transfery neinvestiční 2.6'!T46+'Transfery nein.2.6a'!D47+'Transfery nein.2.6a'!P47+'Transfery nein.2.6a'!X47+'Transfery nein.2.6a'!T47+'Transfery investiční'!D46+'Transfery investiční'!H46+'Transfery investiční'!L46+'Transfery investiční'!P46+'Transfery investiční'!T46+'Transfery investiční'!X46</f>
        <v>1961728</v>
      </c>
      <c r="AH47" s="723">
        <f>'Transfery neinvestiční 2.6'!E46+'Transfery neinvestiční 2.6'!I46+'Transfery neinvestiční 2.6'!M46+'Transfery neinvestiční 2.6'!Q46+'Transfery neinvestiční 2.6'!U46+'Transfery nein.2.6a'!E47+'Transfery nein.2.6a'!Q47+'Transfery nein.2.6a'!Y47+'Transfery nein.2.6a'!U47+'Transfery investiční'!E46+'Transfery investiční'!I46+'Transfery investiční'!M46+'Transfery investiční'!Q46+'Transfery investiční'!U46+'Transfery investiční'!Y46</f>
        <v>1951000</v>
      </c>
      <c r="AI47" s="263"/>
      <c r="AJ47" s="490"/>
      <c r="AK47" s="6"/>
    </row>
    <row r="48" spans="6:37" ht="16.5" thickBot="1">
      <c r="F48" s="425"/>
      <c r="AF48" s="724">
        <f>SUM(AF15:AF43)</f>
        <v>1393955</v>
      </c>
      <c r="AG48" s="725">
        <f>SUM(AG15:AG43)</f>
        <v>1968658</v>
      </c>
      <c r="AH48" s="726">
        <f>SUM(AH15:AH43)</f>
        <v>1965930</v>
      </c>
      <c r="AI48" s="726">
        <f>SUM(AI15:AI43)</f>
        <v>1965930.3530000001</v>
      </c>
      <c r="AJ48" s="726"/>
      <c r="AK48" s="726"/>
    </row>
    <row r="49" spans="6:36" s="700" customFormat="1" ht="12.75">
      <c r="F49" s="727"/>
      <c r="M49" s="728"/>
      <c r="AJ49" s="729"/>
    </row>
    <row r="50" spans="3:36" ht="15.75">
      <c r="C50" s="100">
        <f>K47+G47</f>
        <v>861632</v>
      </c>
      <c r="D50" s="100">
        <f>L47+H47</f>
        <v>909875</v>
      </c>
      <c r="E50" s="100">
        <f>M47+I47</f>
        <v>909678</v>
      </c>
      <c r="F50" s="425"/>
      <c r="I50" s="106"/>
      <c r="L50" s="100"/>
      <c r="M50" s="100"/>
      <c r="AE50" s="730"/>
      <c r="AF50" s="6"/>
      <c r="AG50" s="6"/>
      <c r="AH50" s="6"/>
      <c r="AI50" s="6"/>
      <c r="AJ50" s="490"/>
    </row>
    <row r="51" spans="2:35" s="731" customFormat="1" ht="12.75">
      <c r="B51" s="731" t="s">
        <v>281</v>
      </c>
      <c r="C51" s="106">
        <f>G51+K51</f>
        <v>861632</v>
      </c>
      <c r="D51" s="106">
        <f>H51+L51</f>
        <v>909875</v>
      </c>
      <c r="E51" s="106">
        <f>I51+M51</f>
        <v>909678</v>
      </c>
      <c r="F51" s="732"/>
      <c r="G51" s="106">
        <v>861039</v>
      </c>
      <c r="H51" s="106">
        <v>907752</v>
      </c>
      <c r="I51" s="106">
        <v>907566</v>
      </c>
      <c r="J51" s="106"/>
      <c r="K51" s="106">
        <f>363+230</f>
        <v>593</v>
      </c>
      <c r="L51" s="106">
        <f>539+1584</f>
        <v>2123</v>
      </c>
      <c r="M51" s="106">
        <f>539+1573</f>
        <v>2112</v>
      </c>
      <c r="N51" s="106"/>
      <c r="O51" s="106"/>
      <c r="P51" s="106">
        <v>2103</v>
      </c>
      <c r="Q51" s="106">
        <v>2103</v>
      </c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>
        <v>14930</v>
      </c>
      <c r="AC51" s="106">
        <v>14930</v>
      </c>
      <c r="AD51" s="106"/>
      <c r="AE51" s="106"/>
      <c r="AF51" s="106">
        <v>1393955</v>
      </c>
      <c r="AG51" s="106">
        <v>1976658</v>
      </c>
      <c r="AH51" s="106">
        <v>1965930</v>
      </c>
      <c r="AI51" s="106"/>
    </row>
    <row r="52" spans="5:35" ht="15.75">
      <c r="E52" s="2">
        <f>907566+539+1573</f>
        <v>909678</v>
      </c>
      <c r="F52" s="425"/>
      <c r="M52" s="2">
        <f>1564506+8655</f>
        <v>1573161</v>
      </c>
      <c r="AF52" s="6"/>
      <c r="AG52" s="6"/>
      <c r="AH52" s="6"/>
      <c r="AI52" s="6"/>
    </row>
    <row r="53" spans="6:13" ht="15.75">
      <c r="F53" s="425"/>
      <c r="M53" s="2">
        <v>539000</v>
      </c>
    </row>
    <row r="54" ht="15.75">
      <c r="F54" s="425"/>
    </row>
    <row r="55" spans="6:13" ht="15.75">
      <c r="F55" s="425"/>
      <c r="M55" s="100"/>
    </row>
    <row r="56" ht="15.75">
      <c r="F56" s="425"/>
    </row>
    <row r="57" ht="15.75">
      <c r="F57" s="425"/>
    </row>
    <row r="58" spans="6:13" ht="15.75">
      <c r="F58" s="425"/>
      <c r="M58" s="106"/>
    </row>
    <row r="59" ht="15.75">
      <c r="F59" s="425"/>
    </row>
    <row r="60" ht="15.75">
      <c r="F60" s="425"/>
    </row>
    <row r="61" ht="15.75">
      <c r="F61" s="425"/>
    </row>
    <row r="62" ht="15.75">
      <c r="F62" s="425"/>
    </row>
    <row r="63" ht="15.75">
      <c r="F63" s="425"/>
    </row>
    <row r="64" ht="15.75">
      <c r="F64" s="425"/>
    </row>
    <row r="65" ht="15.75">
      <c r="F65" s="425"/>
    </row>
    <row r="66" ht="15.75">
      <c r="F66" s="425"/>
    </row>
    <row r="67" ht="15.75">
      <c r="F67" s="425"/>
    </row>
    <row r="68" ht="15.75">
      <c r="F68" s="425"/>
    </row>
    <row r="69" ht="15.75">
      <c r="F69" s="425"/>
    </row>
    <row r="70" ht="15.75">
      <c r="F70" s="425"/>
    </row>
    <row r="71" ht="15.75">
      <c r="F71" s="425"/>
    </row>
    <row r="72" ht="15.75">
      <c r="F72" s="425"/>
    </row>
    <row r="73" ht="15.75">
      <c r="F73" s="425"/>
    </row>
    <row r="74" ht="15.75">
      <c r="F74" s="425"/>
    </row>
    <row r="75" ht="15">
      <c r="F75" s="169"/>
    </row>
    <row r="76" ht="15">
      <c r="F76" s="169"/>
    </row>
    <row r="77" ht="15">
      <c r="F77" s="169"/>
    </row>
    <row r="78" ht="15">
      <c r="F78" s="169"/>
    </row>
    <row r="79" ht="15">
      <c r="F79" s="169"/>
    </row>
    <row r="80" ht="15">
      <c r="F80" s="169"/>
    </row>
    <row r="81" ht="15">
      <c r="F81" s="169"/>
    </row>
    <row r="82" ht="15">
      <c r="F82" s="169"/>
    </row>
    <row r="83" ht="15">
      <c r="F83" s="169"/>
    </row>
    <row r="84" ht="15">
      <c r="F84" s="169"/>
    </row>
    <row r="85" ht="15">
      <c r="F85" s="169"/>
    </row>
    <row r="86" ht="15">
      <c r="F86" s="169"/>
    </row>
    <row r="87" ht="15">
      <c r="F87" s="169"/>
    </row>
    <row r="88" ht="15">
      <c r="F88" s="169"/>
    </row>
    <row r="89" ht="15">
      <c r="F89" s="169"/>
    </row>
    <row r="90" ht="15">
      <c r="F90" s="169"/>
    </row>
    <row r="91" ht="15">
      <c r="F91" s="169"/>
    </row>
    <row r="92" ht="15">
      <c r="F92" s="169"/>
    </row>
    <row r="93" ht="15">
      <c r="F93" s="169"/>
    </row>
    <row r="94" ht="15">
      <c r="F94" s="169"/>
    </row>
    <row r="95" ht="15">
      <c r="F95" s="169"/>
    </row>
    <row r="96" ht="15">
      <c r="F96" s="169"/>
    </row>
    <row r="97" ht="15">
      <c r="F97" s="169"/>
    </row>
    <row r="98" ht="15">
      <c r="F98" s="169"/>
    </row>
    <row r="99" ht="15">
      <c r="F99" s="169"/>
    </row>
    <row r="100" ht="15">
      <c r="F100" s="169"/>
    </row>
    <row r="101" ht="15">
      <c r="F101" s="169"/>
    </row>
    <row r="102" ht="15">
      <c r="F102" s="169"/>
    </row>
    <row r="103" ht="15">
      <c r="F103" s="169"/>
    </row>
  </sheetData>
  <mergeCells count="23">
    <mergeCell ref="G9:J9"/>
    <mergeCell ref="C8:N8"/>
    <mergeCell ref="K9:N9"/>
    <mergeCell ref="AF10:AH10"/>
    <mergeCell ref="AA7:AD9"/>
    <mergeCell ref="W8:Z8"/>
    <mergeCell ref="C9:F9"/>
    <mergeCell ref="C7:N7"/>
    <mergeCell ref="AH12:AI12"/>
    <mergeCell ref="A1:N1"/>
    <mergeCell ref="O7:R7"/>
    <mergeCell ref="O8:R8"/>
    <mergeCell ref="S8:V8"/>
    <mergeCell ref="S7:V7"/>
    <mergeCell ref="A3:Z4"/>
    <mergeCell ref="A2:Z2"/>
    <mergeCell ref="W7:Z7"/>
    <mergeCell ref="AA12:AD12"/>
    <mergeCell ref="W12:Z12"/>
    <mergeCell ref="C12:F12"/>
    <mergeCell ref="K12:N12"/>
    <mergeCell ref="O12:R12"/>
    <mergeCell ref="S12:V12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600" verticalDpi="600" orientation="landscape" paperSize="9" scale="53" r:id="rId3"/>
  <colBreaks count="1" manualBreakCount="1">
    <brk id="30" max="4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2009-05-05T08:52:42Z</cp:lastPrinted>
  <dcterms:created xsi:type="dcterms:W3CDTF">1999-07-13T07:42:57Z</dcterms:created>
  <dcterms:modified xsi:type="dcterms:W3CDTF">2009-05-05T08:54:05Z</dcterms:modified>
  <cp:category/>
  <cp:version/>
  <cp:contentType/>
  <cp:contentStatus/>
</cp:coreProperties>
</file>