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20" windowHeight="8700" tabRatio="884" activeTab="0"/>
  </bookViews>
  <sheets>
    <sheet name="RMB12" sheetId="1" r:id="rId1"/>
  </sheets>
  <definedNames>
    <definedName name="_xlnm.Print_Titles" localSheetId="0">'RMB12'!$5:$6</definedName>
    <definedName name="_xlnm.Print_Area" localSheetId="0">'RMB12'!$A$1:$F$513</definedName>
  </definedNames>
  <calcPr fullCalcOnLoad="1"/>
</workbook>
</file>

<file path=xl/comments1.xml><?xml version="1.0" encoding="utf-8"?>
<comments xmlns="http://schemas.openxmlformats.org/spreadsheetml/2006/main">
  <authors>
    <author>hujnakov</author>
  </authors>
  <commentList>
    <comment ref="D276" authorId="0">
      <text>
        <r>
          <rPr>
            <b/>
            <sz val="8"/>
            <rFont val="Tahoma"/>
            <family val="2"/>
          </rPr>
          <t>hujnakov:</t>
        </r>
        <r>
          <rPr>
            <sz val="8"/>
            <rFont val="Tahoma"/>
            <family val="2"/>
          </rPr>
          <t xml:space="preserve">
spolufinancovaný projekt:
nástroj 32, zdroj 5, ÚZ 33006 - částka 139.231,02 Kč
nástroj 32, zdroj 1, ÚZ 33006 - částka   24.570,18 Kč</t>
        </r>
      </text>
    </comment>
    <comment ref="D277" authorId="0">
      <text>
        <r>
          <rPr>
            <b/>
            <sz val="8"/>
            <rFont val="Tahoma"/>
            <family val="2"/>
          </rPr>
          <t>hujnakov:</t>
        </r>
        <r>
          <rPr>
            <sz val="8"/>
            <rFont val="Tahoma"/>
            <family val="2"/>
          </rPr>
          <t xml:space="preserve">
spolufinancovaný projekt:
nástroj 32, zdroj 5, ÚZ 33006 - částka 256.747,30 Kč
nástroj 32, zdroj 1, ÚZ 33006 - částka   45.308,35 Kč</t>
        </r>
      </text>
    </comment>
    <comment ref="D482" authorId="0">
      <text>
        <r>
          <rPr>
            <b/>
            <sz val="8"/>
            <rFont val="Tahoma"/>
            <family val="2"/>
          </rPr>
          <t>hujnakov:</t>
        </r>
        <r>
          <rPr>
            <sz val="8"/>
            <rFont val="Tahoma"/>
            <family val="2"/>
          </rPr>
          <t xml:space="preserve">
Spolufinancovaný projekt:
nástroj 38, zdroj 5, ÚZ 86505 - částka 61.073.244,96 Kč</t>
        </r>
      </text>
    </comment>
    <comment ref="D483" authorId="0">
      <text>
        <r>
          <rPr>
            <b/>
            <sz val="8"/>
            <rFont val="Tahoma"/>
            <family val="2"/>
          </rPr>
          <t>hujnakov:</t>
        </r>
        <r>
          <rPr>
            <sz val="8"/>
            <rFont val="Tahoma"/>
            <family val="2"/>
          </rPr>
          <t xml:space="preserve">
Spolufinancovaný projekt:
nástroj 38, zdroj 5, ÚZ 86505 - částka 61.073.244,96 Kč</t>
        </r>
      </text>
    </comment>
    <comment ref="D484" authorId="0">
      <text>
        <r>
          <rPr>
            <b/>
            <sz val="8"/>
            <rFont val="Tahoma"/>
            <family val="2"/>
          </rPr>
          <t>hujnakov:</t>
        </r>
        <r>
          <rPr>
            <sz val="8"/>
            <rFont val="Tahoma"/>
            <family val="2"/>
          </rPr>
          <t xml:space="preserve">
Spolufinancovaný projekt:
nástroj 38, zdroj 5, ÚZ 86505 - částka 61.073.244,96 Kč</t>
        </r>
      </text>
    </comment>
  </commentList>
</comments>
</file>

<file path=xl/sharedStrings.xml><?xml version="1.0" encoding="utf-8"?>
<sst xmlns="http://schemas.openxmlformats.org/spreadsheetml/2006/main" count="934" uniqueCount="460">
  <si>
    <t>Projekt Janáček Brno - Národní divadlo Brno</t>
  </si>
  <si>
    <t>Realizace projektu EU školám - ZŠ a MŠ Chalabalova 2</t>
  </si>
  <si>
    <t>Zateplení ZŠ Bednářova, Heyrovského, Plovdivská</t>
  </si>
  <si>
    <t>Moravské náměstí včetně Běhounské</t>
  </si>
  <si>
    <t>Zateplení ZŠ Horní, Janouškova a Masarova</t>
  </si>
  <si>
    <t>Tango, příběh velké lásky - Národní divadlo Brno</t>
  </si>
  <si>
    <t>Cirkus Havel v Avignonu - Centrum experimentálního divadla</t>
  </si>
  <si>
    <t>Brno - Řečkovice a Mokrá Hora - regenerace panelového sídliště</t>
  </si>
  <si>
    <t>Brněnské architektonické stezky</t>
  </si>
  <si>
    <t>Brno - Kohoutovice - zelená úsporám</t>
  </si>
  <si>
    <t>Brno - Židenice - aktivní politika zaměstnanosti - OP Lidské zdroje a zaměstnanost</t>
  </si>
  <si>
    <t>Zakoupení informačních technologií pro dopravní výchovu a osvětu v oblasti dopravy</t>
  </si>
  <si>
    <t>Akce "Terminál IDS Chrlice, nádraží"</t>
  </si>
  <si>
    <t>CIVITAS ELAN</t>
  </si>
  <si>
    <t>CIZÍ STÁTY</t>
  </si>
  <si>
    <t>Digitalizace archivu města Brna</t>
  </si>
  <si>
    <t xml:space="preserve">Brno - Židenice - úhrada nákladů obce v souvislosti s azylovým zařízením </t>
  </si>
  <si>
    <t>Intenzivní péče - Úrazová nemocnice Brno</t>
  </si>
  <si>
    <t>Ošetřovatelská péče v chirurgických oborech -Úrazová nemocnice Brno</t>
  </si>
  <si>
    <t>Klinická hematologie a transfuzní služba (zdravotní laborant) - Úrazová nemocnice Brno</t>
  </si>
  <si>
    <t>Stavební úpravy a půdní vestavba bytového domu Bratislavská 62 - evropský podíl</t>
  </si>
  <si>
    <t>Stavební úpravy a půdní vestavba bytového domu Bratislavská 62 - státní podíl</t>
  </si>
  <si>
    <t>Brno - Židenice - řešení mimořádných události JSDH</t>
  </si>
  <si>
    <t>Městské středisko krizové sociální pomoci pro osoby v extrémní sociální tísni</t>
  </si>
  <si>
    <t>Brno - Židenice - zabezpečení akceschopnosti JSDH</t>
  </si>
  <si>
    <t>Brno - Královo Pole - zabezpečení akceschopnosti JSDH</t>
  </si>
  <si>
    <t>Brno - Jehnice - zabezpečení akceschopnosti JSDH</t>
  </si>
  <si>
    <t>Brno - Černovice - zabezpečení akceschopnosti JSDH</t>
  </si>
  <si>
    <t>Brno - Tuřany - zabezpečení akceschopnosti JSDH</t>
  </si>
  <si>
    <t>Brno - Chrlice -  zabezpečení akceschopnosti JSDH</t>
  </si>
  <si>
    <t>Brno - Komín - zabezpečení akceschopnosti JSDH</t>
  </si>
  <si>
    <t>Brno - Žebětín - zabezpečení akceschopnosti JSDH</t>
  </si>
  <si>
    <t>Projekt: Kytice (výroba kostýmů, loutek a dekorací) - Divadlo Radost</t>
  </si>
  <si>
    <t>Podpora k opakovaným hostováním inscenací Divadla Reduta - Národní divadlo Brno</t>
  </si>
  <si>
    <t xml:space="preserve">Brno - Líšeň -  Kulturní centrum Líšeň, p.o. - Líšeňské hody 2012 </t>
  </si>
  <si>
    <t>Projekt GRUNDTVIG</t>
  </si>
  <si>
    <t>Projekt ET LETTERA</t>
  </si>
  <si>
    <t>Brno - Ořešín  - zabezpečení akceschopnosti JSDH</t>
  </si>
  <si>
    <t>Z ROZPOČTŮ ÚZEMNÍ ÚROVNĚ</t>
  </si>
  <si>
    <t>Dostavba bezpečných úseků na cyklotrase Brno - Vídeň</t>
  </si>
  <si>
    <t>Brno - Maloměřice a Obřany  - zabezpečení akceschopnosti JSDH</t>
  </si>
  <si>
    <t>Realizace projektu EU peníze školám - ZŠ Botanická 70</t>
  </si>
  <si>
    <t>Realizace projektu EU peníze školám - ZŠ Pavlovská 16</t>
  </si>
  <si>
    <t>Realizace projektu EU peníze školám - ZŠ Labská 27</t>
  </si>
  <si>
    <t>Realizace projektu EU peníze školám - EZŠ Čejkovická</t>
  </si>
  <si>
    <t>Realizace projektu EU peníze školám - ZŠ Řehořova 3</t>
  </si>
  <si>
    <t>Realizace projektu EU peníze školám - ZŠ Holzova 1</t>
  </si>
  <si>
    <t>Realizace projektu EU peníze školám - ZŠ Bosonožská 9</t>
  </si>
  <si>
    <t>Realizace projektu EU peníze školám - ZŠ a MŠ Horníkova</t>
  </si>
  <si>
    <t>Rekonstrukce parku Lužánky</t>
  </si>
  <si>
    <t>Brno - Ořešín - veřejně prospěšné práce</t>
  </si>
  <si>
    <t>Brno - Bohunice -  zabezpečení akceschopnosti JSDH</t>
  </si>
  <si>
    <t>Zateplení ZŠ Horní - státní podíl</t>
  </si>
  <si>
    <t>Brno - Chrlice - projektová dokumentace k výstavbě hasičské zbrojnice</t>
  </si>
  <si>
    <t>Realizace projektu EU peníze školám - Waldorfská základní škola, Plovdivská 8</t>
  </si>
  <si>
    <t>Brno - Bystrc - rekonstrukce brouzdaliště v MŠ Laštůvkova 57/59</t>
  </si>
  <si>
    <t>Brno - Slatina - zabezpečení akceschopnosti JSDH</t>
  </si>
  <si>
    <t>Sanace skalní stěny Bosonohy - V. etapa</t>
  </si>
  <si>
    <t>Brno - sever - zabezpečení akceschopnosti JSDH</t>
  </si>
  <si>
    <t>Brno - Jundrov - zabezpečení akceschopnosti JSDH</t>
  </si>
  <si>
    <t>Brno - Jih - zabezpečení akceschopnosti JSDH</t>
  </si>
  <si>
    <t>Učíme se pro život (Amen sikhĺuvas pre dživipen) - ZŠ a MŠ Křenová</t>
  </si>
  <si>
    <t>a ze zahraničí k 31.12.2012</t>
  </si>
  <si>
    <t>Zateplení ZŠ Horní</t>
  </si>
  <si>
    <t>Procesní optim., implem. projekt. řízení a monitoring spokojenosti uživatelů služeb na TSB</t>
  </si>
  <si>
    <t>Busty operních pěvců Leo Slezáka a Marie Jeritzy v Mahenově divadle - Mahenovo divadlo Brno</t>
  </si>
  <si>
    <t>Brno - sever - Drom, romské středisko - Cestou komunitní práce</t>
  </si>
  <si>
    <t>Realizace projektu Betlém - Centrum experimentálního divadla</t>
  </si>
  <si>
    <t>MINISTERSTVO ŽIVOTNÍHO PROSTŘEDÍ</t>
  </si>
  <si>
    <t>Realizace projektu EU peníze školám - ZŠ Tuháčkova 25</t>
  </si>
  <si>
    <t>Příspěvek zoologickým zahradám - ZOO Brno</t>
  </si>
  <si>
    <t>CENTROPE CAPACITY</t>
  </si>
  <si>
    <t>Obnova kulturní památky - Letohrádek Mitrovských (Arena)</t>
  </si>
  <si>
    <t>Obnova kulturní památky - Vila Aloise a Viléma Kubových v Gromešově ulici</t>
  </si>
  <si>
    <t>Obnova kulturní památky - Vila - palác Johanna Bergla/kavárna Muzeum na Moravském nám.</t>
  </si>
  <si>
    <t>Systémová úprava a dosadba vegetace - Brno - Bystrc</t>
  </si>
  <si>
    <t>Datum</t>
  </si>
  <si>
    <t>NEINVESTIČNÍ DOTACE</t>
  </si>
  <si>
    <t>UR v tis. Kč</t>
  </si>
  <si>
    <t>Skutečnost v Kč</t>
  </si>
  <si>
    <t>ÚZ</t>
  </si>
  <si>
    <t>POL.</t>
  </si>
  <si>
    <t xml:space="preserve">MINISTERSTVO  FINANCÍ  ČR </t>
  </si>
  <si>
    <t>Dotace na úhradu výdajů spojených s výkonem sociálně - právní ochrany dětí</t>
  </si>
  <si>
    <t>STÁTNÍ  FOND  ROZVOJE  BYDLENÍ</t>
  </si>
  <si>
    <t>4113</t>
  </si>
  <si>
    <t>Brno - Černovice - dotace k úvěru na opravu panelových bytů</t>
  </si>
  <si>
    <t>Brno - Královo Pole - dotace k úvěru na opravu panelových bytů</t>
  </si>
  <si>
    <t>Brno - Nový Lískovec - dotace k úvěru na opravu panelových bytů</t>
  </si>
  <si>
    <t>Brno - sever - dotace k úvěru na opravu panelových bytů</t>
  </si>
  <si>
    <t>Brno - Slatina - dotace k úvěru na opravu panelových bytů</t>
  </si>
  <si>
    <t>Brno - Vinohrady - dotace k úvěru na opravu panelových bytů</t>
  </si>
  <si>
    <t>STÁTNÍ  FOND  ŽIVOTNÍHO PROSTŘEDÍ</t>
  </si>
  <si>
    <t>STÁTNÍ  ZEMĚDĚLSKÝ INTERVENČNÍ FOND</t>
  </si>
  <si>
    <t>Brno - Ořešín - přímé platby zemědělcům</t>
  </si>
  <si>
    <t xml:space="preserve">ÚŘAD  PRÁCE </t>
  </si>
  <si>
    <t>Brno - Bosonohy - veřejně prospěšné práce</t>
  </si>
  <si>
    <t>13101</t>
  </si>
  <si>
    <t>4116</t>
  </si>
  <si>
    <t>Brno - Komín - veřejně prospěšné práce</t>
  </si>
  <si>
    <t>Brno - Maloměřice a Obřany - veřejně prospěšné práce</t>
  </si>
  <si>
    <t>Brno - střed - veřejně prospěšné práce</t>
  </si>
  <si>
    <t>13234</t>
  </si>
  <si>
    <t>Brno - Ivanovice - aktivní politika zaměstnanosti - OP Lidské zdroje a zaměstnanost</t>
  </si>
  <si>
    <t>Brno - Královo Pole - aktivní politika zaměstnanosti - OP Lidské zdroje a zaměstnaost</t>
  </si>
  <si>
    <t>Brno - Nový Lískovec - aktivní politika zaměstnanosti - OP Lidské zdroje a zaměstnanost</t>
  </si>
  <si>
    <t>Brno - Ořešín - aktivní politika zaměstnanosti - OP Lidské zdroje a zaměstnanost</t>
  </si>
  <si>
    <t>Brno - sever - aktivní politika zaměstnanosti - OP Lidské zdroje a zaměstnanost</t>
  </si>
  <si>
    <t>Brno - střed - aktivní politika zaměstnanosti - OP Lidské zdroje a zaměstnanost</t>
  </si>
  <si>
    <t>Brno - Žabovřesky - aktivní politika zaměstnanosti - OP Lidské zdroje a zaměstnanost</t>
  </si>
  <si>
    <t>Brno - Žebětín - aktivní politika zaměstnanosti - OP Lidské zdroje a zaměstnanost</t>
  </si>
  <si>
    <t>MINISTERSTVO   KULTURY</t>
  </si>
  <si>
    <t>34070</t>
  </si>
  <si>
    <t>MINISTERSTVO  ŠKOLSTVÍ, MLÁDEŽE  A TĚLOVÝCHOVY</t>
  </si>
  <si>
    <t>33123</t>
  </si>
  <si>
    <t>33019</t>
  </si>
  <si>
    <t>Brno - střed - rovné přílež. ke vzdělávání pro romské žáky - ZŠ a MŠ nám. 28. října</t>
  </si>
  <si>
    <t>MINISTERSTVO PRÁCE A SOCIÁLNÍCH VĚCÍ ČR</t>
  </si>
  <si>
    <t xml:space="preserve">Dotace na podporu poskytování sociálních služeb </t>
  </si>
  <si>
    <t>MINISTERSTVO  PRO MÍSTNÍ ROZVOJ ČR</t>
  </si>
  <si>
    <t xml:space="preserve">PRESS - Spolupráce partnerských měst Brno a St. Pőlten </t>
  </si>
  <si>
    <t>MINISTERSTVO  PRŮMYSLU A OBCHODU ČR</t>
  </si>
  <si>
    <t>Dotace na výkon činnosti Jednotných kontaktních míst</t>
  </si>
  <si>
    <t>MINISTERSTVO VNITRA ČR</t>
  </si>
  <si>
    <t>Dotace na zajištění bydlení pro azylanty na území ČR</t>
  </si>
  <si>
    <t>MINISTERSTVO  ZEMĚDĚLSTVÍ  ČR</t>
  </si>
  <si>
    <t>Dotace na činnost odborného lesního hospodáře</t>
  </si>
  <si>
    <t>Úhrada zvýšených nákladů na výsadbu minimálního podílu melior. a zpevň. dřevin</t>
  </si>
  <si>
    <t>MINISTERSTVO  ZDRAVOTNICTVÍ  ČR</t>
  </si>
  <si>
    <t>Aplikovaná fyzioterapie - Úrazová nemocnice</t>
  </si>
  <si>
    <t>Ošetřovatelská péče v anesteziologii, resuscitaci a intenz.péči - Úrazová nemocnice</t>
  </si>
  <si>
    <t>Perioperační péče - Úrazová nemocnice</t>
  </si>
  <si>
    <t>Z ROZPOČTŮ ÚSTŘEDNÍ ÚROVNĚ</t>
  </si>
  <si>
    <t>4119</t>
  </si>
  <si>
    <t>JIHOMORAVSKÝ KRAJ</t>
  </si>
  <si>
    <t>4122</t>
  </si>
  <si>
    <t>Všichni máme stejnou šanci - ZŠ Vedlejší 10</t>
  </si>
  <si>
    <t>Podpora Montessori pedagogiky na ZŠ Pastviny - ZŠ a MŠ Pastviny</t>
  </si>
  <si>
    <t>Zavádění interaktivní výuky na 1. stupni ZŠ Pastviny s přesahem na EVVO</t>
  </si>
  <si>
    <t>Brno - sever - Drom - projekt Šanci dětem</t>
  </si>
  <si>
    <t>MEZINÁRODNÍ  INSTITUCE</t>
  </si>
  <si>
    <t>4152</t>
  </si>
  <si>
    <t>Projekt TROLLEY</t>
  </si>
  <si>
    <t>DOTACE  NEINVESTIČNÍ  CELKEM</t>
  </si>
  <si>
    <t>INVESTIČNÍ DOTACE</t>
  </si>
  <si>
    <t>4213</t>
  </si>
  <si>
    <t>Brno - Slatina - zelená úsporám</t>
  </si>
  <si>
    <t>MINISTERSTVO  DOPRAVY</t>
  </si>
  <si>
    <t>4216</t>
  </si>
  <si>
    <t>MINISTERSTVO  ŽIVOTNÍHO PROSTŘEDÍ</t>
  </si>
  <si>
    <t>Vila Tugendhat - státní podíl</t>
  </si>
  <si>
    <t>34885</t>
  </si>
  <si>
    <t>Vila Tugendhat - evropský podíl</t>
  </si>
  <si>
    <t>34886</t>
  </si>
  <si>
    <t>4222</t>
  </si>
  <si>
    <t xml:space="preserve">DOTACE  INVESTIČNÍ CELKEM </t>
  </si>
  <si>
    <t xml:space="preserve">DOTACE  NEINVESTIČNÍ CELKEM  </t>
  </si>
  <si>
    <t xml:space="preserve">DOTACE  INVESTIČNÍ CELKEM  </t>
  </si>
  <si>
    <t>DOTACE    CELKEM</t>
  </si>
  <si>
    <t>2.2.2012</t>
  </si>
  <si>
    <t>24.1.2012</t>
  </si>
  <si>
    <t>9.2.2012</t>
  </si>
  <si>
    <t>14.2.2012</t>
  </si>
  <si>
    <t>17.2.2012</t>
  </si>
  <si>
    <t>20.2.2012</t>
  </si>
  <si>
    <t>22.2.2012</t>
  </si>
  <si>
    <t>Podpora výuky anglického jazyka s využitím ICT a moderních způsobů výuky - ZŠ Labská 27</t>
  </si>
  <si>
    <t>29.2.2012</t>
  </si>
  <si>
    <t>1.3.2012</t>
  </si>
  <si>
    <t>Anglicky všemi smysly - ZŠ Bakalovo nábžeží 8</t>
  </si>
  <si>
    <t>Podpora výuky předmětů z oblasti Člověk a příroda - ZŠ Gajdošova 3</t>
  </si>
  <si>
    <t>2.3.2012</t>
  </si>
  <si>
    <t>5.3.2012</t>
  </si>
  <si>
    <t>EUROCITIES</t>
  </si>
  <si>
    <t>13.3.2012</t>
  </si>
  <si>
    <t>15.3.2012</t>
  </si>
  <si>
    <t>Šance pro všechny - ZŠ a MŠ Kotlářská 4</t>
  </si>
  <si>
    <t>Na prahu dospívání - ZŠ a MŠ Brno, Kotlářská 4</t>
  </si>
  <si>
    <t>20.3.2012</t>
  </si>
  <si>
    <t>33122</t>
  </si>
  <si>
    <t>Smysluplná škola - rozvoj mezipředmět. vazeb a průřezových témat- ZŠ a MŠ Jihomor.nám. 2</t>
  </si>
  <si>
    <t>Se SOBem křížem krážem prevencí - Evropská základní škola, Čejkovická 10</t>
  </si>
  <si>
    <t>Podpora romské komunity v roce 2012 - ZŠ a MŠ nám. 28. října 22</t>
  </si>
  <si>
    <t>22.3.2012</t>
  </si>
  <si>
    <t>Média ve škole - ZŠ Bednářova 28, Brno</t>
  </si>
  <si>
    <t>29.3.2012</t>
  </si>
  <si>
    <t>Brno - Bystrc - aktivní politika zaměstnanosti - OP Lidské zdroje a zaměstnanost</t>
  </si>
  <si>
    <t>Brno - Útěchov - aktivní politika zaměstnanosti - OP Lidské zdroje a zaměstnanost</t>
  </si>
  <si>
    <t>Brno - Bystrc - zelená úsporám</t>
  </si>
  <si>
    <t>Vila Rugendhat - evropský podíl</t>
  </si>
  <si>
    <t>9.3.2012</t>
  </si>
  <si>
    <t>Rekonstrukce bytového domu Spolková 3  - evropský podíl</t>
  </si>
  <si>
    <t>Rekonstrukce bytového domu Spolková 3 - státní podíl</t>
  </si>
  <si>
    <t>Brno - sever - Drom - Máš na to!</t>
  </si>
  <si>
    <t>Divadelní svět Brno  - mezinárodní divadelní festival - evropský podíl</t>
  </si>
  <si>
    <t>Divadelní svět Brno  - mezinárodní divadelní festival - státní podíl</t>
  </si>
  <si>
    <t xml:space="preserve">Přehled přijatých účelových dotací z resortních ministerstev, státních fondů, Jihomoravského kraje </t>
  </si>
  <si>
    <t>REKAPITULACE  PŘIJATÝCH DOTACÍ</t>
  </si>
  <si>
    <t>5.4.2012</t>
  </si>
  <si>
    <t>2.4.2012</t>
  </si>
  <si>
    <t>3.4.2012</t>
  </si>
  <si>
    <t>4.4.2012</t>
  </si>
  <si>
    <t>Projekt MINIWASTE</t>
  </si>
  <si>
    <t>11.4.2012</t>
  </si>
  <si>
    <t>Výstavní plán Domu umění města Brna - Dům umění města Brna</t>
  </si>
  <si>
    <t>34006</t>
  </si>
  <si>
    <t>Rovné příležitosti ke vzdělávání pro romské žáky v inkluzivní škole - ZŠ a MŠ nám. 28. října 22</t>
  </si>
  <si>
    <t>13.4.2012</t>
  </si>
  <si>
    <t>18.4.2012</t>
  </si>
  <si>
    <t>Celoroční výstavní program Galerií TIC v roce 2012 - TIC</t>
  </si>
  <si>
    <t>17.4.2012</t>
  </si>
  <si>
    <t>26.4.2012</t>
  </si>
  <si>
    <t>27.4.2012</t>
  </si>
  <si>
    <t>19.4.2012</t>
  </si>
  <si>
    <t>Zkvalitnění enviromentálního vzdělávání na Masarykově ZŠ a MŠ - Zemědělská 29</t>
  </si>
  <si>
    <t>Víc znát, víc vědět, víc umět - ZŠ Tuháčkova 25</t>
  </si>
  <si>
    <t>Zateplení ZŠ Novolíšeňská 10 - evropský podíl</t>
  </si>
  <si>
    <t>Zateplení ZŠ Novolíšeňská 10 - státní podíl</t>
  </si>
  <si>
    <t>7.5.2012</t>
  </si>
  <si>
    <t>10.5.2012</t>
  </si>
  <si>
    <t>Anglicky všemi smysly - ZŠ Bakalovo nábřeží 8</t>
  </si>
  <si>
    <t>Rozvoj klíč. komp. žáků pomocí materiálu alternativní metody Montessori - ZŠ Gajdošova 3</t>
  </si>
  <si>
    <t>11.5.2012</t>
  </si>
  <si>
    <t>Ukaž mi směr a já najdu cestu pro své povolání - EZŠ Čejkovická</t>
  </si>
  <si>
    <t>Přírodní a technické směry jinak - ZŠ Mutěnická 23</t>
  </si>
  <si>
    <t>Rovné příležitosti pro všechny - ZŠ Mutěnická 23</t>
  </si>
  <si>
    <t>14.5.2012</t>
  </si>
  <si>
    <t>Ruku v ruce - Knihovna Jiřího Mahena</t>
  </si>
  <si>
    <t>16.5.2012</t>
  </si>
  <si>
    <t>Skupinová výuka mimořádně nadaných dětí na Úvoze - ZŠ Úvoz 55, Brno</t>
  </si>
  <si>
    <t>23.5.2012</t>
  </si>
  <si>
    <t>Úspěch pro všechny prostřednictvím inovace metod a forem výuky - ZŠ a MŠ J. Broskvy</t>
  </si>
  <si>
    <t>25.5.2012</t>
  </si>
  <si>
    <t>29.5.2012</t>
  </si>
  <si>
    <t>Multimédia ve výuce na základní škole - II. výzva - ZŠ Bosonožská 9</t>
  </si>
  <si>
    <t>30.5.2012</t>
  </si>
  <si>
    <t>Expozice hudby - Filharmonie Brno</t>
  </si>
  <si>
    <t xml:space="preserve">Velikonoční festival duchovní hudby - Filharmonie Brno </t>
  </si>
  <si>
    <t>Cirkus Havel v Avignonu - CED</t>
  </si>
  <si>
    <t>15.5.2012</t>
  </si>
  <si>
    <t>24.5.2012</t>
  </si>
  <si>
    <t>28.5.2012</t>
  </si>
  <si>
    <t>Brno - Bystrc - dotace na zajištění bydlení pro azylanty na území ČR</t>
  </si>
  <si>
    <t>Najdi Špilberk - Muzeum města Brna - evropský podíl</t>
  </si>
  <si>
    <t>Najdi Špilberk - Muzeum města Brna - státní podíl</t>
  </si>
  <si>
    <t>4123</t>
  </si>
  <si>
    <t>4223</t>
  </si>
  <si>
    <t>Brno - Nový Lískovec - zelená úsporám</t>
  </si>
  <si>
    <t>Brno - Židenice - dotace k úvěru na opravu panelových bytů</t>
  </si>
  <si>
    <t>Brno - střed - zelená úsporám</t>
  </si>
  <si>
    <t>Brno - Bystrc - dotace k úvěru na opravu panelových bytů</t>
  </si>
  <si>
    <t>Křenka - zážitkem k inkluzi - ZŠ a MŠ Brno- Křenová 21 - neinvestice</t>
  </si>
  <si>
    <t>1.6.2012</t>
  </si>
  <si>
    <t>Tvorba praktických úloh pro předměty fyzika, chemie a přírodopis - ZŠ Gajdošova 3</t>
  </si>
  <si>
    <t>Podpora vzdělávání a zlepšení kompetencí pedagogických pracovníků - ZŠ Antonínská 3</t>
  </si>
  <si>
    <t>Internetový kurz základů astronomie - Hvězdárna a planetárium Brno</t>
  </si>
  <si>
    <t>5.6.2012</t>
  </si>
  <si>
    <t>14.6.2012</t>
  </si>
  <si>
    <t>Podpora zavádění systému nových výukových metod na ZŠ Mutěnická</t>
  </si>
  <si>
    <t>25.6.2012</t>
  </si>
  <si>
    <t>34001</t>
  </si>
  <si>
    <t>Babylonfest - TIC města Brna</t>
  </si>
  <si>
    <t>4.6.2012</t>
  </si>
  <si>
    <t>34273</t>
  </si>
  <si>
    <t>Podpora profesionálních divadel a symfonických orchestrů - Filharmonie Brno</t>
  </si>
  <si>
    <t>8.6.2012</t>
  </si>
  <si>
    <t>34352</t>
  </si>
  <si>
    <t>Dotace na elektronické informační zdroje pro zrakově postižené čtenáře - KJM</t>
  </si>
  <si>
    <t>19.6.2012</t>
  </si>
  <si>
    <t>34053</t>
  </si>
  <si>
    <t>Ošetřovatelská péče v chirurgických oborech - vratka části dotace</t>
  </si>
  <si>
    <t>15.6.2012</t>
  </si>
  <si>
    <t>11.6.2012</t>
  </si>
  <si>
    <t>Doplatek dávek pro zdravotně postižené nevyplacený v roce 2011</t>
  </si>
  <si>
    <t>Manažer IPRM Brno - evropský podíl</t>
  </si>
  <si>
    <t>Manažer IPRM Brno - státní podíl</t>
  </si>
  <si>
    <t>Zajištění kompatibility agend s Centrálním registrem vozidel v roce 2012</t>
  </si>
  <si>
    <t>21.6.2012</t>
  </si>
  <si>
    <t>27003</t>
  </si>
  <si>
    <t>Brno - sever - řešení mimořádných událostí JSDH</t>
  </si>
  <si>
    <t xml:space="preserve">Brno - sever - Drom - podpora tanečního souboru Piroš Rouža </t>
  </si>
  <si>
    <t>Brno - Chrlice - řešení mimořádných událostí JSDH</t>
  </si>
  <si>
    <t>28.6.2012</t>
  </si>
  <si>
    <t>Profesní rozvoj pedagogů na ZŠ Laštůvkova</t>
  </si>
  <si>
    <t>Brno - Ivanovice - veřejně prospěšné práce</t>
  </si>
  <si>
    <t>Brno - sever - veřejně prospěšné práce</t>
  </si>
  <si>
    <t>29.6.2012</t>
  </si>
  <si>
    <t>18.6.2012</t>
  </si>
  <si>
    <t>Projekt partnerství HELPS - zvýšení kvality života ohrožených osob</t>
  </si>
  <si>
    <t>Brno - Kohoutovice - dotace k úvěru na opravu panelových bytů</t>
  </si>
  <si>
    <t>Regenerace zeleně Ústředního hřbitova - doplatek dotace</t>
  </si>
  <si>
    <t>23. Tmavomodrý festival, mezinár. hudební přehlídka pro zrakově postižené děti a mládež - TIC</t>
  </si>
  <si>
    <t>Projekt z programu Veřejné informační služby knihoven (VISK9) - KJM</t>
  </si>
  <si>
    <t>Program prevence kriminality - Asistent prevence kriminality I.</t>
  </si>
  <si>
    <t>Program prevence kriminality - Asistent prevence kriminality II.</t>
  </si>
  <si>
    <t>Program prevence kriminality - Jak se nestát obětí</t>
  </si>
  <si>
    <t>Ošetřovatelská péče v chirurgických oborech - Úrazová nemocnice</t>
  </si>
  <si>
    <t>Žáci žákům aneb mezipředmětová tvorba multimediálních prezentací - ZŠ Vedlejší 10</t>
  </si>
  <si>
    <t>Vila Tugendhat - THICOM sborník shrnující čin. mezinár.expertního poradního sboru -MuMB</t>
  </si>
  <si>
    <t>Realizace projektu  EU peníze školám - ZŠ Horní 16</t>
  </si>
  <si>
    <t>Inkluzivní vzděl. žáků ve školách "spádových" sociálně vylouč.lokal. - ZŠ a MŠ nám. 28. října 22</t>
  </si>
  <si>
    <t>Program prevence kriminality - Vnímání pocitu bezpečí občany Brna</t>
  </si>
  <si>
    <t>Ošetřovatelské péče o pacienty ve vybraných klinických oborech - Úrazová nemocnice</t>
  </si>
  <si>
    <t>Rozvoj klíč.kompet.žáků pomocí materiálu altern. met. Montessori při projekt.vyuč.- ZŠ Gajdoš.</t>
  </si>
  <si>
    <t>Média ve škole - ZŠ Bednářova 28</t>
  </si>
  <si>
    <t>3.7.2012</t>
  </si>
  <si>
    <t>Podpora profesionálních divadel a symfonických orchestrů - Národní divadlo Brno</t>
  </si>
  <si>
    <t>Podpora profesionálních divadel a symfonických orchestrů - Městské divadlo Brno</t>
  </si>
  <si>
    <t>Podpora profesionálních divadel a symfonických orchestrů - Divadlo Radost</t>
  </si>
  <si>
    <t>Podpora profesionálních divadel a symfonických orchestrů - Centrum experimentálního divadla</t>
  </si>
  <si>
    <t>Vila Tugendhat - Rozšířená operativní dokumentace stavby I. etapa - MuMB</t>
  </si>
  <si>
    <t>4.7.2012</t>
  </si>
  <si>
    <t xml:space="preserve">Brno - Útěchov - řešení mimořádných událostí JSDH </t>
  </si>
  <si>
    <t>Brno - sever - řešení mimořádných událostí  JSDH</t>
  </si>
  <si>
    <t xml:space="preserve">Dotace na zajištění předávání inf. pro monitor. a řízení veřejných financí (PAP) </t>
  </si>
  <si>
    <t>11.7.2012</t>
  </si>
  <si>
    <t>Brno - Bohunice - řešení mimořádných událostí JSDH</t>
  </si>
  <si>
    <t>Brno - Královo Pole - řešení mimořádných událostí JSDH</t>
  </si>
  <si>
    <t>18.7.2012</t>
  </si>
  <si>
    <t>Křehké kino. Katalog ke kurátorskému projektu Galerie mladých 2012 - TIC</t>
  </si>
  <si>
    <t>Joštova - úsek Komenského nám. - Údolní</t>
  </si>
  <si>
    <t>10.7.2012</t>
  </si>
  <si>
    <t>Zvýšení úrovně znalostí využití IT na EZŠ - Evropská základní škola</t>
  </si>
  <si>
    <t>20.7.2012</t>
  </si>
  <si>
    <t>24.7.2012</t>
  </si>
  <si>
    <t>Podpora profesního a osobního růstu zaměstnanců statutárního města Brna</t>
  </si>
  <si>
    <t>25.7.2012</t>
  </si>
  <si>
    <t xml:space="preserve">Podpora profesionálních divadel a symfonických orchestrů - Národní divadlo Brno </t>
  </si>
  <si>
    <t>Podpora profesionálních divadel a symfonických orchestrů - Centrum exper. divadla Brno</t>
  </si>
  <si>
    <t>26.7.2012</t>
  </si>
  <si>
    <t>31.7.2012</t>
  </si>
  <si>
    <t>34003</t>
  </si>
  <si>
    <t>34004</t>
  </si>
  <si>
    <t>7.8.2012</t>
  </si>
  <si>
    <t>1.8.2012</t>
  </si>
  <si>
    <t>13.8.2012</t>
  </si>
  <si>
    <t>14.8.2012</t>
  </si>
  <si>
    <t>Senior akademie 2012</t>
  </si>
  <si>
    <t>MOBIDIK - mobilní infor. a didaktické centrum prevence krim. (různé formy zabezp. majetku)</t>
  </si>
  <si>
    <t>Sportem proti kriminalitě - Street dance</t>
  </si>
  <si>
    <t>Pokrač. obnovy části S lodi a části S ramene velkého transeptu kostela Nanebevz. P. Marie</t>
  </si>
  <si>
    <t>Obnova severní fasády Lorety kostela sv. Janů s Loretou</t>
  </si>
  <si>
    <t>Divadelní svět - Noc kejklířů a Slavnost masek - TIC</t>
  </si>
  <si>
    <t>Stavební úpravy a nástavba bytového domu Francouzská 68 - evropský podíl</t>
  </si>
  <si>
    <t>Stavební úpravy a nástavba bytového domu Francouzská 68 - státní podíl</t>
  </si>
  <si>
    <t>Stavební úpravy a nástavba bytového domu Francouzská 44 - evropský podíl</t>
  </si>
  <si>
    <t>Stavební úpravy a nástavba bytového domu Francouzská 44 - státní podíl</t>
  </si>
  <si>
    <t>Brno - Královo Pole - realizace projektu "Dům na půli cesty"</t>
  </si>
  <si>
    <t>Brno - Židenice - venkovní sportovní hřiště ZŠ Gajdošova 3</t>
  </si>
  <si>
    <t xml:space="preserve">Vybrané projekty - Městské divadlo Brno </t>
  </si>
  <si>
    <t>Vydání publikace Městské divadlo Brno 2010 - 2011 - Městské divadlo Brno</t>
  </si>
  <si>
    <t>Brno - Vinohrady - výstava vín</t>
  </si>
  <si>
    <t>Brno - Vinohrady - oprava hudebního nástroje - cimbálu</t>
  </si>
  <si>
    <t>Mezinárodní hudební festival Špilberk a Symfonický orchestr JMK - Filharmonie Brno</t>
  </si>
  <si>
    <t>Pořádání vybraných koncertů  - Filharmonie Brno</t>
  </si>
  <si>
    <t xml:space="preserve">Mozartovy děti a Smíšek 2012 - Filharmonie Brno </t>
  </si>
  <si>
    <t>Festival Janáček - Národní divadlo Brno</t>
  </si>
  <si>
    <t>Podpora dostupnosti ND v JMK a Nebojte se divadla - Národní divadlo Brno</t>
  </si>
  <si>
    <t>Premiéry v roce 2012 - Národní divadlo Brno</t>
  </si>
  <si>
    <t>Taneční most/Tanzbrücke - Národní divadlo Brno</t>
  </si>
  <si>
    <t>Interdisciplinární přístup k domácímu násilí - Nepodceňujme nísilí! Jeho obětí může být kdokoli.</t>
  </si>
  <si>
    <t>Brno - Nový Lískovec - Projekt Urb Spaces spolufinancovaný Evropským fondem region. rozvoje</t>
  </si>
  <si>
    <t>Učíme se e-learningem - ZŠ Novolíšeňská 10</t>
  </si>
  <si>
    <t xml:space="preserve">Podpora zkvalitnění služeb TIC Brno </t>
  </si>
  <si>
    <t>Dotace na 1 rezidenční místo v oboru perioperační péče - Úrazová nemocnice Brno</t>
  </si>
  <si>
    <t xml:space="preserve">Prase v Rennes - Centrum experimentálního divadla </t>
  </si>
  <si>
    <t xml:space="preserve">Brno - Žabovřesky - vybudování hřiště pro seniory  mezi ul. Korejská-Zborovská-Klímova </t>
  </si>
  <si>
    <t>Metropolitní síť Brno - propojení Magistrátu s úřady městských částí - III. fáze</t>
  </si>
  <si>
    <t>Dotace na úhradu výdajů souvisejících s konáním voleb do krajských zast. a Senátu Parlamentu ČR</t>
  </si>
  <si>
    <t xml:space="preserve">Dotace na úhradu výdajů v souvislosti s přípravnou fází volby prezidenta ČR </t>
  </si>
  <si>
    <t xml:space="preserve">Jubilanti Činohry Národního divadla Brno 2012 - Národní divadlo Brno </t>
  </si>
  <si>
    <t>Víceúčelová tělocvična při EZŠ a MŠ Čejkovická</t>
  </si>
  <si>
    <t>Vila Tugendhat - státní podíl - vratka  části dotace</t>
  </si>
  <si>
    <t>Vila Tugendhat - evropský podíl - vratka části dotace</t>
  </si>
  <si>
    <t>53. Brněnská šestnáctka - Mezinárodní festival krátkých hraných filmů - TIC</t>
  </si>
  <si>
    <t>Stavební úpravy a nástavba bytového domu Francouzská 64 - evropský podíl</t>
  </si>
  <si>
    <t>Stavební úpravy a nástavba bytového domu Francouzská 64 - státní podíl</t>
  </si>
  <si>
    <t>Brno - Bohunice - regenerace panelového sídliště</t>
  </si>
  <si>
    <t>Brno - Černovice - aktivní politika zaměstnanosti - OP Lidské zdroje a zaměstnanost</t>
  </si>
  <si>
    <t>Brno - Maloměřice a Obřany - aktivní politika zaměstnanosti - OP Lidské zdroje a zaměstnanost</t>
  </si>
  <si>
    <t>Brno - Medlánky - aktivní politika zaměstnanosti - OP Lidské zdroje a zaměstnanost</t>
  </si>
  <si>
    <t>Představení HaDivadla Bohnice aneb Člověče, nezlob se v Bratislavě - CED</t>
  </si>
  <si>
    <t>Zpracování management plánu pro Vilu Tugendhat - Muzeum města Brna</t>
  </si>
  <si>
    <t>Brno - střed - podpora profesionálních divadel - KVC U Tří kohoutů</t>
  </si>
  <si>
    <t>Obnova štukových, malovaných a zlacených ploch lemujících portál jeviště Mahenova divadla</t>
  </si>
  <si>
    <t>Brno - sever - DROM - Podívej, co umím!</t>
  </si>
  <si>
    <t>Realizace projektu EU peníze školám - ZŠ a MŠ Kotlářská 4</t>
  </si>
  <si>
    <t>Realizace projektu EU peníze školám - ZŠ Laštůvkova 77</t>
  </si>
  <si>
    <t>Realizace projektu EU peníze školám - ZŠ a MŠ Křídlovická 30b</t>
  </si>
  <si>
    <t>Realizace projektu EU peníze školám - ZŠ Přemyslovo náměstí 1</t>
  </si>
  <si>
    <t>Realizace projektu EU peníze školám - ZŠ Gajdošova 3</t>
  </si>
  <si>
    <t>Realizace projektu EU peníze školám - ZŠ Úvoz 55</t>
  </si>
  <si>
    <t>Realizace projektu EU peníze školám - ZŠ a MŠ Jana Broskvy 3</t>
  </si>
  <si>
    <t>Realizace projektu EU peníze školám - ZŠ Kamínky 5</t>
  </si>
  <si>
    <t>Realizace projektu EU peníze školám - ZŠ Svážná 9</t>
  </si>
  <si>
    <t>Realizace projektu EU peníze školám - ZŠ a MŠ nám. 28. října 22</t>
  </si>
  <si>
    <t>Realizace projektu EU peníze školám - ZŠ Bednářova 28</t>
  </si>
  <si>
    <t>Realizace projektu EU peníze školám - ZŠ Kneslova 28</t>
  </si>
  <si>
    <t>Realizace projektu EU peníze školám - ZŠ Herčíkova 19</t>
  </si>
  <si>
    <t>Realizace projektu EU peníze školám - ZŠ Jasanová 2</t>
  </si>
  <si>
    <t>Realizace projektu EU peníze školám - ZŠ Křivánkovo nám. 11</t>
  </si>
  <si>
    <t>Realizace projektu EU peníze školám - ZŠ Krásného 24</t>
  </si>
  <si>
    <t>Realizace projektu EU peníze školám - ZŠ nám. Míru 3</t>
  </si>
  <si>
    <t>Realizace projektu EU peníze školám - ZŠ Košinova 22</t>
  </si>
  <si>
    <t>Realizace projektu EU peníze školám - ZŠ Hamry 12/576</t>
  </si>
  <si>
    <t>Realizace projektu EU peníze školám - ZŠ Měšťanská 21</t>
  </si>
  <si>
    <t>Realizace projektu EU peníze školám - ZŠ Kuldova 23</t>
  </si>
  <si>
    <t>Realizace projektu EU peníze školám - ZŠ Jana Babáka 1</t>
  </si>
  <si>
    <t>Realizace projektu EU peníze školám - ZŠ a MŠ Blažkova 9</t>
  </si>
  <si>
    <t>Realizace projektu EU peníze školám - ZŠ Sirotkova 36</t>
  </si>
  <si>
    <t>Realizace projektu EU peníze školám - ZŠ Hudcova 35</t>
  </si>
  <si>
    <t>Realizace projektu EU peníze školám - ZŠ a MŠ  J.A. Komenského, nám. Republiky 10</t>
  </si>
  <si>
    <t>Realizace projektu EU peníze školám - ZŠ Mutěnická 23</t>
  </si>
  <si>
    <t>Realizace projektu EU peníze školám - ZŠ Novoměstská 21</t>
  </si>
  <si>
    <t>Realizace projektu EU peníze školám - ZŠ Hroznová 1</t>
  </si>
  <si>
    <t>Realizace projektu EU peníze školám - ZŠ Horácké nám. 13</t>
  </si>
  <si>
    <t>Realizace projektu EU peníze školám - ZŠ Antonínská 3</t>
  </si>
  <si>
    <t>Realizace projektu EU peníze školám - ZŠ Slovanské nám. 2</t>
  </si>
  <si>
    <t>Realizace projektu EU peníze školám - ZŠ Milénova 14</t>
  </si>
  <si>
    <t>Realizace projektu EU peníze školám - ZŠ Kamenačky 4</t>
  </si>
  <si>
    <t>Realizace projektu EU peníze školám - ZŠ Masarova 11</t>
  </si>
  <si>
    <t>Realizace projektu EU peníze školám - ZŠ a MŠ Jihomoravské nám. 2</t>
  </si>
  <si>
    <t>Realizace projektu EU peníze školám - ZŠ a MŠ Bosonožské nám. 44</t>
  </si>
  <si>
    <t>Realizace projektu EU peníze školám - ZŠ a MŠ Merhautova 37</t>
  </si>
  <si>
    <t>Realizace projektu EU peníze školám - ZŠ a MŠ Křenová 21</t>
  </si>
  <si>
    <t>Realizace projektu EU peníze školám - ZŠ nám. Svornosti 7</t>
  </si>
  <si>
    <t>Realizace projektu EU peníze školám - ZŠ a MŠ Husova 17</t>
  </si>
  <si>
    <t>Realizace projektu EU peníze školám - ZŠ Arménská 21</t>
  </si>
  <si>
    <t>Brno - střed - prevence zadlužení a další podpůrné činnosti - Správa nemovitostí MČ Brno - střed</t>
  </si>
  <si>
    <t>Smysluplná škola - rozvoj mezipředmět. vazeb a průřezových témat - ZŠ a MŠ Jihomor.nám. 2</t>
  </si>
  <si>
    <t>Skupinová výuka mimořádně nadaných dětí na Úvoze - ZŠ Úvoz 55</t>
  </si>
  <si>
    <t>Jihomoravské regionální centrum na podporu integrace cizinců  - ZŠ a MŠ Staňkova 14</t>
  </si>
  <si>
    <t xml:space="preserve">Brno - Černovice - oprava tří tenisových kurtů na areálu Kneslova 1a </t>
  </si>
  <si>
    <t>Křenka - zážitkem k inkluzi - ZŠ a MŠ Brno, Křenová 21 - investice</t>
  </si>
  <si>
    <t>Úhrada ztráty vzniklé poskytováním žákovského jízdného dopravci</t>
  </si>
  <si>
    <t>Realizace projektu EU školám - ZŠ Staňkova 14</t>
  </si>
  <si>
    <t>Realizace projektu EU školám - ZŠ Zeiberlichova 49</t>
  </si>
  <si>
    <t>Realizace projektu EU školám - ZŠ a MŠ Vedlejší 10</t>
  </si>
  <si>
    <t>Brno - střed - dotace na zajištění bydlení pro azylanty na území ČR</t>
  </si>
  <si>
    <t>Optimalizace řízení informatiky MMB</t>
  </si>
  <si>
    <t>OD MEZINÁRODNÍCH INSTITUCÍ</t>
  </si>
  <si>
    <t>Brno - Židenice - přímá investiční podpora od EIB-regenerace byt. domů Slívova 1,3,5,7</t>
  </si>
  <si>
    <t>Přírodovědné digitárium - návštěvnické centrum</t>
  </si>
  <si>
    <t xml:space="preserve">Zakoupení inf. technologií pro dopravní výchovu a osvětu v oblasti dopravy </t>
  </si>
  <si>
    <t xml:space="preserve">Brno - Chrlice - likvidace požáru lesního porostu v Bzenci </t>
  </si>
  <si>
    <t xml:space="preserve">Brno - sever - likvidace požáru lesního porostu v Bzenci </t>
  </si>
  <si>
    <t xml:space="preserve">Brno - Židenice - likvidace požáru lesního porostu v Bzenci </t>
  </si>
  <si>
    <t>Program prevence kriminality - Bezpečně na iternetu - kyberšikana</t>
  </si>
  <si>
    <t>Kouzelný svět animace - Muzeum loutek</t>
  </si>
  <si>
    <t xml:space="preserve">Kouzelný svět animace - Muzeum loutek </t>
  </si>
  <si>
    <t xml:space="preserve">Kostnice u sv. Jakuba </t>
  </si>
  <si>
    <t xml:space="preserve">Joštova - úsek Moravské nám. - Komenského nám. </t>
  </si>
  <si>
    <t>Rozš. ubytov. kapacity pro osoby společ. nepřizpůs. Azylového domu Křenová</t>
  </si>
  <si>
    <t xml:space="preserve">Rozš. ubytov. kapacity pro osoby společ. nepřizpůs. Azylového domu Křenová </t>
  </si>
  <si>
    <t xml:space="preserve">Revitalizace městských parků, I. etapa </t>
  </si>
  <si>
    <t xml:space="preserve">Zpřístupnění brněnského podzemí </t>
  </si>
  <si>
    <t>Kostnice u sv. Jakuba</t>
  </si>
  <si>
    <t>Úhrada zvýšených nákladů spojených s provozem aplikace Centrálního registru vozidel v roce 2012</t>
  </si>
  <si>
    <t>REGIONÁLNÍ RADA REGIONU SOUDRŽNOSTI JIHOVÝCHOD</t>
  </si>
  <si>
    <t>Zubní křeslo pro ambulanci LPS - Úrazová nemocnice Brno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</si>
</sst>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0"/>
  </numFmts>
  <fonts count="29">
    <font>
      <sz val="10"/>
      <name val="Arial CE"/>
      <family val="2"/>
    </font>
    <font>
      <sz val="10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4" fontId="8" fillId="24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vertical="center"/>
    </xf>
    <xf numFmtId="4" fontId="3" fillId="24" borderId="11" xfId="0" applyNumberFormat="1" applyFont="1" applyFill="1" applyBorder="1" applyAlignment="1">
      <alignment/>
    </xf>
    <xf numFmtId="1" fontId="8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4" fontId="3" fillId="24" borderId="12" xfId="0" applyNumberFormat="1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4" fontId="5" fillId="24" borderId="13" xfId="0" applyNumberFormat="1" applyFont="1" applyFill="1" applyBorder="1" applyAlignment="1">
      <alignment horizontal="center"/>
    </xf>
    <xf numFmtId="1" fontId="5" fillId="24" borderId="13" xfId="0" applyNumberFormat="1" applyFont="1" applyFill="1" applyBorder="1" applyAlignment="1">
      <alignment horizontal="center"/>
    </xf>
    <xf numFmtId="4" fontId="5" fillId="24" borderId="14" xfId="0" applyNumberFormat="1" applyFont="1" applyFill="1" applyBorder="1" applyAlignment="1">
      <alignment horizontal="center"/>
    </xf>
    <xf numFmtId="1" fontId="5" fillId="24" borderId="14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vertical="center"/>
    </xf>
    <xf numFmtId="4" fontId="2" fillId="24" borderId="11" xfId="0" applyNumberFormat="1" applyFont="1" applyFill="1" applyBorder="1" applyAlignment="1">
      <alignment vertical="center"/>
    </xf>
    <xf numFmtId="4" fontId="8" fillId="24" borderId="11" xfId="0" applyNumberFormat="1" applyFont="1" applyFill="1" applyBorder="1" applyAlignment="1">
      <alignment vertical="center"/>
    </xf>
    <xf numFmtId="4" fontId="3" fillId="24" borderId="15" xfId="0" applyNumberFormat="1" applyFont="1" applyFill="1" applyBorder="1" applyAlignment="1">
      <alignment/>
    </xf>
    <xf numFmtId="4" fontId="3" fillId="24" borderId="16" xfId="0" applyNumberFormat="1" applyFont="1" applyFill="1" applyBorder="1" applyAlignment="1">
      <alignment/>
    </xf>
    <xf numFmtId="4" fontId="8" fillId="24" borderId="11" xfId="0" applyNumberFormat="1" applyFont="1" applyFill="1" applyBorder="1" applyAlignment="1">
      <alignment/>
    </xf>
    <xf numFmtId="4" fontId="2" fillId="24" borderId="17" xfId="0" applyNumberFormat="1" applyFont="1" applyFill="1" applyBorder="1" applyAlignment="1">
      <alignment vertical="center"/>
    </xf>
    <xf numFmtId="4" fontId="3" fillId="24" borderId="11" xfId="0" applyNumberFormat="1" applyFont="1" applyFill="1" applyBorder="1" applyAlignment="1">
      <alignment horizontal="right"/>
    </xf>
    <xf numFmtId="4" fontId="3" fillId="24" borderId="0" xfId="0" applyNumberFormat="1" applyFont="1" applyFill="1" applyAlignment="1">
      <alignment/>
    </xf>
    <xf numFmtId="4" fontId="3" fillId="24" borderId="16" xfId="0" applyNumberFormat="1" applyFont="1" applyFill="1" applyBorder="1" applyAlignment="1">
      <alignment vertical="center"/>
    </xf>
    <xf numFmtId="164" fontId="5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4" fontId="2" fillId="24" borderId="0" xfId="0" applyNumberFormat="1" applyFont="1" applyFill="1" applyBorder="1" applyAlignment="1">
      <alignment horizontal="center"/>
    </xf>
    <xf numFmtId="165" fontId="3" fillId="24" borderId="0" xfId="0" applyNumberFormat="1" applyFont="1" applyFill="1" applyAlignment="1">
      <alignment/>
    </xf>
    <xf numFmtId="14" fontId="2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4" fontId="5" fillId="24" borderId="18" xfId="0" applyNumberFormat="1" applyFont="1" applyFill="1" applyBorder="1" applyAlignment="1">
      <alignment horizontal="right"/>
    </xf>
    <xf numFmtId="4" fontId="3" fillId="24" borderId="18" xfId="0" applyNumberFormat="1" applyFont="1" applyFill="1" applyBorder="1" applyAlignment="1">
      <alignment/>
    </xf>
    <xf numFmtId="1" fontId="3" fillId="24" borderId="18" xfId="0" applyNumberFormat="1" applyFont="1" applyFill="1" applyBorder="1" applyAlignment="1">
      <alignment horizontal="right"/>
    </xf>
    <xf numFmtId="14" fontId="5" fillId="24" borderId="13" xfId="0" applyNumberFormat="1" applyFont="1" applyFill="1" applyBorder="1" applyAlignment="1">
      <alignment horizontal="right"/>
    </xf>
    <xf numFmtId="14" fontId="5" fillId="24" borderId="14" xfId="0" applyNumberFormat="1" applyFont="1" applyFill="1" applyBorder="1" applyAlignment="1">
      <alignment horizontal="center"/>
    </xf>
    <xf numFmtId="14" fontId="3" fillId="24" borderId="11" xfId="0" applyNumberFormat="1" applyFont="1" applyFill="1" applyBorder="1" applyAlignment="1">
      <alignment horizontal="right"/>
    </xf>
    <xf numFmtId="4" fontId="2" fillId="24" borderId="19" xfId="0" applyNumberFormat="1" applyFont="1" applyFill="1" applyBorder="1" applyAlignment="1">
      <alignment vertical="center"/>
    </xf>
    <xf numFmtId="1" fontId="5" fillId="24" borderId="1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/>
    </xf>
    <xf numFmtId="4" fontId="3" fillId="24" borderId="19" xfId="0" applyNumberFormat="1" applyFont="1" applyFill="1" applyBorder="1" applyAlignment="1">
      <alignment vertical="center"/>
    </xf>
    <xf numFmtId="1" fontId="3" fillId="24" borderId="11" xfId="0" applyNumberFormat="1" applyFont="1" applyFill="1" applyBorder="1" applyAlignment="1">
      <alignment/>
    </xf>
    <xf numFmtId="4" fontId="3" fillId="24" borderId="2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/>
    </xf>
    <xf numFmtId="14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right"/>
    </xf>
    <xf numFmtId="1" fontId="3" fillId="24" borderId="11" xfId="0" applyNumberFormat="1" applyFont="1" applyFill="1" applyBorder="1" applyAlignment="1">
      <alignment horizontal="right"/>
    </xf>
    <xf numFmtId="1" fontId="3" fillId="24" borderId="11" xfId="0" applyNumberFormat="1" applyFont="1" applyFill="1" applyBorder="1" applyAlignment="1">
      <alignment horizontal="right" vertical="center"/>
    </xf>
    <xf numFmtId="1" fontId="3" fillId="24" borderId="21" xfId="0" applyNumberFormat="1" applyFont="1" applyFill="1" applyBorder="1" applyAlignment="1">
      <alignment horizontal="right"/>
    </xf>
    <xf numFmtId="4" fontId="2" fillId="24" borderId="20" xfId="0" applyNumberFormat="1" applyFont="1" applyFill="1" applyBorder="1" applyAlignment="1">
      <alignment/>
    </xf>
    <xf numFmtId="4" fontId="3" fillId="24" borderId="20" xfId="0" applyNumberFormat="1" applyFont="1" applyFill="1" applyBorder="1" applyAlignment="1">
      <alignment vertical="center"/>
    </xf>
    <xf numFmtId="14" fontId="8" fillId="24" borderId="10" xfId="0" applyNumberFormat="1" applyFont="1" applyFill="1" applyBorder="1" applyAlignment="1">
      <alignment horizontal="right"/>
    </xf>
    <xf numFmtId="4" fontId="8" fillId="24" borderId="20" xfId="0" applyNumberFormat="1" applyFont="1" applyFill="1" applyBorder="1" applyAlignment="1">
      <alignment/>
    </xf>
    <xf numFmtId="1" fontId="8" fillId="24" borderId="10" xfId="0" applyNumberFormat="1" applyFont="1" applyFill="1" applyBorder="1" applyAlignment="1">
      <alignment horizontal="right"/>
    </xf>
    <xf numFmtId="1" fontId="8" fillId="24" borderId="21" xfId="0" applyNumberFormat="1" applyFont="1" applyFill="1" applyBorder="1" applyAlignment="1">
      <alignment horizontal="right"/>
    </xf>
    <xf numFmtId="4" fontId="8" fillId="24" borderId="0" xfId="0" applyNumberFormat="1" applyFont="1" applyFill="1" applyAlignment="1">
      <alignment/>
    </xf>
    <xf numFmtId="4" fontId="3" fillId="24" borderId="22" xfId="0" applyNumberFormat="1" applyFont="1" applyFill="1" applyBorder="1" applyAlignment="1">
      <alignment vertical="center"/>
    </xf>
    <xf numFmtId="4" fontId="8" fillId="24" borderId="22" xfId="0" applyNumberFormat="1" applyFont="1" applyFill="1" applyBorder="1" applyAlignment="1">
      <alignment/>
    </xf>
    <xf numFmtId="4" fontId="8" fillId="24" borderId="19" xfId="0" applyNumberFormat="1" applyFont="1" applyFill="1" applyBorder="1" applyAlignment="1">
      <alignment vertical="center"/>
    </xf>
    <xf numFmtId="1" fontId="8" fillId="24" borderId="11" xfId="0" applyNumberFormat="1" applyFont="1" applyFill="1" applyBorder="1" applyAlignment="1">
      <alignment horizontal="right"/>
    </xf>
    <xf numFmtId="164" fontId="9" fillId="24" borderId="0" xfId="0" applyNumberFormat="1" applyFont="1" applyFill="1" applyAlignment="1">
      <alignment/>
    </xf>
    <xf numFmtId="4" fontId="2" fillId="24" borderId="20" xfId="0" applyNumberFormat="1" applyFont="1" applyFill="1" applyBorder="1" applyAlignment="1">
      <alignment vertical="center"/>
    </xf>
    <xf numFmtId="4" fontId="2" fillId="24" borderId="19" xfId="0" applyNumberFormat="1" applyFont="1" applyFill="1" applyBorder="1" applyAlignment="1">
      <alignment/>
    </xf>
    <xf numFmtId="14" fontId="3" fillId="24" borderId="12" xfId="0" applyNumberFormat="1" applyFont="1" applyFill="1" applyBorder="1" applyAlignment="1">
      <alignment horizontal="right"/>
    </xf>
    <xf numFmtId="4" fontId="3" fillId="24" borderId="23" xfId="0" applyNumberFormat="1" applyFont="1" applyFill="1" applyBorder="1" applyAlignment="1">
      <alignment/>
    </xf>
    <xf numFmtId="1" fontId="3" fillId="24" borderId="12" xfId="0" applyNumberFormat="1" applyFont="1" applyFill="1" applyBorder="1" applyAlignment="1">
      <alignment horizontal="right"/>
    </xf>
    <xf numFmtId="14" fontId="3" fillId="24" borderId="0" xfId="0" applyNumberFormat="1" applyFont="1" applyFill="1" applyBorder="1" applyAlignment="1">
      <alignment horizontal="right"/>
    </xf>
    <xf numFmtId="14" fontId="8" fillId="24" borderId="11" xfId="0" applyNumberFormat="1" applyFont="1" applyFill="1" applyBorder="1" applyAlignment="1">
      <alignment horizontal="right"/>
    </xf>
    <xf numFmtId="1" fontId="8" fillId="24" borderId="11" xfId="0" applyNumberFormat="1" applyFont="1" applyFill="1" applyBorder="1" applyAlignment="1">
      <alignment/>
    </xf>
    <xf numFmtId="14" fontId="8" fillId="24" borderId="0" xfId="0" applyNumberFormat="1" applyFont="1" applyFill="1" applyAlignment="1">
      <alignment horizontal="right"/>
    </xf>
    <xf numFmtId="1" fontId="8" fillId="24" borderId="0" xfId="0" applyNumberFormat="1" applyFont="1" applyFill="1" applyAlignment="1">
      <alignment/>
    </xf>
    <xf numFmtId="164" fontId="8" fillId="24" borderId="0" xfId="0" applyNumberFormat="1" applyFont="1" applyFill="1" applyAlignment="1">
      <alignment/>
    </xf>
    <xf numFmtId="165" fontId="8" fillId="24" borderId="0" xfId="0" applyNumberFormat="1" applyFont="1" applyFill="1" applyAlignment="1">
      <alignment/>
    </xf>
    <xf numFmtId="4" fontId="3" fillId="25" borderId="0" xfId="0" applyNumberFormat="1" applyFont="1" applyFill="1" applyAlignment="1">
      <alignment/>
    </xf>
    <xf numFmtId="4" fontId="8" fillId="25" borderId="0" xfId="0" applyNumberFormat="1" applyFont="1" applyFill="1" applyAlignment="1">
      <alignment/>
    </xf>
    <xf numFmtId="14" fontId="3" fillId="24" borderId="0" xfId="0" applyNumberFormat="1" applyFont="1" applyFill="1" applyAlignment="1">
      <alignment horizontal="right"/>
    </xf>
    <xf numFmtId="14" fontId="5" fillId="24" borderId="0" xfId="0" applyNumberFormat="1" applyFont="1" applyFill="1" applyBorder="1" applyAlignment="1">
      <alignment horizontal="right"/>
    </xf>
    <xf numFmtId="14" fontId="5" fillId="24" borderId="24" xfId="0" applyNumberFormat="1" applyFont="1" applyFill="1" applyBorder="1" applyAlignment="1">
      <alignment horizontal="right"/>
    </xf>
    <xf numFmtId="4" fontId="5" fillId="24" borderId="25" xfId="0" applyNumberFormat="1" applyFont="1" applyFill="1" applyBorder="1" applyAlignment="1">
      <alignment horizontal="center"/>
    </xf>
    <xf numFmtId="14" fontId="3" fillId="24" borderId="24" xfId="0" applyNumberFormat="1" applyFont="1" applyFill="1" applyBorder="1" applyAlignment="1">
      <alignment horizontal="right"/>
    </xf>
    <xf numFmtId="4" fontId="3" fillId="24" borderId="26" xfId="0" applyNumberFormat="1" applyFont="1" applyFill="1" applyBorder="1" applyAlignment="1">
      <alignment/>
    </xf>
    <xf numFmtId="4" fontId="2" fillId="24" borderId="27" xfId="0" applyNumberFormat="1" applyFont="1" applyFill="1" applyBorder="1" applyAlignment="1">
      <alignment/>
    </xf>
    <xf numFmtId="4" fontId="3" fillId="24" borderId="28" xfId="0" applyNumberFormat="1" applyFont="1" applyFill="1" applyBorder="1" applyAlignment="1">
      <alignment/>
    </xf>
    <xf numFmtId="1" fontId="3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>
      <alignment horizontal="right"/>
    </xf>
    <xf numFmtId="1" fontId="5" fillId="24" borderId="29" xfId="0" applyNumberFormat="1" applyFont="1" applyFill="1" applyBorder="1" applyAlignment="1">
      <alignment horizontal="center"/>
    </xf>
    <xf numFmtId="1" fontId="3" fillId="24" borderId="29" xfId="0" applyNumberFormat="1" applyFont="1" applyFill="1" applyBorder="1" applyAlignment="1">
      <alignment/>
    </xf>
    <xf numFmtId="1" fontId="3" fillId="24" borderId="29" xfId="0" applyNumberFormat="1" applyFont="1" applyFill="1" applyBorder="1" applyAlignment="1">
      <alignment horizontal="right"/>
    </xf>
    <xf numFmtId="4" fontId="3" fillId="24" borderId="0" xfId="0" applyNumberFormat="1" applyFont="1" applyFill="1" applyBorder="1" applyAlignment="1">
      <alignment horizontal="right"/>
    </xf>
    <xf numFmtId="14" fontId="3" fillId="24" borderId="21" xfId="0" applyNumberFormat="1" applyFont="1" applyFill="1" applyBorder="1" applyAlignment="1">
      <alignment horizontal="right"/>
    </xf>
    <xf numFmtId="4" fontId="3" fillId="24" borderId="30" xfId="0" applyNumberFormat="1" applyFont="1" applyFill="1" applyBorder="1" applyAlignment="1">
      <alignment/>
    </xf>
    <xf numFmtId="1" fontId="3" fillId="24" borderId="21" xfId="0" applyNumberFormat="1" applyFont="1" applyFill="1" applyBorder="1" applyAlignment="1">
      <alignment/>
    </xf>
    <xf numFmtId="1" fontId="3" fillId="24" borderId="16" xfId="0" applyNumberFormat="1" applyFont="1" applyFill="1" applyBorder="1" applyAlignment="1">
      <alignment horizontal="right"/>
    </xf>
    <xf numFmtId="4" fontId="3" fillId="24" borderId="31" xfId="0" applyNumberFormat="1" applyFont="1" applyFill="1" applyBorder="1" applyAlignment="1">
      <alignment/>
    </xf>
    <xf numFmtId="4" fontId="3" fillId="24" borderId="22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right"/>
    </xf>
    <xf numFmtId="4" fontId="27" fillId="24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3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12.00390625" style="73" customWidth="1"/>
    <col min="2" max="2" width="90.25390625" style="59" customWidth="1"/>
    <col min="3" max="3" width="19.25390625" style="78" customWidth="1"/>
    <col min="4" max="4" width="19.25390625" style="77" customWidth="1"/>
    <col min="5" max="5" width="11.875" style="74" customWidth="1"/>
    <col min="6" max="6" width="10.875" style="74" customWidth="1"/>
    <col min="7" max="7" width="21.25390625" style="75" customWidth="1"/>
    <col min="8" max="8" width="20.875" style="76" bestFit="1" customWidth="1"/>
    <col min="9" max="9" width="14.625" style="59" customWidth="1"/>
    <col min="10" max="10" width="16.25390625" style="59" bestFit="1" customWidth="1"/>
    <col min="11" max="11" width="26.875" style="59" customWidth="1"/>
    <col min="12" max="12" width="14.125" style="59" customWidth="1"/>
    <col min="13" max="16384" width="9.125" style="59" customWidth="1"/>
  </cols>
  <sheetData>
    <row r="1" spans="1:8" s="25" customFormat="1" ht="22.5">
      <c r="A1" s="100" t="s">
        <v>196</v>
      </c>
      <c r="B1" s="100"/>
      <c r="C1" s="100"/>
      <c r="D1" s="100"/>
      <c r="E1" s="100"/>
      <c r="F1" s="100"/>
      <c r="G1" s="28"/>
      <c r="H1" s="30"/>
    </row>
    <row r="2" spans="1:8" s="25" customFormat="1" ht="22.5">
      <c r="A2" s="100" t="s">
        <v>62</v>
      </c>
      <c r="B2" s="100"/>
      <c r="C2" s="100"/>
      <c r="D2" s="100"/>
      <c r="E2" s="100"/>
      <c r="F2" s="100"/>
      <c r="G2" s="28"/>
      <c r="H2" s="30"/>
    </row>
    <row r="3" spans="1:8" s="25" customFormat="1" ht="10.5" customHeight="1">
      <c r="A3" s="31"/>
      <c r="B3" s="32"/>
      <c r="C3" s="29"/>
      <c r="D3" s="32"/>
      <c r="E3" s="33"/>
      <c r="F3" s="33"/>
      <c r="G3" s="28"/>
      <c r="H3" s="30"/>
    </row>
    <row r="4" spans="1:8" s="25" customFormat="1" ht="5.25" customHeight="1" thickBot="1">
      <c r="A4" s="34"/>
      <c r="B4" s="35"/>
      <c r="C4" s="29"/>
      <c r="D4" s="29"/>
      <c r="E4" s="36"/>
      <c r="F4" s="33"/>
      <c r="G4" s="28"/>
      <c r="H4" s="30"/>
    </row>
    <row r="5" spans="1:8" s="25" customFormat="1" ht="15.75">
      <c r="A5" s="37"/>
      <c r="B5" s="13"/>
      <c r="C5" s="13"/>
      <c r="D5" s="13"/>
      <c r="E5" s="14"/>
      <c r="F5" s="14"/>
      <c r="G5" s="28"/>
      <c r="H5" s="30"/>
    </row>
    <row r="6" spans="1:11" s="25" customFormat="1" ht="16.5" thickBot="1">
      <c r="A6" s="38" t="s">
        <v>76</v>
      </c>
      <c r="B6" s="15" t="s">
        <v>77</v>
      </c>
      <c r="C6" s="15" t="s">
        <v>78</v>
      </c>
      <c r="D6" s="15" t="s">
        <v>79</v>
      </c>
      <c r="E6" s="16" t="s">
        <v>80</v>
      </c>
      <c r="F6" s="16" t="s">
        <v>81</v>
      </c>
      <c r="G6" s="28"/>
      <c r="H6" s="30"/>
      <c r="I6" s="30"/>
      <c r="J6" s="30"/>
      <c r="K6" s="30"/>
    </row>
    <row r="7" spans="1:12" s="42" customFormat="1" ht="23.25" customHeight="1">
      <c r="A7" s="39"/>
      <c r="B7" s="40" t="s">
        <v>82</v>
      </c>
      <c r="C7" s="23">
        <f>+SUM(C8:C14)</f>
        <v>43632.701</v>
      </c>
      <c r="D7" s="23">
        <f>+SUM(D8:D14)</f>
        <v>43632701</v>
      </c>
      <c r="E7" s="41"/>
      <c r="F7" s="41"/>
      <c r="G7" s="28"/>
      <c r="H7" s="30"/>
      <c r="I7" s="30"/>
      <c r="J7" s="30"/>
      <c r="K7" s="30"/>
      <c r="L7" s="25"/>
    </row>
    <row r="8" spans="1:11" s="25" customFormat="1" ht="15.75">
      <c r="A8" s="39" t="s">
        <v>159</v>
      </c>
      <c r="B8" s="43" t="s">
        <v>83</v>
      </c>
      <c r="C8" s="17">
        <f>1152.294+6618</f>
        <v>7770.294</v>
      </c>
      <c r="D8" s="17">
        <f>1152294+6618000</f>
        <v>7770294</v>
      </c>
      <c r="E8" s="44">
        <v>98216</v>
      </c>
      <c r="F8" s="44">
        <v>4111</v>
      </c>
      <c r="G8" s="28"/>
      <c r="H8" s="30"/>
      <c r="I8" s="30"/>
      <c r="J8" s="30"/>
      <c r="K8" s="30"/>
    </row>
    <row r="9" spans="1:11" s="25" customFormat="1" ht="15.75">
      <c r="A9" s="39" t="s">
        <v>200</v>
      </c>
      <c r="B9" s="43" t="s">
        <v>83</v>
      </c>
      <c r="C9" s="17">
        <v>7770.294</v>
      </c>
      <c r="D9" s="17">
        <v>7770294</v>
      </c>
      <c r="E9" s="44">
        <v>98216</v>
      </c>
      <c r="F9" s="44">
        <v>4111</v>
      </c>
      <c r="G9" s="28"/>
      <c r="H9" s="30"/>
      <c r="I9" s="30"/>
      <c r="J9" s="30"/>
      <c r="K9" s="30"/>
    </row>
    <row r="10" spans="1:11" s="25" customFormat="1" ht="15.75">
      <c r="A10" s="39" t="s">
        <v>305</v>
      </c>
      <c r="B10" s="43" t="s">
        <v>83</v>
      </c>
      <c r="C10" s="17">
        <f>7239.557</f>
        <v>7239.557</v>
      </c>
      <c r="D10" s="17">
        <v>7239557</v>
      </c>
      <c r="E10" s="44">
        <v>98216</v>
      </c>
      <c r="F10" s="44">
        <v>4111</v>
      </c>
      <c r="G10" s="28"/>
      <c r="H10" s="30"/>
      <c r="I10" s="30"/>
      <c r="J10" s="30"/>
      <c r="K10" s="30"/>
    </row>
    <row r="11" spans="1:11" s="25" customFormat="1" ht="15.75">
      <c r="A11" s="39" t="s">
        <v>315</v>
      </c>
      <c r="B11" s="45" t="s">
        <v>314</v>
      </c>
      <c r="C11" s="17">
        <v>1125</v>
      </c>
      <c r="D11" s="17">
        <v>1125000</v>
      </c>
      <c r="E11" s="44">
        <v>98007</v>
      </c>
      <c r="F11" s="44">
        <v>4111</v>
      </c>
      <c r="G11" s="28"/>
      <c r="H11" s="30"/>
      <c r="I11" s="30"/>
      <c r="J11" s="30"/>
      <c r="K11" s="30"/>
    </row>
    <row r="12" spans="1:11" s="25" customFormat="1" ht="15.75">
      <c r="A12" s="39" t="s">
        <v>326</v>
      </c>
      <c r="B12" s="43" t="s">
        <v>369</v>
      </c>
      <c r="C12" s="17">
        <v>580</v>
      </c>
      <c r="D12" s="17">
        <v>580000</v>
      </c>
      <c r="E12" s="44">
        <v>98008</v>
      </c>
      <c r="F12" s="44">
        <v>4111</v>
      </c>
      <c r="G12" s="28"/>
      <c r="H12" s="30"/>
      <c r="I12" s="30"/>
      <c r="J12" s="30"/>
      <c r="K12" s="30"/>
    </row>
    <row r="13" spans="1:11" s="25" customFormat="1" ht="15.75">
      <c r="A13" s="39">
        <v>41176</v>
      </c>
      <c r="B13" s="46" t="s">
        <v>368</v>
      </c>
      <c r="C13" s="17">
        <v>11908</v>
      </c>
      <c r="D13" s="17">
        <v>11908000</v>
      </c>
      <c r="E13" s="44">
        <v>98193</v>
      </c>
      <c r="F13" s="44">
        <v>4111</v>
      </c>
      <c r="G13" s="28"/>
      <c r="H13" s="30"/>
      <c r="I13" s="30"/>
      <c r="J13" s="30"/>
      <c r="K13" s="30"/>
    </row>
    <row r="14" spans="1:11" s="25" customFormat="1" ht="15.75">
      <c r="A14" s="39">
        <v>41178</v>
      </c>
      <c r="B14" s="43" t="s">
        <v>83</v>
      </c>
      <c r="C14" s="17">
        <v>7239.556</v>
      </c>
      <c r="D14" s="17">
        <v>7239556</v>
      </c>
      <c r="E14" s="44">
        <v>98216</v>
      </c>
      <c r="F14" s="44">
        <v>4111</v>
      </c>
      <c r="G14" s="28"/>
      <c r="H14" s="30"/>
      <c r="I14" s="30"/>
      <c r="J14" s="30"/>
      <c r="K14" s="30"/>
    </row>
    <row r="15" spans="1:11" s="25" customFormat="1" ht="15.75">
      <c r="A15" s="39"/>
      <c r="B15" s="45"/>
      <c r="C15" s="17"/>
      <c r="D15" s="17"/>
      <c r="E15" s="44"/>
      <c r="F15" s="44"/>
      <c r="G15" s="28"/>
      <c r="H15" s="30"/>
      <c r="I15" s="30"/>
      <c r="J15" s="30"/>
      <c r="K15" s="30"/>
    </row>
    <row r="16" spans="1:11" s="25" customFormat="1" ht="15.75">
      <c r="A16" s="47"/>
      <c r="B16" s="40" t="s">
        <v>84</v>
      </c>
      <c r="C16" s="7">
        <f>+SUM(C17:C25)</f>
        <v>10031.1</v>
      </c>
      <c r="D16" s="7">
        <f>+SUM(D17:D25)</f>
        <v>10021471</v>
      </c>
      <c r="E16" s="48"/>
      <c r="F16" s="49"/>
      <c r="G16" s="28"/>
      <c r="H16" s="30"/>
      <c r="I16" s="30"/>
      <c r="J16" s="30"/>
      <c r="K16" s="30"/>
    </row>
    <row r="17" spans="1:11" s="25" customFormat="1" ht="15.75">
      <c r="A17" s="47"/>
      <c r="B17" s="43" t="s">
        <v>86</v>
      </c>
      <c r="C17" s="17">
        <v>194</v>
      </c>
      <c r="D17" s="17">
        <f>100252+92875</f>
        <v>193127</v>
      </c>
      <c r="E17" s="44">
        <v>92241</v>
      </c>
      <c r="F17" s="49" t="s">
        <v>85</v>
      </c>
      <c r="G17" s="28"/>
      <c r="H17" s="30"/>
      <c r="I17" s="30"/>
      <c r="J17" s="30"/>
      <c r="K17" s="30"/>
    </row>
    <row r="18" spans="1:11" s="25" customFormat="1" ht="15.75">
      <c r="A18" s="47"/>
      <c r="B18" s="43" t="s">
        <v>250</v>
      </c>
      <c r="C18" s="17">
        <v>569.1</v>
      </c>
      <c r="D18" s="17">
        <f>296127+272997</f>
        <v>569124</v>
      </c>
      <c r="E18" s="44">
        <v>92241</v>
      </c>
      <c r="F18" s="49" t="s">
        <v>85</v>
      </c>
      <c r="G18" s="28"/>
      <c r="H18" s="30"/>
      <c r="I18" s="30"/>
      <c r="J18" s="30"/>
      <c r="K18" s="30"/>
    </row>
    <row r="19" spans="1:11" s="25" customFormat="1" ht="15.75">
      <c r="A19" s="47"/>
      <c r="B19" s="43" t="s">
        <v>289</v>
      </c>
      <c r="C19" s="17">
        <v>1471</v>
      </c>
      <c r="D19" s="17">
        <f>735625+735625</f>
        <v>1471250</v>
      </c>
      <c r="E19" s="44">
        <v>92241</v>
      </c>
      <c r="F19" s="49" t="s">
        <v>85</v>
      </c>
      <c r="G19" s="28"/>
      <c r="H19" s="30"/>
      <c r="I19" s="30"/>
      <c r="J19" s="30"/>
      <c r="K19" s="30"/>
    </row>
    <row r="20" spans="1:11" s="25" customFormat="1" ht="15.75">
      <c r="A20" s="47"/>
      <c r="B20" s="43" t="s">
        <v>87</v>
      </c>
      <c r="C20" s="17">
        <v>786.63</v>
      </c>
      <c r="D20" s="17">
        <v>786638</v>
      </c>
      <c r="E20" s="44">
        <v>92241</v>
      </c>
      <c r="F20" s="49" t="s">
        <v>85</v>
      </c>
      <c r="G20" s="28"/>
      <c r="H20" s="30"/>
      <c r="I20" s="30"/>
      <c r="J20" s="30"/>
      <c r="K20" s="30"/>
    </row>
    <row r="21" spans="1:11" s="25" customFormat="1" ht="15.75">
      <c r="A21" s="47"/>
      <c r="B21" s="43" t="s">
        <v>88</v>
      </c>
      <c r="C21" s="17">
        <f>1776.7+259.1</f>
        <v>2035.8000000000002</v>
      </c>
      <c r="D21" s="17">
        <f>1776730+259136</f>
        <v>2035866</v>
      </c>
      <c r="E21" s="44">
        <v>92241</v>
      </c>
      <c r="F21" s="49" t="s">
        <v>85</v>
      </c>
      <c r="G21" s="28"/>
      <c r="H21" s="30"/>
      <c r="I21" s="30"/>
      <c r="J21" s="30"/>
      <c r="K21" s="30"/>
    </row>
    <row r="22" spans="1:11" s="25" customFormat="1" ht="15.75">
      <c r="A22" s="47"/>
      <c r="B22" s="43" t="s">
        <v>89</v>
      </c>
      <c r="C22" s="17">
        <v>69.5</v>
      </c>
      <c r="D22" s="17">
        <v>61664</v>
      </c>
      <c r="E22" s="44">
        <v>92241</v>
      </c>
      <c r="F22" s="49" t="s">
        <v>85</v>
      </c>
      <c r="G22" s="28"/>
      <c r="H22" s="30"/>
      <c r="I22" s="30"/>
      <c r="J22" s="30"/>
      <c r="K22" s="30"/>
    </row>
    <row r="23" spans="1:11" s="25" customFormat="1" ht="15.75">
      <c r="A23" s="47"/>
      <c r="B23" s="43" t="s">
        <v>90</v>
      </c>
      <c r="C23" s="17">
        <v>1801.07</v>
      </c>
      <c r="D23" s="17">
        <f>1470253+330817</f>
        <v>1801070</v>
      </c>
      <c r="E23" s="44">
        <v>92241</v>
      </c>
      <c r="F23" s="49" t="s">
        <v>85</v>
      </c>
      <c r="G23" s="28"/>
      <c r="H23" s="30"/>
      <c r="I23" s="30"/>
      <c r="J23" s="30"/>
      <c r="K23" s="30"/>
    </row>
    <row r="24" spans="1:11" s="25" customFormat="1" ht="15.75">
      <c r="A24" s="47"/>
      <c r="B24" s="43" t="s">
        <v>91</v>
      </c>
      <c r="C24" s="17">
        <v>2215</v>
      </c>
      <c r="D24" s="17">
        <v>2214086</v>
      </c>
      <c r="E24" s="44">
        <v>92241</v>
      </c>
      <c r="F24" s="49" t="s">
        <v>85</v>
      </c>
      <c r="G24" s="28"/>
      <c r="H24" s="30"/>
      <c r="I24" s="30"/>
      <c r="J24" s="30"/>
      <c r="K24" s="30"/>
    </row>
    <row r="25" spans="1:11" s="25" customFormat="1" ht="15.75">
      <c r="A25" s="39"/>
      <c r="B25" s="43" t="s">
        <v>248</v>
      </c>
      <c r="C25" s="17">
        <v>889</v>
      </c>
      <c r="D25" s="17">
        <f>444323+444323</f>
        <v>888646</v>
      </c>
      <c r="E25" s="44">
        <v>92241</v>
      </c>
      <c r="F25" s="49" t="s">
        <v>85</v>
      </c>
      <c r="G25" s="28"/>
      <c r="H25" s="30"/>
      <c r="I25" s="30"/>
      <c r="J25" s="30"/>
      <c r="K25" s="30"/>
    </row>
    <row r="26" spans="1:11" s="25" customFormat="1" ht="15.75">
      <c r="A26" s="39"/>
      <c r="B26" s="43"/>
      <c r="C26" s="17"/>
      <c r="D26" s="17"/>
      <c r="E26" s="44"/>
      <c r="F26" s="44"/>
      <c r="G26" s="28"/>
      <c r="H26" s="30"/>
      <c r="I26" s="30"/>
      <c r="J26" s="30"/>
      <c r="K26" s="30"/>
    </row>
    <row r="27" spans="1:11" s="25" customFormat="1" ht="15.75">
      <c r="A27" s="39"/>
      <c r="B27" s="4" t="s">
        <v>92</v>
      </c>
      <c r="C27" s="18">
        <f>+C28+C29</f>
        <v>721.73214</v>
      </c>
      <c r="D27" s="18">
        <f>+D28+D29</f>
        <v>721732.14</v>
      </c>
      <c r="E27" s="44"/>
      <c r="F27" s="44"/>
      <c r="G27" s="28"/>
      <c r="H27" s="30"/>
      <c r="I27" s="30"/>
      <c r="J27" s="30"/>
      <c r="K27" s="30"/>
    </row>
    <row r="28" spans="1:11" s="25" customFormat="1" ht="15.75">
      <c r="A28" s="39" t="s">
        <v>213</v>
      </c>
      <c r="B28" s="43" t="s">
        <v>290</v>
      </c>
      <c r="C28" s="17">
        <v>249.855</v>
      </c>
      <c r="D28" s="17">
        <v>249855</v>
      </c>
      <c r="E28" s="44">
        <v>90190</v>
      </c>
      <c r="F28" s="44">
        <v>4113</v>
      </c>
      <c r="G28" s="28"/>
      <c r="H28" s="30"/>
      <c r="I28" s="30"/>
      <c r="J28" s="30"/>
      <c r="K28" s="30"/>
    </row>
    <row r="29" spans="1:11" s="25" customFormat="1" ht="15.75">
      <c r="A29" s="39">
        <v>41183</v>
      </c>
      <c r="B29" s="43" t="s">
        <v>75</v>
      </c>
      <c r="C29" s="5">
        <v>471.87714</v>
      </c>
      <c r="D29" s="20">
        <v>471877.14</v>
      </c>
      <c r="E29" s="44">
        <v>90001</v>
      </c>
      <c r="F29" s="44">
        <v>4113</v>
      </c>
      <c r="G29" s="28"/>
      <c r="H29" s="30"/>
      <c r="I29" s="30"/>
      <c r="J29" s="30"/>
      <c r="K29" s="30"/>
    </row>
    <row r="30" spans="1:11" s="25" customFormat="1" ht="15.75">
      <c r="A30" s="39"/>
      <c r="B30" s="43"/>
      <c r="C30" s="17"/>
      <c r="D30" s="17"/>
      <c r="E30" s="44"/>
      <c r="F30" s="44"/>
      <c r="G30" s="28"/>
      <c r="H30" s="30"/>
      <c r="I30" s="30"/>
      <c r="J30" s="30"/>
      <c r="K30" s="30"/>
    </row>
    <row r="31" spans="1:11" s="25" customFormat="1" ht="15.75">
      <c r="A31" s="39"/>
      <c r="B31" s="4" t="s">
        <v>93</v>
      </c>
      <c r="C31" s="18">
        <f>+C32</f>
        <v>233.65</v>
      </c>
      <c r="D31" s="18">
        <f>+D32</f>
        <v>233647.88999999998</v>
      </c>
      <c r="E31" s="44"/>
      <c r="F31" s="44"/>
      <c r="G31" s="28"/>
      <c r="H31" s="30"/>
      <c r="I31" s="30"/>
      <c r="J31" s="30"/>
      <c r="K31" s="30"/>
    </row>
    <row r="32" spans="1:11" s="25" customFormat="1" ht="15.75">
      <c r="A32" s="39"/>
      <c r="B32" s="3" t="s">
        <v>94</v>
      </c>
      <c r="C32" s="5">
        <v>233.65</v>
      </c>
      <c r="D32" s="20">
        <f>105914.97+63866.46+63866.46</f>
        <v>233647.88999999998</v>
      </c>
      <c r="E32" s="44">
        <v>89023</v>
      </c>
      <c r="F32" s="44">
        <v>4113</v>
      </c>
      <c r="G32" s="28"/>
      <c r="H32" s="30"/>
      <c r="I32" s="30"/>
      <c r="J32" s="30"/>
      <c r="K32" s="30"/>
    </row>
    <row r="33" spans="1:11" s="25" customFormat="1" ht="15.75">
      <c r="A33" s="39"/>
      <c r="B33" s="43"/>
      <c r="C33" s="17"/>
      <c r="D33" s="17"/>
      <c r="E33" s="44"/>
      <c r="F33" s="44"/>
      <c r="G33" s="28"/>
      <c r="H33" s="30"/>
      <c r="I33" s="30"/>
      <c r="J33" s="30"/>
      <c r="K33" s="30"/>
    </row>
    <row r="34" spans="1:12" s="42" customFormat="1" ht="15.75">
      <c r="A34" s="39"/>
      <c r="B34" s="40" t="s">
        <v>95</v>
      </c>
      <c r="C34" s="4">
        <f>SUM(C35:C55)</f>
        <v>5115.67</v>
      </c>
      <c r="D34" s="4">
        <f>SUM(D35:D55)</f>
        <v>3596952</v>
      </c>
      <c r="E34" s="41"/>
      <c r="F34" s="41"/>
      <c r="G34" s="28"/>
      <c r="H34" s="30"/>
      <c r="I34" s="30"/>
      <c r="J34" s="30"/>
      <c r="K34" s="30"/>
      <c r="L34" s="25"/>
    </row>
    <row r="35" spans="1:12" s="42" customFormat="1" ht="15.75">
      <c r="A35" s="39"/>
      <c r="B35" s="43" t="s">
        <v>96</v>
      </c>
      <c r="C35" s="17">
        <v>10</v>
      </c>
      <c r="D35" s="17">
        <v>10000</v>
      </c>
      <c r="E35" s="50" t="s">
        <v>97</v>
      </c>
      <c r="F35" s="49" t="s">
        <v>98</v>
      </c>
      <c r="G35" s="28"/>
      <c r="H35" s="30"/>
      <c r="I35" s="30"/>
      <c r="J35" s="30"/>
      <c r="K35" s="30"/>
      <c r="L35" s="25"/>
    </row>
    <row r="36" spans="1:12" s="42" customFormat="1" ht="15.75">
      <c r="A36" s="39"/>
      <c r="B36" s="43" t="s">
        <v>284</v>
      </c>
      <c r="C36" s="17">
        <v>135</v>
      </c>
      <c r="D36" s="17">
        <v>113423</v>
      </c>
      <c r="E36" s="50" t="s">
        <v>97</v>
      </c>
      <c r="F36" s="49" t="s">
        <v>98</v>
      </c>
      <c r="G36" s="28"/>
      <c r="H36" s="30"/>
      <c r="I36" s="30"/>
      <c r="J36" s="30"/>
      <c r="K36" s="30"/>
      <c r="L36" s="25"/>
    </row>
    <row r="37" spans="1:12" s="42" customFormat="1" ht="15.75">
      <c r="A37" s="39"/>
      <c r="B37" s="43" t="s">
        <v>99</v>
      </c>
      <c r="C37" s="17">
        <v>77.35</v>
      </c>
      <c r="D37" s="17">
        <v>77348</v>
      </c>
      <c r="E37" s="50" t="s">
        <v>97</v>
      </c>
      <c r="F37" s="49" t="s">
        <v>98</v>
      </c>
      <c r="G37" s="28"/>
      <c r="H37" s="30"/>
      <c r="I37" s="30"/>
      <c r="J37" s="30"/>
      <c r="K37" s="30"/>
      <c r="L37" s="25"/>
    </row>
    <row r="38" spans="1:12" s="42" customFormat="1" ht="15.75">
      <c r="A38" s="39"/>
      <c r="B38" s="43" t="s">
        <v>100</v>
      </c>
      <c r="C38" s="17">
        <v>100</v>
      </c>
      <c r="D38" s="17">
        <v>99544</v>
      </c>
      <c r="E38" s="50" t="s">
        <v>97</v>
      </c>
      <c r="F38" s="49" t="s">
        <v>98</v>
      </c>
      <c r="G38" s="28"/>
      <c r="H38" s="30"/>
      <c r="I38" s="30"/>
      <c r="J38" s="30"/>
      <c r="K38" s="30"/>
      <c r="L38" s="25"/>
    </row>
    <row r="39" spans="1:12" s="42" customFormat="1" ht="15.75">
      <c r="A39" s="39"/>
      <c r="B39" s="43" t="s">
        <v>50</v>
      </c>
      <c r="C39" s="17">
        <v>16</v>
      </c>
      <c r="D39" s="17">
        <v>16000</v>
      </c>
      <c r="E39" s="50">
        <v>13101</v>
      </c>
      <c r="F39" s="49">
        <v>4116</v>
      </c>
      <c r="G39" s="28"/>
      <c r="H39" s="30"/>
      <c r="I39" s="30"/>
      <c r="J39" s="30"/>
      <c r="K39" s="30"/>
      <c r="L39" s="25"/>
    </row>
    <row r="40" spans="1:12" s="42" customFormat="1" ht="15.75">
      <c r="A40" s="39"/>
      <c r="B40" s="43" t="s">
        <v>285</v>
      </c>
      <c r="C40" s="17">
        <v>1826.14</v>
      </c>
      <c r="D40" s="17">
        <v>661802</v>
      </c>
      <c r="E40" s="50" t="s">
        <v>97</v>
      </c>
      <c r="F40" s="49" t="s">
        <v>98</v>
      </c>
      <c r="G40" s="28"/>
      <c r="H40" s="30"/>
      <c r="I40" s="30"/>
      <c r="J40" s="30"/>
      <c r="K40" s="30"/>
      <c r="L40" s="25"/>
    </row>
    <row r="41" spans="1:12" s="42" customFormat="1" ht="15.75">
      <c r="A41" s="39"/>
      <c r="B41" s="43" t="s">
        <v>101</v>
      </c>
      <c r="C41" s="17">
        <v>576.8</v>
      </c>
      <c r="D41" s="2">
        <v>321475</v>
      </c>
      <c r="E41" s="50" t="s">
        <v>97</v>
      </c>
      <c r="F41" s="49" t="s">
        <v>98</v>
      </c>
      <c r="G41" s="28"/>
      <c r="H41" s="30"/>
      <c r="I41" s="30"/>
      <c r="J41" s="30"/>
      <c r="K41" s="30"/>
      <c r="L41" s="25"/>
    </row>
    <row r="42" spans="1:11" s="25" customFormat="1" ht="15.75">
      <c r="A42" s="47"/>
      <c r="B42" s="43" t="s">
        <v>186</v>
      </c>
      <c r="C42" s="17">
        <v>23.36</v>
      </c>
      <c r="D42" s="17">
        <v>23360</v>
      </c>
      <c r="E42" s="51" t="s">
        <v>102</v>
      </c>
      <c r="F42" s="49" t="s">
        <v>98</v>
      </c>
      <c r="G42" s="28"/>
      <c r="H42" s="30"/>
      <c r="I42" s="30"/>
      <c r="J42" s="30"/>
      <c r="K42" s="30"/>
    </row>
    <row r="43" spans="1:11" s="25" customFormat="1" ht="15.75">
      <c r="A43" s="47"/>
      <c r="B43" s="43" t="s">
        <v>378</v>
      </c>
      <c r="C43" s="17">
        <v>36</v>
      </c>
      <c r="D43" s="17">
        <v>36000</v>
      </c>
      <c r="E43" s="51">
        <v>13234</v>
      </c>
      <c r="F43" s="49">
        <v>4116</v>
      </c>
      <c r="G43" s="28"/>
      <c r="H43" s="30"/>
      <c r="I43" s="30"/>
      <c r="J43" s="30"/>
      <c r="K43" s="30"/>
    </row>
    <row r="44" spans="1:11" s="25" customFormat="1" ht="15.75">
      <c r="A44" s="47"/>
      <c r="B44" s="43" t="s">
        <v>103</v>
      </c>
      <c r="C44" s="17">
        <v>104</v>
      </c>
      <c r="D44" s="17">
        <v>103410</v>
      </c>
      <c r="E44" s="51" t="s">
        <v>102</v>
      </c>
      <c r="F44" s="49" t="s">
        <v>98</v>
      </c>
      <c r="G44" s="28"/>
      <c r="H44" s="30"/>
      <c r="I44" s="30"/>
      <c r="J44" s="30"/>
      <c r="K44" s="30"/>
    </row>
    <row r="45" spans="1:11" s="25" customFormat="1" ht="15.75">
      <c r="A45" s="47"/>
      <c r="B45" s="43" t="s">
        <v>104</v>
      </c>
      <c r="C45" s="17">
        <v>431.68</v>
      </c>
      <c r="D45" s="17">
        <v>431683</v>
      </c>
      <c r="E45" s="51" t="s">
        <v>102</v>
      </c>
      <c r="F45" s="49" t="s">
        <v>98</v>
      </c>
      <c r="G45" s="28"/>
      <c r="H45" s="30"/>
      <c r="I45" s="30"/>
      <c r="J45" s="30"/>
      <c r="K45" s="30"/>
    </row>
    <row r="46" spans="1:11" s="25" customFormat="1" ht="15.75">
      <c r="A46" s="47"/>
      <c r="B46" s="43" t="s">
        <v>379</v>
      </c>
      <c r="C46" s="17">
        <v>90</v>
      </c>
      <c r="D46" s="17">
        <v>74997</v>
      </c>
      <c r="E46" s="51">
        <v>13234</v>
      </c>
      <c r="F46" s="49">
        <v>4116</v>
      </c>
      <c r="G46" s="28"/>
      <c r="H46" s="30"/>
      <c r="I46" s="30"/>
      <c r="J46" s="30"/>
      <c r="K46" s="30"/>
    </row>
    <row r="47" spans="1:11" s="25" customFormat="1" ht="15.75">
      <c r="A47" s="47"/>
      <c r="B47" s="43" t="s">
        <v>380</v>
      </c>
      <c r="C47" s="17">
        <v>36</v>
      </c>
      <c r="D47" s="17">
        <v>36000</v>
      </c>
      <c r="E47" s="51">
        <v>13234</v>
      </c>
      <c r="F47" s="49">
        <v>4116</v>
      </c>
      <c r="G47" s="28"/>
      <c r="H47" s="30"/>
      <c r="I47" s="30"/>
      <c r="J47" s="30"/>
      <c r="K47" s="30"/>
    </row>
    <row r="48" spans="1:11" s="25" customFormat="1" ht="15.75">
      <c r="A48" s="47"/>
      <c r="B48" s="43" t="s">
        <v>105</v>
      </c>
      <c r="C48" s="17">
        <v>45.99</v>
      </c>
      <c r="D48" s="17">
        <v>45992</v>
      </c>
      <c r="E48" s="51">
        <v>13234</v>
      </c>
      <c r="F48" s="49" t="s">
        <v>98</v>
      </c>
      <c r="G48" s="28"/>
      <c r="H48" s="30"/>
      <c r="I48" s="30"/>
      <c r="J48" s="30"/>
      <c r="K48" s="30"/>
    </row>
    <row r="49" spans="1:11" s="25" customFormat="1" ht="15.75">
      <c r="A49" s="47"/>
      <c r="B49" s="43" t="s">
        <v>106</v>
      </c>
      <c r="C49" s="17">
        <v>59.48</v>
      </c>
      <c r="D49" s="17">
        <v>59482</v>
      </c>
      <c r="E49" s="51" t="s">
        <v>102</v>
      </c>
      <c r="F49" s="49" t="s">
        <v>98</v>
      </c>
      <c r="G49" s="28"/>
      <c r="H49" s="30"/>
      <c r="I49" s="30"/>
      <c r="J49" s="30"/>
      <c r="K49" s="30"/>
    </row>
    <row r="50" spans="1:11" s="25" customFormat="1" ht="15.75">
      <c r="A50" s="47"/>
      <c r="B50" s="43" t="s">
        <v>107</v>
      </c>
      <c r="C50" s="17">
        <f>2261-1826.13</f>
        <v>434.8699999999999</v>
      </c>
      <c r="D50" s="17">
        <v>434863</v>
      </c>
      <c r="E50" s="51" t="s">
        <v>102</v>
      </c>
      <c r="F50" s="49" t="s">
        <v>98</v>
      </c>
      <c r="G50" s="28"/>
      <c r="H50" s="30"/>
      <c r="I50" s="30"/>
      <c r="J50" s="30"/>
      <c r="K50" s="30"/>
    </row>
    <row r="51" spans="1:11" s="25" customFormat="1" ht="15.75">
      <c r="A51" s="47"/>
      <c r="B51" s="43" t="s">
        <v>108</v>
      </c>
      <c r="C51" s="17">
        <v>858</v>
      </c>
      <c r="D51" s="17">
        <v>826482</v>
      </c>
      <c r="E51" s="51">
        <v>13234</v>
      </c>
      <c r="F51" s="49" t="s">
        <v>98</v>
      </c>
      <c r="G51" s="28"/>
      <c r="H51" s="30"/>
      <c r="I51" s="30"/>
      <c r="J51" s="30"/>
      <c r="K51" s="30"/>
    </row>
    <row r="52" spans="1:11" s="25" customFormat="1" ht="15.75">
      <c r="A52" s="47"/>
      <c r="B52" s="43" t="s">
        <v>187</v>
      </c>
      <c r="C52" s="17">
        <v>18</v>
      </c>
      <c r="D52" s="17">
        <v>18000</v>
      </c>
      <c r="E52" s="51" t="s">
        <v>102</v>
      </c>
      <c r="F52" s="49" t="s">
        <v>98</v>
      </c>
      <c r="G52" s="28"/>
      <c r="H52" s="30"/>
      <c r="I52" s="30"/>
      <c r="J52" s="30"/>
      <c r="K52" s="30"/>
    </row>
    <row r="53" spans="1:11" s="25" customFormat="1" ht="15.75">
      <c r="A53" s="47"/>
      <c r="B53" s="43" t="s">
        <v>109</v>
      </c>
      <c r="C53" s="17">
        <v>96</v>
      </c>
      <c r="D53" s="17">
        <v>96091</v>
      </c>
      <c r="E53" s="51" t="s">
        <v>102</v>
      </c>
      <c r="F53" s="49" t="s">
        <v>98</v>
      </c>
      <c r="G53" s="28"/>
      <c r="H53" s="30"/>
      <c r="I53" s="30"/>
      <c r="J53" s="30"/>
      <c r="K53" s="30"/>
    </row>
    <row r="54" spans="1:11" s="25" customFormat="1" ht="15.75">
      <c r="A54" s="47"/>
      <c r="B54" s="43" t="s">
        <v>110</v>
      </c>
      <c r="C54" s="17">
        <v>36</v>
      </c>
      <c r="D54" s="17">
        <v>36000</v>
      </c>
      <c r="E54" s="51" t="s">
        <v>102</v>
      </c>
      <c r="F54" s="49" t="s">
        <v>98</v>
      </c>
      <c r="G54" s="28"/>
      <c r="H54" s="30"/>
      <c r="I54" s="30"/>
      <c r="J54" s="30"/>
      <c r="K54" s="30"/>
    </row>
    <row r="55" spans="1:11" s="25" customFormat="1" ht="15.75">
      <c r="A55" s="47"/>
      <c r="B55" s="43" t="s">
        <v>10</v>
      </c>
      <c r="C55" s="17">
        <v>105</v>
      </c>
      <c r="D55" s="17">
        <v>75000</v>
      </c>
      <c r="E55" s="51">
        <v>13234</v>
      </c>
      <c r="F55" s="52">
        <v>4116</v>
      </c>
      <c r="G55" s="28"/>
      <c r="H55" s="30"/>
      <c r="I55" s="30"/>
      <c r="J55" s="30"/>
      <c r="K55" s="30"/>
    </row>
    <row r="56" spans="1:11" s="25" customFormat="1" ht="15.75">
      <c r="A56" s="47"/>
      <c r="B56" s="45"/>
      <c r="C56" s="17"/>
      <c r="D56" s="17"/>
      <c r="E56" s="49"/>
      <c r="F56" s="52"/>
      <c r="G56" s="28"/>
      <c r="H56" s="30"/>
      <c r="I56" s="30"/>
      <c r="J56" s="30"/>
      <c r="K56" s="30"/>
    </row>
    <row r="57" spans="1:11" s="25" customFormat="1" ht="15.75">
      <c r="A57" s="47"/>
      <c r="B57" s="53" t="s">
        <v>147</v>
      </c>
      <c r="C57" s="18">
        <f>+C58+C59</f>
        <v>543.108</v>
      </c>
      <c r="D57" s="18">
        <f>+D58+D59</f>
        <v>543108</v>
      </c>
      <c r="E57" s="49"/>
      <c r="F57" s="52"/>
      <c r="G57" s="28"/>
      <c r="H57" s="30"/>
      <c r="I57" s="30"/>
      <c r="J57" s="30"/>
      <c r="K57" s="30"/>
    </row>
    <row r="58" spans="1:11" s="25" customFormat="1" ht="15.75">
      <c r="A58" s="47" t="s">
        <v>277</v>
      </c>
      <c r="B58" s="43" t="s">
        <v>276</v>
      </c>
      <c r="C58" s="17">
        <v>358.108</v>
      </c>
      <c r="D58" s="17">
        <v>358108</v>
      </c>
      <c r="E58" s="51" t="s">
        <v>278</v>
      </c>
      <c r="F58" s="49" t="s">
        <v>98</v>
      </c>
      <c r="G58" s="28"/>
      <c r="H58" s="30"/>
      <c r="I58" s="30"/>
      <c r="J58" s="30"/>
      <c r="K58" s="30"/>
    </row>
    <row r="59" spans="1:11" s="25" customFormat="1" ht="15.75">
      <c r="A59" s="47">
        <v>41262</v>
      </c>
      <c r="B59" s="54" t="s">
        <v>457</v>
      </c>
      <c r="C59" s="17">
        <v>185</v>
      </c>
      <c r="D59" s="17">
        <v>185000</v>
      </c>
      <c r="E59" s="51">
        <v>27003</v>
      </c>
      <c r="F59" s="52">
        <v>4116</v>
      </c>
      <c r="G59" s="28"/>
      <c r="H59" s="30"/>
      <c r="I59" s="30"/>
      <c r="J59" s="30"/>
      <c r="K59" s="30"/>
    </row>
    <row r="60" spans="1:12" ht="15.75">
      <c r="A60" s="55"/>
      <c r="B60" s="56"/>
      <c r="C60" s="19"/>
      <c r="D60" s="17"/>
      <c r="E60" s="57"/>
      <c r="F60" s="58"/>
      <c r="G60" s="28"/>
      <c r="H60" s="30"/>
      <c r="I60" s="30"/>
      <c r="J60" s="30"/>
      <c r="K60" s="30"/>
      <c r="L60" s="25"/>
    </row>
    <row r="61" spans="1:11" s="25" customFormat="1" ht="15.75">
      <c r="A61" s="47"/>
      <c r="B61" s="53" t="s">
        <v>111</v>
      </c>
      <c r="C61" s="18">
        <f>+SUM(C62:C97)</f>
        <v>18394.485999999997</v>
      </c>
      <c r="D61" s="18">
        <f>+SUM(D62:D97)</f>
        <v>18394486</v>
      </c>
      <c r="E61" s="49"/>
      <c r="F61" s="52"/>
      <c r="G61" s="28"/>
      <c r="H61" s="30"/>
      <c r="I61" s="30"/>
      <c r="J61" s="30"/>
      <c r="K61" s="30"/>
    </row>
    <row r="62" spans="1:11" s="25" customFormat="1" ht="15.75">
      <c r="A62" s="47" t="s">
        <v>203</v>
      </c>
      <c r="B62" s="43" t="s">
        <v>204</v>
      </c>
      <c r="C62" s="17">
        <v>700</v>
      </c>
      <c r="D62" s="17">
        <v>700000</v>
      </c>
      <c r="E62" s="49" t="s">
        <v>205</v>
      </c>
      <c r="F62" s="52" t="s">
        <v>98</v>
      </c>
      <c r="G62" s="28"/>
      <c r="H62" s="30"/>
      <c r="I62" s="30"/>
      <c r="J62" s="30"/>
      <c r="K62" s="30"/>
    </row>
    <row r="63" spans="1:11" s="25" customFormat="1" ht="15.75">
      <c r="A63" s="47" t="s">
        <v>208</v>
      </c>
      <c r="B63" s="43" t="s">
        <v>209</v>
      </c>
      <c r="C63" s="17">
        <v>320</v>
      </c>
      <c r="D63" s="17">
        <v>320000</v>
      </c>
      <c r="E63" s="49" t="s">
        <v>112</v>
      </c>
      <c r="F63" s="52" t="s">
        <v>98</v>
      </c>
      <c r="G63" s="28"/>
      <c r="H63" s="30"/>
      <c r="I63" s="30"/>
      <c r="J63" s="30"/>
      <c r="K63" s="30"/>
    </row>
    <row r="64" spans="1:11" s="25" customFormat="1" ht="15.75">
      <c r="A64" s="47" t="s">
        <v>219</v>
      </c>
      <c r="B64" s="43" t="s">
        <v>236</v>
      </c>
      <c r="C64" s="17">
        <v>300</v>
      </c>
      <c r="D64" s="17">
        <v>300000</v>
      </c>
      <c r="E64" s="49" t="s">
        <v>112</v>
      </c>
      <c r="F64" s="52" t="s">
        <v>98</v>
      </c>
      <c r="G64" s="28"/>
      <c r="H64" s="30"/>
      <c r="I64" s="30"/>
      <c r="J64" s="30"/>
      <c r="K64" s="30"/>
    </row>
    <row r="65" spans="1:11" s="25" customFormat="1" ht="15.75">
      <c r="A65" s="47" t="s">
        <v>219</v>
      </c>
      <c r="B65" s="43" t="s">
        <v>237</v>
      </c>
      <c r="C65" s="17">
        <v>250</v>
      </c>
      <c r="D65" s="17">
        <v>250000</v>
      </c>
      <c r="E65" s="49" t="s">
        <v>112</v>
      </c>
      <c r="F65" s="52" t="s">
        <v>98</v>
      </c>
      <c r="G65" s="28"/>
      <c r="H65" s="30"/>
      <c r="I65" s="30"/>
      <c r="J65" s="30"/>
      <c r="K65" s="30"/>
    </row>
    <row r="66" spans="1:11" s="25" customFormat="1" ht="15.75">
      <c r="A66" s="47" t="s">
        <v>239</v>
      </c>
      <c r="B66" s="43" t="s">
        <v>381</v>
      </c>
      <c r="C66" s="17">
        <v>40</v>
      </c>
      <c r="D66" s="17">
        <v>40000</v>
      </c>
      <c r="E66" s="49" t="s">
        <v>112</v>
      </c>
      <c r="F66" s="52" t="s">
        <v>98</v>
      </c>
      <c r="G66" s="28"/>
      <c r="H66" s="30"/>
      <c r="I66" s="30"/>
      <c r="J66" s="30"/>
      <c r="K66" s="30"/>
    </row>
    <row r="67" spans="1:11" s="25" customFormat="1" ht="15.75">
      <c r="A67" s="47" t="s">
        <v>239</v>
      </c>
      <c r="B67" s="43" t="s">
        <v>238</v>
      </c>
      <c r="C67" s="17">
        <v>350</v>
      </c>
      <c r="D67" s="17">
        <v>350000</v>
      </c>
      <c r="E67" s="49" t="s">
        <v>112</v>
      </c>
      <c r="F67" s="52" t="s">
        <v>98</v>
      </c>
      <c r="G67" s="28"/>
      <c r="H67" s="30"/>
      <c r="I67" s="30"/>
      <c r="J67" s="30"/>
      <c r="K67" s="30"/>
    </row>
    <row r="68" spans="1:11" s="25" customFormat="1" ht="15.75">
      <c r="A68" s="47" t="s">
        <v>228</v>
      </c>
      <c r="B68" s="43" t="s">
        <v>291</v>
      </c>
      <c r="C68" s="17">
        <v>65</v>
      </c>
      <c r="D68" s="17">
        <v>65000</v>
      </c>
      <c r="E68" s="49" t="s">
        <v>112</v>
      </c>
      <c r="F68" s="52" t="s">
        <v>98</v>
      </c>
      <c r="G68" s="28"/>
      <c r="H68" s="30"/>
      <c r="I68" s="30"/>
      <c r="J68" s="30"/>
      <c r="K68" s="30"/>
    </row>
    <row r="69" spans="1:11" s="25" customFormat="1" ht="15.75">
      <c r="A69" s="47" t="s">
        <v>252</v>
      </c>
      <c r="B69" s="43" t="s">
        <v>382</v>
      </c>
      <c r="C69" s="17">
        <v>125</v>
      </c>
      <c r="D69" s="17">
        <v>125000</v>
      </c>
      <c r="E69" s="49" t="s">
        <v>260</v>
      </c>
      <c r="F69" s="52" t="s">
        <v>98</v>
      </c>
      <c r="G69" s="28"/>
      <c r="H69" s="30"/>
      <c r="I69" s="30"/>
      <c r="J69" s="30"/>
      <c r="K69" s="30"/>
    </row>
    <row r="70" spans="1:11" s="25" customFormat="1" ht="15.75">
      <c r="A70" s="47" t="s">
        <v>262</v>
      </c>
      <c r="B70" s="43" t="s">
        <v>261</v>
      </c>
      <c r="C70" s="17">
        <v>20</v>
      </c>
      <c r="D70" s="17">
        <v>20000</v>
      </c>
      <c r="E70" s="49" t="s">
        <v>112</v>
      </c>
      <c r="F70" s="52" t="s">
        <v>98</v>
      </c>
      <c r="G70" s="28"/>
      <c r="H70" s="30"/>
      <c r="I70" s="30"/>
      <c r="J70" s="30"/>
      <c r="K70" s="30"/>
    </row>
    <row r="71" spans="1:11" s="25" customFormat="1" ht="15.75">
      <c r="A71" s="47" t="s">
        <v>265</v>
      </c>
      <c r="B71" s="43" t="s">
        <v>264</v>
      </c>
      <c r="C71" s="17">
        <v>942</v>
      </c>
      <c r="D71" s="17">
        <v>942000</v>
      </c>
      <c r="E71" s="49" t="s">
        <v>266</v>
      </c>
      <c r="F71" s="52" t="s">
        <v>98</v>
      </c>
      <c r="G71" s="28"/>
      <c r="H71" s="30"/>
      <c r="I71" s="30"/>
      <c r="J71" s="30"/>
      <c r="K71" s="30"/>
    </row>
    <row r="72" spans="1:11" s="25" customFormat="1" ht="15.75">
      <c r="A72" s="47" t="s">
        <v>268</v>
      </c>
      <c r="B72" s="43" t="s">
        <v>267</v>
      </c>
      <c r="C72" s="17">
        <v>25</v>
      </c>
      <c r="D72" s="17">
        <v>25000</v>
      </c>
      <c r="E72" s="49" t="s">
        <v>269</v>
      </c>
      <c r="F72" s="52" t="s">
        <v>98</v>
      </c>
      <c r="G72" s="28"/>
      <c r="H72" s="30"/>
      <c r="I72" s="30"/>
      <c r="J72" s="30"/>
      <c r="K72" s="30"/>
    </row>
    <row r="73" spans="1:11" s="25" customFormat="1" ht="15.75">
      <c r="A73" s="47" t="s">
        <v>259</v>
      </c>
      <c r="B73" s="43" t="s">
        <v>292</v>
      </c>
      <c r="C73" s="17">
        <v>45</v>
      </c>
      <c r="D73" s="17">
        <v>45000</v>
      </c>
      <c r="E73" s="49" t="s">
        <v>269</v>
      </c>
      <c r="F73" s="52" t="s">
        <v>98</v>
      </c>
      <c r="G73" s="28"/>
      <c r="H73" s="30"/>
      <c r="I73" s="30"/>
      <c r="J73" s="30"/>
      <c r="K73" s="30"/>
    </row>
    <row r="74" spans="1:11" s="25" customFormat="1" ht="15.75">
      <c r="A74" s="47" t="s">
        <v>286</v>
      </c>
      <c r="B74" s="43" t="s">
        <v>298</v>
      </c>
      <c r="C74" s="17">
        <v>230</v>
      </c>
      <c r="D74" s="17">
        <v>230000</v>
      </c>
      <c r="E74" s="49" t="s">
        <v>260</v>
      </c>
      <c r="F74" s="52" t="s">
        <v>98</v>
      </c>
      <c r="G74" s="28"/>
      <c r="H74" s="30"/>
      <c r="I74" s="30"/>
      <c r="J74" s="30"/>
      <c r="K74" s="30"/>
    </row>
    <row r="75" spans="1:11" s="25" customFormat="1" ht="15.75">
      <c r="A75" s="47" t="s">
        <v>305</v>
      </c>
      <c r="B75" s="43" t="s">
        <v>306</v>
      </c>
      <c r="C75" s="17">
        <v>2000</v>
      </c>
      <c r="D75" s="17">
        <v>2000000</v>
      </c>
      <c r="E75" s="49" t="s">
        <v>266</v>
      </c>
      <c r="F75" s="52" t="s">
        <v>98</v>
      </c>
      <c r="G75" s="28"/>
      <c r="H75" s="30"/>
      <c r="I75" s="30"/>
      <c r="J75" s="30"/>
      <c r="K75" s="30"/>
    </row>
    <row r="76" spans="1:11" s="25" customFormat="1" ht="15.75">
      <c r="A76" s="47" t="s">
        <v>305</v>
      </c>
      <c r="B76" s="43" t="s">
        <v>307</v>
      </c>
      <c r="C76" s="17">
        <v>1000</v>
      </c>
      <c r="D76" s="17">
        <v>1000000</v>
      </c>
      <c r="E76" s="49" t="s">
        <v>266</v>
      </c>
      <c r="F76" s="52" t="s">
        <v>98</v>
      </c>
      <c r="G76" s="28"/>
      <c r="H76" s="30"/>
      <c r="I76" s="30"/>
      <c r="J76" s="30"/>
      <c r="K76" s="30"/>
    </row>
    <row r="77" spans="1:11" s="25" customFormat="1" ht="15.75">
      <c r="A77" s="47" t="s">
        <v>305</v>
      </c>
      <c r="B77" s="43" t="s">
        <v>308</v>
      </c>
      <c r="C77" s="17">
        <v>535</v>
      </c>
      <c r="D77" s="17">
        <v>535000</v>
      </c>
      <c r="E77" s="49" t="s">
        <v>266</v>
      </c>
      <c r="F77" s="52" t="s">
        <v>98</v>
      </c>
      <c r="G77" s="28"/>
      <c r="H77" s="30"/>
      <c r="I77" s="30"/>
      <c r="J77" s="30"/>
      <c r="K77" s="30"/>
    </row>
    <row r="78" spans="1:11" s="25" customFormat="1" ht="15.75">
      <c r="A78" s="47" t="s">
        <v>305</v>
      </c>
      <c r="B78" s="43" t="s">
        <v>309</v>
      </c>
      <c r="C78" s="17">
        <v>1000</v>
      </c>
      <c r="D78" s="17">
        <v>1000000</v>
      </c>
      <c r="E78" s="49" t="s">
        <v>266</v>
      </c>
      <c r="F78" s="52" t="s">
        <v>98</v>
      </c>
      <c r="G78" s="28"/>
      <c r="H78" s="30"/>
      <c r="I78" s="30"/>
      <c r="J78" s="30"/>
      <c r="K78" s="30"/>
    </row>
    <row r="79" spans="1:11" s="25" customFormat="1" ht="15.75">
      <c r="A79" s="47" t="s">
        <v>305</v>
      </c>
      <c r="B79" s="43" t="s">
        <v>310</v>
      </c>
      <c r="C79" s="17">
        <v>95</v>
      </c>
      <c r="D79" s="17">
        <v>95000</v>
      </c>
      <c r="E79" s="49" t="s">
        <v>260</v>
      </c>
      <c r="F79" s="52" t="s">
        <v>98</v>
      </c>
      <c r="G79" s="28"/>
      <c r="H79" s="30"/>
      <c r="I79" s="30"/>
      <c r="J79" s="30"/>
      <c r="K79" s="30"/>
    </row>
    <row r="80" spans="1:11" s="25" customFormat="1" ht="15.75">
      <c r="A80" s="47" t="s">
        <v>318</v>
      </c>
      <c r="B80" s="43" t="s">
        <v>319</v>
      </c>
      <c r="C80" s="17">
        <v>40</v>
      </c>
      <c r="D80" s="17">
        <v>40000</v>
      </c>
      <c r="E80" s="49" t="s">
        <v>112</v>
      </c>
      <c r="F80" s="52" t="s">
        <v>98</v>
      </c>
      <c r="G80" s="28"/>
      <c r="H80" s="30"/>
      <c r="I80" s="30"/>
      <c r="J80" s="30"/>
      <c r="K80" s="30"/>
    </row>
    <row r="81" spans="1:11" s="25" customFormat="1" ht="15.75">
      <c r="A81" s="47" t="s">
        <v>329</v>
      </c>
      <c r="B81" s="43" t="s">
        <v>327</v>
      </c>
      <c r="C81" s="17">
        <v>3290</v>
      </c>
      <c r="D81" s="17">
        <v>3290000</v>
      </c>
      <c r="E81" s="49" t="s">
        <v>266</v>
      </c>
      <c r="F81" s="52" t="s">
        <v>98</v>
      </c>
      <c r="G81" s="28"/>
      <c r="H81" s="30"/>
      <c r="I81" s="30"/>
      <c r="J81" s="30"/>
      <c r="K81" s="30"/>
    </row>
    <row r="82" spans="1:11" s="25" customFormat="1" ht="15.75">
      <c r="A82" s="47" t="s">
        <v>329</v>
      </c>
      <c r="B82" s="43" t="s">
        <v>307</v>
      </c>
      <c r="C82" s="17">
        <v>1285</v>
      </c>
      <c r="D82" s="17">
        <v>1285000</v>
      </c>
      <c r="E82" s="49" t="s">
        <v>266</v>
      </c>
      <c r="F82" s="52" t="s">
        <v>98</v>
      </c>
      <c r="G82" s="28"/>
      <c r="H82" s="30"/>
      <c r="I82" s="30"/>
      <c r="J82" s="30"/>
      <c r="K82" s="30"/>
    </row>
    <row r="83" spans="1:11" s="25" customFormat="1" ht="15.75">
      <c r="A83" s="47" t="s">
        <v>329</v>
      </c>
      <c r="B83" s="43" t="s">
        <v>328</v>
      </c>
      <c r="C83" s="17">
        <v>1085</v>
      </c>
      <c r="D83" s="17">
        <v>1085000</v>
      </c>
      <c r="E83" s="49" t="s">
        <v>266</v>
      </c>
      <c r="F83" s="52" t="s">
        <v>98</v>
      </c>
      <c r="G83" s="28"/>
      <c r="H83" s="30"/>
      <c r="I83" s="30"/>
      <c r="J83" s="30"/>
      <c r="K83" s="30"/>
    </row>
    <row r="84" spans="1:11" s="25" customFormat="1" ht="15.75">
      <c r="A84" s="47" t="s">
        <v>330</v>
      </c>
      <c r="B84" s="43" t="s">
        <v>150</v>
      </c>
      <c r="C84" s="17">
        <v>4.872</v>
      </c>
      <c r="D84" s="17">
        <v>4872</v>
      </c>
      <c r="E84" s="49" t="s">
        <v>331</v>
      </c>
      <c r="F84" s="52" t="s">
        <v>98</v>
      </c>
      <c r="G84" s="28"/>
      <c r="H84" s="30"/>
      <c r="I84" s="30"/>
      <c r="J84" s="30"/>
      <c r="K84" s="30"/>
    </row>
    <row r="85" spans="1:11" s="25" customFormat="1" ht="15.75">
      <c r="A85" s="47" t="s">
        <v>330</v>
      </c>
      <c r="B85" s="43" t="s">
        <v>152</v>
      </c>
      <c r="C85" s="17">
        <v>27.614</v>
      </c>
      <c r="D85" s="17">
        <v>27614</v>
      </c>
      <c r="E85" s="49" t="s">
        <v>332</v>
      </c>
      <c r="F85" s="52" t="s">
        <v>98</v>
      </c>
      <c r="G85" s="28"/>
      <c r="H85" s="30"/>
      <c r="I85" s="30"/>
      <c r="J85" s="30"/>
      <c r="K85" s="30"/>
    </row>
    <row r="86" spans="1:11" s="25" customFormat="1" ht="15.75">
      <c r="A86" s="47" t="s">
        <v>334</v>
      </c>
      <c r="B86" s="43" t="s">
        <v>374</v>
      </c>
      <c r="C86" s="17">
        <v>60</v>
      </c>
      <c r="D86" s="17">
        <v>60000</v>
      </c>
      <c r="E86" s="49" t="s">
        <v>112</v>
      </c>
      <c r="F86" s="52" t="s">
        <v>98</v>
      </c>
      <c r="G86" s="28"/>
      <c r="H86" s="30"/>
      <c r="I86" s="30"/>
      <c r="J86" s="30"/>
      <c r="K86" s="30"/>
    </row>
    <row r="87" spans="1:11" s="25" customFormat="1" ht="15.75">
      <c r="A87" s="47">
        <v>41127</v>
      </c>
      <c r="B87" s="43" t="s">
        <v>340</v>
      </c>
      <c r="C87" s="3">
        <v>700</v>
      </c>
      <c r="D87" s="3">
        <v>700000</v>
      </c>
      <c r="E87" s="49">
        <v>34054</v>
      </c>
      <c r="F87" s="49">
        <v>4116</v>
      </c>
      <c r="G87" s="28"/>
      <c r="H87" s="30"/>
      <c r="I87" s="30"/>
      <c r="J87" s="30"/>
      <c r="K87" s="30"/>
    </row>
    <row r="88" spans="1:11" s="25" customFormat="1" ht="15.75">
      <c r="A88" s="47">
        <v>41127</v>
      </c>
      <c r="B88" s="43" t="s">
        <v>384</v>
      </c>
      <c r="C88" s="3">
        <v>500</v>
      </c>
      <c r="D88" s="3">
        <v>500000</v>
      </c>
      <c r="E88" s="49">
        <v>34054</v>
      </c>
      <c r="F88" s="49">
        <v>4116</v>
      </c>
      <c r="G88" s="28"/>
      <c r="H88" s="30"/>
      <c r="I88" s="30"/>
      <c r="J88" s="30"/>
      <c r="K88" s="30"/>
    </row>
    <row r="89" spans="1:11" s="25" customFormat="1" ht="15.75">
      <c r="A89" s="47">
        <v>41127</v>
      </c>
      <c r="B89" s="43" t="s">
        <v>341</v>
      </c>
      <c r="C89" s="17">
        <v>725</v>
      </c>
      <c r="D89" s="17">
        <v>725000</v>
      </c>
      <c r="E89" s="49">
        <v>34054</v>
      </c>
      <c r="F89" s="52">
        <v>4116</v>
      </c>
      <c r="G89" s="28"/>
      <c r="H89" s="30"/>
      <c r="I89" s="30"/>
      <c r="J89" s="30"/>
      <c r="K89" s="30"/>
    </row>
    <row r="90" spans="1:11" s="25" customFormat="1" ht="15.75">
      <c r="A90" s="47">
        <v>41170</v>
      </c>
      <c r="B90" s="43" t="s">
        <v>365</v>
      </c>
      <c r="C90" s="17">
        <v>100</v>
      </c>
      <c r="D90" s="17">
        <v>100000</v>
      </c>
      <c r="E90" s="49">
        <v>34070</v>
      </c>
      <c r="F90" s="52">
        <v>4116</v>
      </c>
      <c r="G90" s="28"/>
      <c r="H90" s="30"/>
      <c r="I90" s="30"/>
      <c r="J90" s="30"/>
      <c r="K90" s="30"/>
    </row>
    <row r="91" spans="1:11" s="25" customFormat="1" ht="15.75">
      <c r="A91" s="47">
        <v>41191</v>
      </c>
      <c r="B91" s="43" t="s">
        <v>72</v>
      </c>
      <c r="C91" s="17">
        <v>140</v>
      </c>
      <c r="D91" s="17">
        <v>140000</v>
      </c>
      <c r="E91" s="49">
        <v>34002</v>
      </c>
      <c r="F91" s="52">
        <v>4116</v>
      </c>
      <c r="G91" s="28"/>
      <c r="H91" s="30"/>
      <c r="I91" s="30"/>
      <c r="J91" s="30"/>
      <c r="K91" s="30"/>
    </row>
    <row r="92" spans="1:11" s="25" customFormat="1" ht="15.75">
      <c r="A92" s="47">
        <v>41191</v>
      </c>
      <c r="B92" s="43" t="s">
        <v>73</v>
      </c>
      <c r="C92" s="17">
        <v>674</v>
      </c>
      <c r="D92" s="17">
        <v>674000</v>
      </c>
      <c r="E92" s="49">
        <v>34002</v>
      </c>
      <c r="F92" s="52">
        <v>4116</v>
      </c>
      <c r="G92" s="28"/>
      <c r="H92" s="30"/>
      <c r="I92" s="30"/>
      <c r="J92" s="30"/>
      <c r="K92" s="30"/>
    </row>
    <row r="93" spans="1:11" s="25" customFormat="1" ht="15.75">
      <c r="A93" s="47">
        <v>41191</v>
      </c>
      <c r="B93" s="43" t="s">
        <v>74</v>
      </c>
      <c r="C93" s="3">
        <v>426</v>
      </c>
      <c r="D93" s="3">
        <v>426000</v>
      </c>
      <c r="E93" s="49">
        <v>34002</v>
      </c>
      <c r="F93" s="49">
        <v>4116</v>
      </c>
      <c r="G93" s="28"/>
      <c r="H93" s="30"/>
      <c r="I93" s="30"/>
      <c r="J93" s="30"/>
      <c r="K93" s="30"/>
    </row>
    <row r="94" spans="1:11" s="25" customFormat="1" ht="15.75">
      <c r="A94" s="47">
        <v>41212</v>
      </c>
      <c r="B94" s="43" t="s">
        <v>0</v>
      </c>
      <c r="C94" s="3">
        <v>750</v>
      </c>
      <c r="D94" s="3">
        <v>750000</v>
      </c>
      <c r="E94" s="49">
        <v>34070</v>
      </c>
      <c r="F94" s="49">
        <v>4116</v>
      </c>
      <c r="G94" s="28"/>
      <c r="H94" s="30"/>
      <c r="I94" s="30"/>
      <c r="J94" s="30"/>
      <c r="K94" s="30"/>
    </row>
    <row r="95" spans="1:11" s="25" customFormat="1" ht="15.75">
      <c r="A95" s="47"/>
      <c r="B95" s="43" t="s">
        <v>385</v>
      </c>
      <c r="C95" s="17">
        <v>60</v>
      </c>
      <c r="D95" s="17">
        <v>60000</v>
      </c>
      <c r="E95" s="49" t="s">
        <v>263</v>
      </c>
      <c r="F95" s="52" t="s">
        <v>98</v>
      </c>
      <c r="G95" s="28"/>
      <c r="H95" s="30"/>
      <c r="I95" s="30"/>
      <c r="J95" s="30"/>
      <c r="K95" s="30"/>
    </row>
    <row r="96" spans="1:11" s="25" customFormat="1" ht="15.75">
      <c r="A96" s="47"/>
      <c r="B96" s="54" t="s">
        <v>383</v>
      </c>
      <c r="C96" s="17">
        <v>485</v>
      </c>
      <c r="D96" s="17">
        <v>485000</v>
      </c>
      <c r="E96" s="49" t="s">
        <v>266</v>
      </c>
      <c r="F96" s="52" t="s">
        <v>98</v>
      </c>
      <c r="G96" s="28"/>
      <c r="H96" s="30"/>
      <c r="I96" s="30"/>
      <c r="J96" s="30"/>
      <c r="K96" s="30"/>
    </row>
    <row r="97" spans="1:12" ht="15.75">
      <c r="A97" s="55"/>
      <c r="B97" s="56"/>
      <c r="C97" s="19"/>
      <c r="D97" s="17"/>
      <c r="E97" s="57"/>
      <c r="F97" s="58"/>
      <c r="G97" s="28"/>
      <c r="H97" s="30"/>
      <c r="I97" s="30"/>
      <c r="J97" s="30"/>
      <c r="K97" s="30"/>
      <c r="L97" s="25"/>
    </row>
    <row r="98" spans="1:11" s="25" customFormat="1" ht="15.75">
      <c r="A98" s="47"/>
      <c r="B98" s="53" t="s">
        <v>113</v>
      </c>
      <c r="C98" s="18">
        <f>SUM(C99:C167)</f>
        <v>61356.08524999999</v>
      </c>
      <c r="D98" s="18">
        <f>SUM(D99:D167)</f>
        <v>61356085.99999999</v>
      </c>
      <c r="E98" s="49"/>
      <c r="F98" s="52"/>
      <c r="G98" s="28"/>
      <c r="H98" s="30"/>
      <c r="I98" s="30"/>
      <c r="J98" s="30"/>
      <c r="K98" s="30"/>
    </row>
    <row r="99" spans="1:11" s="25" customFormat="1" ht="15.75">
      <c r="A99" s="47" t="s">
        <v>162</v>
      </c>
      <c r="B99" s="43" t="s">
        <v>299</v>
      </c>
      <c r="C99" s="5">
        <f>658.73436+116.24724</f>
        <v>774.9816000000001</v>
      </c>
      <c r="D99" s="20">
        <f>658734.36+116247.24</f>
        <v>774981.6</v>
      </c>
      <c r="E99" s="49" t="s">
        <v>114</v>
      </c>
      <c r="F99" s="52" t="s">
        <v>98</v>
      </c>
      <c r="G99" s="28"/>
      <c r="H99" s="30"/>
      <c r="I99" s="30"/>
      <c r="J99" s="30"/>
      <c r="K99" s="30"/>
    </row>
    <row r="100" spans="1:11" s="25" customFormat="1" ht="15.75">
      <c r="A100" s="47" t="s">
        <v>163</v>
      </c>
      <c r="B100" s="43" t="s">
        <v>386</v>
      </c>
      <c r="C100" s="5">
        <f>734.83418+129.67662</f>
        <v>864.5108</v>
      </c>
      <c r="D100" s="20">
        <f>734834.18+129676.62</f>
        <v>864510.8</v>
      </c>
      <c r="E100" s="49" t="s">
        <v>114</v>
      </c>
      <c r="F100" s="52" t="s">
        <v>98</v>
      </c>
      <c r="G100" s="28"/>
      <c r="H100" s="30"/>
      <c r="I100" s="30"/>
      <c r="J100" s="30"/>
      <c r="K100" s="30"/>
    </row>
    <row r="101" spans="1:11" s="25" customFormat="1" ht="15.75">
      <c r="A101" s="47" t="s">
        <v>163</v>
      </c>
      <c r="B101" s="43" t="s">
        <v>387</v>
      </c>
      <c r="C101" s="5">
        <f>819.29426+144.58134</f>
        <v>963.8756000000001</v>
      </c>
      <c r="D101" s="20">
        <f>819294.26+144581.34</f>
        <v>963875.6</v>
      </c>
      <c r="E101" s="49" t="s">
        <v>114</v>
      </c>
      <c r="F101" s="52" t="s">
        <v>98</v>
      </c>
      <c r="G101" s="28"/>
      <c r="H101" s="30"/>
      <c r="I101" s="30"/>
      <c r="J101" s="30"/>
      <c r="K101" s="30"/>
    </row>
    <row r="102" spans="1:11" s="25" customFormat="1" ht="15.75">
      <c r="A102" s="47" t="s">
        <v>163</v>
      </c>
      <c r="B102" s="43" t="s">
        <v>388</v>
      </c>
      <c r="C102" s="5">
        <f>908.77138+160.37142</f>
        <v>1069.1428</v>
      </c>
      <c r="D102" s="20">
        <f>908771.38+160371.42</f>
        <v>1069142.8</v>
      </c>
      <c r="E102" s="49" t="s">
        <v>114</v>
      </c>
      <c r="F102" s="52" t="s">
        <v>98</v>
      </c>
      <c r="G102" s="28"/>
      <c r="H102" s="30"/>
      <c r="I102" s="30"/>
      <c r="J102" s="30"/>
      <c r="K102" s="30"/>
    </row>
    <row r="103" spans="1:11" s="25" customFormat="1" ht="15.75">
      <c r="A103" s="47" t="s">
        <v>163</v>
      </c>
      <c r="B103" s="43" t="s">
        <v>389</v>
      </c>
      <c r="C103" s="5">
        <f>606.18838+106.97442</f>
        <v>713.1628000000001</v>
      </c>
      <c r="D103" s="20">
        <f>606188.38+106974.42</f>
        <v>713162.8</v>
      </c>
      <c r="E103" s="49" t="s">
        <v>114</v>
      </c>
      <c r="F103" s="52" t="s">
        <v>98</v>
      </c>
      <c r="G103" s="28"/>
      <c r="H103" s="30"/>
      <c r="I103" s="30"/>
      <c r="J103" s="30"/>
      <c r="K103" s="30"/>
    </row>
    <row r="104" spans="1:11" s="25" customFormat="1" ht="15.75">
      <c r="A104" s="47" t="s">
        <v>163</v>
      </c>
      <c r="B104" s="43" t="s">
        <v>390</v>
      </c>
      <c r="C104" s="5">
        <f>800.60344+141.28296</f>
        <v>941.8864</v>
      </c>
      <c r="D104" s="20">
        <f>800603.44+141282.96</f>
        <v>941886.3999999999</v>
      </c>
      <c r="E104" s="49" t="s">
        <v>114</v>
      </c>
      <c r="F104" s="52" t="s">
        <v>98</v>
      </c>
      <c r="G104" s="28"/>
      <c r="H104" s="30"/>
      <c r="I104" s="30"/>
      <c r="J104" s="30"/>
      <c r="K104" s="30"/>
    </row>
    <row r="105" spans="1:11" s="25" customFormat="1" ht="15.75">
      <c r="A105" s="47" t="s">
        <v>164</v>
      </c>
      <c r="B105" s="43" t="s">
        <v>391</v>
      </c>
      <c r="C105" s="5">
        <f>551.67652+97.35468</f>
        <v>649.0312</v>
      </c>
      <c r="D105" s="20">
        <f>551676.52+97354.68</f>
        <v>649031.2</v>
      </c>
      <c r="E105" s="48">
        <v>33123</v>
      </c>
      <c r="F105" s="52" t="s">
        <v>98</v>
      </c>
      <c r="G105" s="28"/>
      <c r="H105" s="30"/>
      <c r="I105" s="30"/>
      <c r="J105" s="30"/>
      <c r="K105" s="30"/>
    </row>
    <row r="106" spans="1:11" s="25" customFormat="1" ht="15.75">
      <c r="A106" s="47" t="s">
        <v>165</v>
      </c>
      <c r="B106" s="43" t="s">
        <v>392</v>
      </c>
      <c r="C106" s="5">
        <f>611.75792+107.95728</f>
        <v>719.7152</v>
      </c>
      <c r="D106" s="20">
        <f>611757.92+107957.28</f>
        <v>719715.2000000001</v>
      </c>
      <c r="E106" s="48">
        <v>33123</v>
      </c>
      <c r="F106" s="52" t="s">
        <v>98</v>
      </c>
      <c r="G106" s="28"/>
      <c r="H106" s="30"/>
      <c r="I106" s="30"/>
      <c r="J106" s="30"/>
      <c r="K106" s="30"/>
    </row>
    <row r="107" spans="1:11" s="25" customFormat="1" ht="15.75">
      <c r="A107" s="47" t="s">
        <v>165</v>
      </c>
      <c r="B107" s="43" t="s">
        <v>393</v>
      </c>
      <c r="C107" s="5">
        <f>531.2993+93.7587</f>
        <v>625.058</v>
      </c>
      <c r="D107" s="20">
        <f>531299.3+93758.7</f>
        <v>625058</v>
      </c>
      <c r="E107" s="48">
        <v>33123</v>
      </c>
      <c r="F107" s="52" t="s">
        <v>98</v>
      </c>
      <c r="G107" s="28"/>
      <c r="H107" s="30"/>
      <c r="I107" s="30"/>
      <c r="J107" s="30"/>
      <c r="K107" s="30"/>
    </row>
    <row r="108" spans="1:11" s="25" customFormat="1" ht="15.75">
      <c r="A108" s="47" t="s">
        <v>172</v>
      </c>
      <c r="B108" s="43" t="s">
        <v>394</v>
      </c>
      <c r="C108" s="5">
        <f>542.18814+95.68026</f>
        <v>637.8684</v>
      </c>
      <c r="D108" s="20">
        <f>542188.14+95680.26</f>
        <v>637868.4</v>
      </c>
      <c r="E108" s="49" t="s">
        <v>114</v>
      </c>
      <c r="F108" s="52" t="s">
        <v>98</v>
      </c>
      <c r="G108" s="28"/>
      <c r="H108" s="30"/>
      <c r="I108" s="30"/>
      <c r="J108" s="30"/>
      <c r="K108" s="30"/>
    </row>
    <row r="109" spans="1:11" s="25" customFormat="1" ht="15.75">
      <c r="A109" s="47" t="s">
        <v>175</v>
      </c>
      <c r="B109" s="43" t="s">
        <v>395</v>
      </c>
      <c r="C109" s="5">
        <f>552.92704+97.57536</f>
        <v>650.5024000000001</v>
      </c>
      <c r="D109" s="20">
        <f>552927.04+97575.36</f>
        <v>650502.4</v>
      </c>
      <c r="E109" s="49" t="s">
        <v>114</v>
      </c>
      <c r="F109" s="52" t="s">
        <v>98</v>
      </c>
      <c r="G109" s="28"/>
      <c r="H109" s="30"/>
      <c r="I109" s="30"/>
      <c r="J109" s="30"/>
      <c r="K109" s="30"/>
    </row>
    <row r="110" spans="1:11" s="25" customFormat="1" ht="15.75">
      <c r="A110" s="47" t="s">
        <v>178</v>
      </c>
      <c r="B110" s="43" t="s">
        <v>177</v>
      </c>
      <c r="C110" s="5">
        <v>62.784</v>
      </c>
      <c r="D110" s="20">
        <v>62784</v>
      </c>
      <c r="E110" s="49" t="s">
        <v>179</v>
      </c>
      <c r="F110" s="52" t="s">
        <v>98</v>
      </c>
      <c r="G110" s="28"/>
      <c r="H110" s="30"/>
      <c r="I110" s="30"/>
      <c r="J110" s="30"/>
      <c r="K110" s="30"/>
    </row>
    <row r="111" spans="1:11" s="25" customFormat="1" ht="15.75">
      <c r="A111" s="47" t="s">
        <v>178</v>
      </c>
      <c r="B111" s="43" t="s">
        <v>181</v>
      </c>
      <c r="C111" s="5">
        <v>50.203</v>
      </c>
      <c r="D111" s="20">
        <v>50203</v>
      </c>
      <c r="E111" s="49" t="s">
        <v>179</v>
      </c>
      <c r="F111" s="52" t="s">
        <v>98</v>
      </c>
      <c r="G111" s="28"/>
      <c r="H111" s="30"/>
      <c r="I111" s="30"/>
      <c r="J111" s="30"/>
      <c r="K111" s="30"/>
    </row>
    <row r="112" spans="1:11" s="25" customFormat="1" ht="15.75">
      <c r="A112" s="47" t="s">
        <v>183</v>
      </c>
      <c r="B112" s="43" t="s">
        <v>182</v>
      </c>
      <c r="C112" s="5">
        <v>75</v>
      </c>
      <c r="D112" s="20">
        <v>75000</v>
      </c>
      <c r="E112" s="49">
        <v>33160</v>
      </c>
      <c r="F112" s="52" t="s">
        <v>98</v>
      </c>
      <c r="G112" s="28"/>
      <c r="H112" s="30"/>
      <c r="I112" s="30"/>
      <c r="J112" s="30"/>
      <c r="K112" s="30"/>
    </row>
    <row r="113" spans="1:11" s="25" customFormat="1" ht="15.75">
      <c r="A113" s="47" t="s">
        <v>201</v>
      </c>
      <c r="B113" s="43" t="s">
        <v>396</v>
      </c>
      <c r="C113" s="5">
        <v>619.722</v>
      </c>
      <c r="D113" s="20">
        <f>526763.7+92958.3</f>
        <v>619722</v>
      </c>
      <c r="E113" s="49">
        <v>33123</v>
      </c>
      <c r="F113" s="52" t="s">
        <v>98</v>
      </c>
      <c r="G113" s="28"/>
      <c r="H113" s="30"/>
      <c r="I113" s="30"/>
      <c r="J113" s="30"/>
      <c r="K113" s="30"/>
    </row>
    <row r="114" spans="1:11" s="25" customFormat="1" ht="15.75">
      <c r="A114" s="47" t="s">
        <v>207</v>
      </c>
      <c r="B114" s="43" t="s">
        <v>397</v>
      </c>
      <c r="C114" s="5">
        <v>901.7118</v>
      </c>
      <c r="D114" s="5">
        <f>766455.03+135256.77</f>
        <v>901711.8</v>
      </c>
      <c r="E114" s="49">
        <v>33123</v>
      </c>
      <c r="F114" s="52" t="s">
        <v>98</v>
      </c>
      <c r="G114" s="28"/>
      <c r="H114" s="30"/>
      <c r="I114" s="30"/>
      <c r="J114" s="30"/>
      <c r="K114" s="30"/>
    </row>
    <row r="115" spans="1:11" s="25" customFormat="1" ht="15.75">
      <c r="A115" s="47" t="s">
        <v>207</v>
      </c>
      <c r="B115" s="43" t="s">
        <v>398</v>
      </c>
      <c r="C115" s="5">
        <v>824.7036</v>
      </c>
      <c r="D115" s="5">
        <f>700998.06+123705.54</f>
        <v>824703.6000000001</v>
      </c>
      <c r="E115" s="49">
        <v>33123</v>
      </c>
      <c r="F115" s="52" t="s">
        <v>98</v>
      </c>
      <c r="G115" s="28"/>
      <c r="H115" s="30"/>
      <c r="I115" s="30"/>
      <c r="J115" s="30"/>
      <c r="K115" s="30"/>
    </row>
    <row r="116" spans="1:11" s="25" customFormat="1" ht="15.75">
      <c r="A116" s="47" t="s">
        <v>207</v>
      </c>
      <c r="B116" s="43" t="s">
        <v>399</v>
      </c>
      <c r="C116" s="5">
        <v>462.1316</v>
      </c>
      <c r="D116" s="5">
        <f>392811.86+69319.74</f>
        <v>462131.6</v>
      </c>
      <c r="E116" s="49">
        <v>33123</v>
      </c>
      <c r="F116" s="52" t="s">
        <v>98</v>
      </c>
      <c r="G116" s="28"/>
      <c r="H116" s="30"/>
      <c r="I116" s="30"/>
      <c r="J116" s="30"/>
      <c r="K116" s="30"/>
    </row>
    <row r="117" spans="1:11" s="25" customFormat="1" ht="15.75">
      <c r="A117" s="47" t="s">
        <v>207</v>
      </c>
      <c r="B117" s="43" t="s">
        <v>206</v>
      </c>
      <c r="C117" s="5">
        <v>1613.92052</v>
      </c>
      <c r="D117" s="5">
        <f>1371832.44+242088.08</f>
        <v>1613920.52</v>
      </c>
      <c r="E117" s="49">
        <v>33019</v>
      </c>
      <c r="F117" s="52" t="s">
        <v>98</v>
      </c>
      <c r="G117" s="28"/>
      <c r="H117" s="30"/>
      <c r="I117" s="30"/>
      <c r="J117" s="30"/>
      <c r="K117" s="30"/>
    </row>
    <row r="118" spans="1:11" s="25" customFormat="1" ht="15.75">
      <c r="A118" s="47" t="s">
        <v>207</v>
      </c>
      <c r="B118" s="43" t="s">
        <v>206</v>
      </c>
      <c r="C118" s="5">
        <v>326.34075</v>
      </c>
      <c r="D118" s="5">
        <f>277389.63+48951.12</f>
        <v>326340.75</v>
      </c>
      <c r="E118" s="49">
        <v>33019</v>
      </c>
      <c r="F118" s="52" t="s">
        <v>98</v>
      </c>
      <c r="G118" s="28"/>
      <c r="H118" s="30"/>
      <c r="I118" s="30"/>
      <c r="J118" s="30"/>
      <c r="K118" s="30"/>
    </row>
    <row r="119" spans="1:11" s="25" customFormat="1" ht="15.75">
      <c r="A119" s="47" t="s">
        <v>207</v>
      </c>
      <c r="B119" s="43" t="s">
        <v>300</v>
      </c>
      <c r="C119" s="5">
        <v>5666.1628</v>
      </c>
      <c r="D119" s="5">
        <f>4816238.38+849924.42</f>
        <v>5666162.8</v>
      </c>
      <c r="E119" s="49">
        <v>33019</v>
      </c>
      <c r="F119" s="52" t="s">
        <v>98</v>
      </c>
      <c r="G119" s="28"/>
      <c r="H119" s="30"/>
      <c r="I119" s="30"/>
      <c r="J119" s="30"/>
      <c r="K119" s="30"/>
    </row>
    <row r="120" spans="1:11" s="25" customFormat="1" ht="15.75">
      <c r="A120" s="47" t="s">
        <v>208</v>
      </c>
      <c r="B120" s="43" t="s">
        <v>206</v>
      </c>
      <c r="C120" s="5">
        <v>605</v>
      </c>
      <c r="D120" s="5">
        <f>514250+90750</f>
        <v>605000</v>
      </c>
      <c r="E120" s="49">
        <v>33019</v>
      </c>
      <c r="F120" s="52" t="s">
        <v>98</v>
      </c>
      <c r="G120" s="28"/>
      <c r="H120" s="30"/>
      <c r="I120" s="30"/>
      <c r="J120" s="30"/>
      <c r="K120" s="30"/>
    </row>
    <row r="121" spans="1:11" s="25" customFormat="1" ht="15.75">
      <c r="A121" s="47" t="s">
        <v>210</v>
      </c>
      <c r="B121" s="43" t="s">
        <v>442</v>
      </c>
      <c r="C121" s="5">
        <v>220</v>
      </c>
      <c r="D121" s="5">
        <v>220000</v>
      </c>
      <c r="E121" s="49">
        <v>33037</v>
      </c>
      <c r="F121" s="52" t="s">
        <v>98</v>
      </c>
      <c r="G121" s="28"/>
      <c r="H121" s="30"/>
      <c r="I121" s="30"/>
      <c r="J121" s="30"/>
      <c r="K121" s="30"/>
    </row>
    <row r="122" spans="1:11" s="25" customFormat="1" ht="15.75">
      <c r="A122" s="47" t="s">
        <v>211</v>
      </c>
      <c r="B122" s="43" t="s">
        <v>400</v>
      </c>
      <c r="C122" s="5">
        <v>341.4412</v>
      </c>
      <c r="D122" s="5">
        <f>290225.02+51216.18</f>
        <v>341441.2</v>
      </c>
      <c r="E122" s="49">
        <v>33123</v>
      </c>
      <c r="F122" s="52" t="s">
        <v>98</v>
      </c>
      <c r="G122" s="28"/>
      <c r="H122" s="30"/>
      <c r="I122" s="30"/>
      <c r="J122" s="30"/>
      <c r="K122" s="30"/>
    </row>
    <row r="123" spans="1:11" s="25" customFormat="1" ht="15.75">
      <c r="A123" s="47" t="s">
        <v>211</v>
      </c>
      <c r="B123" s="43" t="s">
        <v>401</v>
      </c>
      <c r="C123" s="5">
        <v>915.5572</v>
      </c>
      <c r="D123" s="5">
        <f>778223.62+137333.58</f>
        <v>915557.2</v>
      </c>
      <c r="E123" s="49">
        <v>33123</v>
      </c>
      <c r="F123" s="52" t="s">
        <v>98</v>
      </c>
      <c r="G123" s="28"/>
      <c r="H123" s="30"/>
      <c r="I123" s="30"/>
      <c r="J123" s="30"/>
      <c r="K123" s="30"/>
    </row>
    <row r="124" spans="1:11" s="25" customFormat="1" ht="15.75">
      <c r="A124" s="47" t="s">
        <v>211</v>
      </c>
      <c r="B124" s="43" t="s">
        <v>402</v>
      </c>
      <c r="C124" s="5">
        <v>457.3364</v>
      </c>
      <c r="D124" s="5">
        <f>388735.94+68600.46</f>
        <v>457336.4</v>
      </c>
      <c r="E124" s="49">
        <v>33123</v>
      </c>
      <c r="F124" s="52" t="s">
        <v>98</v>
      </c>
      <c r="G124" s="28"/>
      <c r="H124" s="30"/>
      <c r="I124" s="30"/>
      <c r="J124" s="30"/>
      <c r="K124" s="30"/>
    </row>
    <row r="125" spans="1:11" s="25" customFormat="1" ht="15.75">
      <c r="A125" s="47" t="s">
        <v>211</v>
      </c>
      <c r="B125" s="43" t="s">
        <v>403</v>
      </c>
      <c r="C125" s="5">
        <v>439.3532</v>
      </c>
      <c r="D125" s="5">
        <f>373450.22+65902.98</f>
        <v>439353.19999999995</v>
      </c>
      <c r="E125" s="49">
        <v>33123</v>
      </c>
      <c r="F125" s="52" t="s">
        <v>98</v>
      </c>
      <c r="G125" s="28"/>
      <c r="H125" s="30"/>
      <c r="I125" s="30"/>
      <c r="J125" s="30"/>
      <c r="K125" s="30"/>
    </row>
    <row r="126" spans="1:11" s="25" customFormat="1" ht="15.75">
      <c r="A126" s="47" t="s">
        <v>211</v>
      </c>
      <c r="B126" s="43" t="s">
        <v>404</v>
      </c>
      <c r="C126" s="5">
        <v>549.4768</v>
      </c>
      <c r="D126" s="5">
        <f>467055.28+82421.52</f>
        <v>549476.8</v>
      </c>
      <c r="E126" s="49">
        <v>33123</v>
      </c>
      <c r="F126" s="52" t="s">
        <v>98</v>
      </c>
      <c r="G126" s="28"/>
      <c r="H126" s="30"/>
      <c r="I126" s="30"/>
      <c r="J126" s="30"/>
      <c r="K126" s="30"/>
    </row>
    <row r="127" spans="1:11" s="25" customFormat="1" ht="15.75">
      <c r="A127" s="47" t="s">
        <v>212</v>
      </c>
      <c r="B127" s="43" t="s">
        <v>405</v>
      </c>
      <c r="C127" s="5">
        <v>907.5316</v>
      </c>
      <c r="D127" s="5">
        <f>771401.86+136129.74</f>
        <v>907531.6</v>
      </c>
      <c r="E127" s="49">
        <v>33123</v>
      </c>
      <c r="F127" s="52" t="s">
        <v>98</v>
      </c>
      <c r="G127" s="28"/>
      <c r="H127" s="30"/>
      <c r="I127" s="30"/>
      <c r="J127" s="30"/>
      <c r="K127" s="30"/>
    </row>
    <row r="128" spans="1:11" s="25" customFormat="1" ht="15.75">
      <c r="A128" s="47" t="s">
        <v>212</v>
      </c>
      <c r="B128" s="43" t="s">
        <v>251</v>
      </c>
      <c r="C128" s="5">
        <v>5142.573</v>
      </c>
      <c r="D128" s="5">
        <f>771385.95+4371187.05</f>
        <v>5142573</v>
      </c>
      <c r="E128" s="49">
        <v>33019</v>
      </c>
      <c r="F128" s="52" t="s">
        <v>98</v>
      </c>
      <c r="G128" s="28"/>
      <c r="H128" s="30"/>
      <c r="I128" s="30"/>
      <c r="J128" s="30"/>
      <c r="K128" s="30"/>
    </row>
    <row r="129" spans="1:11" s="25" customFormat="1" ht="15.75">
      <c r="A129" s="47" t="s">
        <v>218</v>
      </c>
      <c r="B129" s="43" t="s">
        <v>406</v>
      </c>
      <c r="C129" s="5">
        <v>616.4304</v>
      </c>
      <c r="D129" s="5">
        <f>523965.84+92464.56</f>
        <v>616430.4</v>
      </c>
      <c r="E129" s="49">
        <v>33123</v>
      </c>
      <c r="F129" s="52" t="s">
        <v>98</v>
      </c>
      <c r="G129" s="28"/>
      <c r="H129" s="30"/>
      <c r="I129" s="30"/>
      <c r="J129" s="30"/>
      <c r="K129" s="30"/>
    </row>
    <row r="130" spans="1:11" s="25" customFormat="1" ht="15.75">
      <c r="A130" s="47" t="s">
        <v>228</v>
      </c>
      <c r="B130" s="43" t="s">
        <v>407</v>
      </c>
      <c r="C130" s="5">
        <f>597.5942+105.4578</f>
        <v>703.052</v>
      </c>
      <c r="D130" s="5">
        <f>597594.2+105457.8</f>
        <v>703052</v>
      </c>
      <c r="E130" s="49">
        <v>33123</v>
      </c>
      <c r="F130" s="52" t="s">
        <v>98</v>
      </c>
      <c r="G130" s="28"/>
      <c r="H130" s="30"/>
      <c r="I130" s="30"/>
      <c r="J130" s="30"/>
      <c r="K130" s="30"/>
    </row>
    <row r="131" spans="1:11" s="25" customFormat="1" ht="15.75">
      <c r="A131" s="47" t="s">
        <v>228</v>
      </c>
      <c r="B131" s="43" t="s">
        <v>411</v>
      </c>
      <c r="C131" s="5">
        <f>459.54332+81.09588</f>
        <v>540.6392</v>
      </c>
      <c r="D131" s="5">
        <f>459543.32+81095.88</f>
        <v>540639.2</v>
      </c>
      <c r="E131" s="49">
        <v>33123</v>
      </c>
      <c r="F131" s="52" t="s">
        <v>98</v>
      </c>
      <c r="G131" s="28"/>
      <c r="H131" s="30"/>
      <c r="I131" s="30"/>
      <c r="J131" s="30"/>
      <c r="K131" s="30"/>
    </row>
    <row r="132" spans="1:11" s="25" customFormat="1" ht="15.75">
      <c r="A132" s="47" t="s">
        <v>240</v>
      </c>
      <c r="B132" s="43" t="s">
        <v>408</v>
      </c>
      <c r="C132" s="5">
        <v>898.9896</v>
      </c>
      <c r="D132" s="5">
        <f>764141.16+134848.44</f>
        <v>898989.6000000001</v>
      </c>
      <c r="E132" s="49">
        <v>33123</v>
      </c>
      <c r="F132" s="52" t="s">
        <v>98</v>
      </c>
      <c r="G132" s="28"/>
      <c r="H132" s="30"/>
      <c r="I132" s="30"/>
      <c r="J132" s="30"/>
      <c r="K132" s="30"/>
    </row>
    <row r="133" spans="1:11" s="25" customFormat="1" ht="15.75">
      <c r="A133" s="47" t="s">
        <v>240</v>
      </c>
      <c r="B133" s="43" t="s">
        <v>409</v>
      </c>
      <c r="C133" s="5">
        <f>1212.83576+214.02984</f>
        <v>1426.8655999999999</v>
      </c>
      <c r="D133" s="5">
        <f>1212835.76+214029.84</f>
        <v>1426865.6</v>
      </c>
      <c r="E133" s="49">
        <v>33123</v>
      </c>
      <c r="F133" s="52" t="s">
        <v>98</v>
      </c>
      <c r="G133" s="28"/>
      <c r="H133" s="30"/>
      <c r="I133" s="30"/>
      <c r="J133" s="30"/>
      <c r="K133" s="30"/>
    </row>
    <row r="134" spans="1:11" s="25" customFormat="1" ht="15.75">
      <c r="A134" s="47" t="s">
        <v>235</v>
      </c>
      <c r="B134" s="43" t="s">
        <v>410</v>
      </c>
      <c r="C134" s="5">
        <f>1062.8808+187.5672</f>
        <v>1250.4479999999999</v>
      </c>
      <c r="D134" s="5">
        <f>1062880.8+187567.2</f>
        <v>1250448</v>
      </c>
      <c r="E134" s="49">
        <v>33123</v>
      </c>
      <c r="F134" s="52" t="s">
        <v>98</v>
      </c>
      <c r="G134" s="28"/>
      <c r="H134" s="30"/>
      <c r="I134" s="30"/>
      <c r="J134" s="30"/>
      <c r="K134" s="30"/>
    </row>
    <row r="135" spans="1:11" s="25" customFormat="1" ht="15.75">
      <c r="A135" s="47" t="s">
        <v>235</v>
      </c>
      <c r="B135" s="43" t="s">
        <v>412</v>
      </c>
      <c r="C135" s="5">
        <f>890.52936+157.15224</f>
        <v>1047.6816</v>
      </c>
      <c r="D135" s="5">
        <f>890529.36+157152.24</f>
        <v>1047681.6</v>
      </c>
      <c r="E135" s="49">
        <v>33123</v>
      </c>
      <c r="F135" s="52" t="s">
        <v>98</v>
      </c>
      <c r="G135" s="28"/>
      <c r="H135" s="30"/>
      <c r="I135" s="30"/>
      <c r="J135" s="30"/>
      <c r="K135" s="30"/>
    </row>
    <row r="136" spans="1:11" s="25" customFormat="1" ht="15.75">
      <c r="A136" s="47" t="s">
        <v>235</v>
      </c>
      <c r="B136" s="43" t="s">
        <v>413</v>
      </c>
      <c r="C136" s="5">
        <f>366.2973+64.6407</f>
        <v>430.938</v>
      </c>
      <c r="D136" s="5">
        <f>366297.3+64640.7</f>
        <v>430938</v>
      </c>
      <c r="E136" s="49">
        <v>33123</v>
      </c>
      <c r="F136" s="52" t="s">
        <v>98</v>
      </c>
      <c r="G136" s="28"/>
      <c r="H136" s="30"/>
      <c r="I136" s="30"/>
      <c r="J136" s="30"/>
      <c r="K136" s="30"/>
    </row>
    <row r="137" spans="1:11" s="25" customFormat="1" ht="15.75">
      <c r="A137" s="47" t="s">
        <v>262</v>
      </c>
      <c r="B137" s="43" t="s">
        <v>414</v>
      </c>
      <c r="C137" s="5">
        <f>750.43372+132.42948</f>
        <v>882.8632</v>
      </c>
      <c r="D137" s="5">
        <f>750433.72+132429.48</f>
        <v>882863.2</v>
      </c>
      <c r="E137" s="49">
        <v>33123</v>
      </c>
      <c r="F137" s="52" t="s">
        <v>98</v>
      </c>
      <c r="G137" s="28"/>
      <c r="H137" s="30"/>
      <c r="I137" s="30"/>
      <c r="J137" s="30"/>
      <c r="K137" s="30"/>
    </row>
    <row r="138" spans="1:11" s="25" customFormat="1" ht="15.75">
      <c r="A138" s="47" t="s">
        <v>262</v>
      </c>
      <c r="B138" s="43" t="s">
        <v>415</v>
      </c>
      <c r="C138" s="5">
        <f>1221.83964+215.61876</f>
        <v>1437.4584</v>
      </c>
      <c r="D138" s="5">
        <f>1221839.64+215618.76</f>
        <v>1437458.4</v>
      </c>
      <c r="E138" s="49">
        <v>33123</v>
      </c>
      <c r="F138" s="52" t="s">
        <v>98</v>
      </c>
      <c r="G138" s="28"/>
      <c r="H138" s="30"/>
      <c r="I138" s="30"/>
      <c r="J138" s="30"/>
      <c r="K138" s="30"/>
    </row>
    <row r="139" spans="1:11" s="25" customFormat="1" ht="15.75">
      <c r="A139" s="47" t="s">
        <v>262</v>
      </c>
      <c r="B139" s="43" t="s">
        <v>416</v>
      </c>
      <c r="C139" s="5">
        <f>707.2544+124.8096</f>
        <v>832.0640000000001</v>
      </c>
      <c r="D139" s="5">
        <f>707254.4+124809.6</f>
        <v>832064</v>
      </c>
      <c r="E139" s="49">
        <v>33123</v>
      </c>
      <c r="F139" s="52" t="s">
        <v>98</v>
      </c>
      <c r="G139" s="28"/>
      <c r="H139" s="30"/>
      <c r="I139" s="30"/>
      <c r="J139" s="30"/>
      <c r="K139" s="30"/>
    </row>
    <row r="140" spans="1:11" s="25" customFormat="1" ht="15.75">
      <c r="A140" s="47" t="s">
        <v>262</v>
      </c>
      <c r="B140" s="43" t="s">
        <v>417</v>
      </c>
      <c r="C140" s="5">
        <f>1014.72048+179.06832</f>
        <v>1193.7888</v>
      </c>
      <c r="D140" s="5">
        <f>1014720.48+179068.32</f>
        <v>1193788.8</v>
      </c>
      <c r="E140" s="49">
        <v>33123</v>
      </c>
      <c r="F140" s="52" t="s">
        <v>98</v>
      </c>
      <c r="G140" s="28"/>
      <c r="H140" s="30"/>
      <c r="I140" s="30"/>
      <c r="J140" s="30"/>
      <c r="K140" s="30"/>
    </row>
    <row r="141" spans="1:11" s="25" customFormat="1" ht="15.75">
      <c r="A141" s="47" t="s">
        <v>271</v>
      </c>
      <c r="B141" s="43" t="s">
        <v>418</v>
      </c>
      <c r="C141" s="5">
        <f>1376.18349+242.85591</f>
        <v>1619.0394</v>
      </c>
      <c r="D141" s="5">
        <f>1376183.49+242855.91</f>
        <v>1619039.4</v>
      </c>
      <c r="E141" s="49">
        <v>33123</v>
      </c>
      <c r="F141" s="52" t="s">
        <v>98</v>
      </c>
      <c r="G141" s="28"/>
      <c r="H141" s="30"/>
      <c r="I141" s="30"/>
      <c r="J141" s="30"/>
      <c r="K141" s="30"/>
    </row>
    <row r="142" spans="1:11" s="25" customFormat="1" ht="15.75">
      <c r="A142" s="47" t="s">
        <v>282</v>
      </c>
      <c r="B142" s="43" t="s">
        <v>419</v>
      </c>
      <c r="C142" s="5">
        <v>877.29</v>
      </c>
      <c r="D142" s="5">
        <f>745696.5+131593.5</f>
        <v>877290</v>
      </c>
      <c r="E142" s="49">
        <v>33123</v>
      </c>
      <c r="F142" s="52" t="s">
        <v>98</v>
      </c>
      <c r="G142" s="28"/>
      <c r="H142" s="30"/>
      <c r="I142" s="30"/>
      <c r="J142" s="30"/>
      <c r="K142" s="30"/>
    </row>
    <row r="143" spans="1:11" s="25" customFormat="1" ht="15.75">
      <c r="A143" s="47" t="s">
        <v>311</v>
      </c>
      <c r="B143" s="43" t="s">
        <v>420</v>
      </c>
      <c r="C143" s="5">
        <v>900.558</v>
      </c>
      <c r="D143" s="5">
        <v>900558</v>
      </c>
      <c r="E143" s="49">
        <v>33123</v>
      </c>
      <c r="F143" s="52" t="s">
        <v>98</v>
      </c>
      <c r="G143" s="28"/>
      <c r="H143" s="30"/>
      <c r="I143" s="30"/>
      <c r="J143" s="30"/>
      <c r="K143" s="30"/>
    </row>
    <row r="144" spans="1:11" s="25" customFormat="1" ht="15.75">
      <c r="A144" s="47" t="s">
        <v>333</v>
      </c>
      <c r="B144" s="43" t="s">
        <v>421</v>
      </c>
      <c r="C144" s="5">
        <v>647.7096</v>
      </c>
      <c r="D144" s="5">
        <v>647709.6</v>
      </c>
      <c r="E144" s="49">
        <v>33123</v>
      </c>
      <c r="F144" s="52" t="s">
        <v>98</v>
      </c>
      <c r="G144" s="28"/>
      <c r="H144" s="30"/>
      <c r="I144" s="30"/>
      <c r="J144" s="30"/>
      <c r="K144" s="30"/>
    </row>
    <row r="145" spans="1:11" s="25" customFormat="1" ht="15.75">
      <c r="A145" s="47" t="s">
        <v>333</v>
      </c>
      <c r="B145" s="43" t="s">
        <v>422</v>
      </c>
      <c r="C145" s="5">
        <v>279.9264</v>
      </c>
      <c r="D145" s="5">
        <v>279926.4</v>
      </c>
      <c r="E145" s="49">
        <v>33123</v>
      </c>
      <c r="F145" s="52" t="s">
        <v>98</v>
      </c>
      <c r="G145" s="28"/>
      <c r="H145" s="30"/>
      <c r="I145" s="30"/>
      <c r="J145" s="30"/>
      <c r="K145" s="30"/>
    </row>
    <row r="146" spans="1:11" s="25" customFormat="1" ht="15.75">
      <c r="A146" s="47" t="s">
        <v>333</v>
      </c>
      <c r="B146" s="43" t="s">
        <v>423</v>
      </c>
      <c r="C146" s="5">
        <v>928.2952</v>
      </c>
      <c r="D146" s="5">
        <v>928295.2</v>
      </c>
      <c r="E146" s="49">
        <v>33123</v>
      </c>
      <c r="F146" s="52" t="s">
        <v>98</v>
      </c>
      <c r="G146" s="28"/>
      <c r="H146" s="30"/>
      <c r="I146" s="30"/>
      <c r="J146" s="30"/>
      <c r="K146" s="30"/>
    </row>
    <row r="147" spans="1:11" s="25" customFormat="1" ht="15.75">
      <c r="A147" s="47">
        <v>41131</v>
      </c>
      <c r="B147" s="43" t="s">
        <v>424</v>
      </c>
      <c r="C147" s="5">
        <v>682.9134</v>
      </c>
      <c r="D147" s="5">
        <v>682913.4</v>
      </c>
      <c r="E147" s="49">
        <v>33123</v>
      </c>
      <c r="F147" s="52">
        <v>4116</v>
      </c>
      <c r="G147" s="28"/>
      <c r="H147" s="30"/>
      <c r="I147" s="30"/>
      <c r="J147" s="30"/>
      <c r="K147" s="30"/>
    </row>
    <row r="148" spans="1:11" s="25" customFormat="1" ht="15.75">
      <c r="A148" s="47">
        <v>41149</v>
      </c>
      <c r="B148" s="43" t="s">
        <v>425</v>
      </c>
      <c r="C148" s="5">
        <f>588.76168+103.89912</f>
        <v>692.6608</v>
      </c>
      <c r="D148" s="5">
        <v>692660.8</v>
      </c>
      <c r="E148" s="49">
        <v>33123</v>
      </c>
      <c r="F148" s="52">
        <v>4116</v>
      </c>
      <c r="G148" s="28"/>
      <c r="H148" s="30"/>
      <c r="I148" s="30"/>
      <c r="J148" s="30"/>
      <c r="K148" s="30"/>
    </row>
    <row r="149" spans="1:11" s="25" customFormat="1" ht="15.75">
      <c r="A149" s="47">
        <v>41172</v>
      </c>
      <c r="B149" s="43" t="s">
        <v>426</v>
      </c>
      <c r="C149" s="5">
        <v>996.9088</v>
      </c>
      <c r="D149" s="5">
        <v>996908.8</v>
      </c>
      <c r="E149" s="49">
        <v>33123</v>
      </c>
      <c r="F149" s="52">
        <v>4116</v>
      </c>
      <c r="G149" s="28"/>
      <c r="H149" s="30"/>
      <c r="I149" s="30"/>
      <c r="J149" s="30"/>
      <c r="K149" s="30"/>
    </row>
    <row r="150" spans="1:11" s="25" customFormat="1" ht="15.75">
      <c r="A150" s="47">
        <v>41173</v>
      </c>
      <c r="B150" s="43" t="s">
        <v>427</v>
      </c>
      <c r="C150" s="5">
        <v>1181.6496</v>
      </c>
      <c r="D150" s="5">
        <v>1181649.6</v>
      </c>
      <c r="E150" s="49">
        <v>33123</v>
      </c>
      <c r="F150" s="52">
        <v>4116</v>
      </c>
      <c r="G150" s="28"/>
      <c r="H150" s="30"/>
      <c r="I150" s="30"/>
      <c r="J150" s="30"/>
      <c r="K150" s="30"/>
    </row>
    <row r="151" spans="1:11" s="25" customFormat="1" ht="15.75">
      <c r="A151" s="47">
        <v>41192</v>
      </c>
      <c r="B151" s="43" t="s">
        <v>69</v>
      </c>
      <c r="C151" s="5">
        <v>683.55</v>
      </c>
      <c r="D151" s="5">
        <v>683550</v>
      </c>
      <c r="E151" s="49">
        <v>33123</v>
      </c>
      <c r="F151" s="52">
        <v>4116</v>
      </c>
      <c r="G151" s="28"/>
      <c r="H151" s="30"/>
      <c r="I151" s="30"/>
      <c r="J151" s="30"/>
      <c r="K151" s="30"/>
    </row>
    <row r="152" spans="1:11" s="25" customFormat="1" ht="15.75">
      <c r="A152" s="47">
        <v>41194</v>
      </c>
      <c r="B152" s="43" t="s">
        <v>435</v>
      </c>
      <c r="C152" s="5">
        <v>728.2824</v>
      </c>
      <c r="D152" s="5">
        <v>728282.4</v>
      </c>
      <c r="E152" s="49">
        <v>33123</v>
      </c>
      <c r="F152" s="52">
        <v>4116</v>
      </c>
      <c r="G152" s="28"/>
      <c r="H152" s="30"/>
      <c r="I152" s="30"/>
      <c r="J152" s="30"/>
      <c r="K152" s="30"/>
    </row>
    <row r="153" spans="1:11" s="25" customFormat="1" ht="15.75">
      <c r="A153" s="47">
        <v>41198</v>
      </c>
      <c r="B153" s="43" t="s">
        <v>442</v>
      </c>
      <c r="C153" s="5">
        <v>45</v>
      </c>
      <c r="D153" s="5">
        <v>45000</v>
      </c>
      <c r="E153" s="49">
        <v>33037</v>
      </c>
      <c r="F153" s="52">
        <v>4116</v>
      </c>
      <c r="G153" s="28"/>
      <c r="H153" s="30"/>
      <c r="I153" s="30"/>
      <c r="J153" s="30"/>
      <c r="K153" s="30"/>
    </row>
    <row r="154" spans="1:11" s="25" customFormat="1" ht="15.75">
      <c r="A154" s="47">
        <v>41207</v>
      </c>
      <c r="B154" s="43" t="s">
        <v>436</v>
      </c>
      <c r="C154" s="5">
        <f>120.30696+21.23064</f>
        <v>141.5376</v>
      </c>
      <c r="D154" s="5">
        <f>120306.96+21230.64</f>
        <v>141537.6</v>
      </c>
      <c r="E154" s="49">
        <v>33123</v>
      </c>
      <c r="F154" s="52">
        <v>4116</v>
      </c>
      <c r="G154" s="28"/>
      <c r="H154" s="30"/>
      <c r="I154" s="30"/>
      <c r="J154" s="30"/>
      <c r="K154" s="30"/>
    </row>
    <row r="155" spans="1:11" s="25" customFormat="1" ht="15.75">
      <c r="A155" s="47">
        <v>41207</v>
      </c>
      <c r="B155" s="43" t="s">
        <v>437</v>
      </c>
      <c r="C155" s="5">
        <f>892.75296+157.54464</f>
        <v>1050.2976</v>
      </c>
      <c r="D155" s="5">
        <f>892752.96+157544.64</f>
        <v>1050297.6</v>
      </c>
      <c r="E155" s="49">
        <v>33123</v>
      </c>
      <c r="F155" s="52">
        <v>4116</v>
      </c>
      <c r="G155" s="28"/>
      <c r="H155" s="30"/>
      <c r="I155" s="30"/>
      <c r="J155" s="30"/>
      <c r="K155" s="30"/>
    </row>
    <row r="156" spans="1:11" s="25" customFormat="1" ht="15.75">
      <c r="A156" s="47">
        <v>41208</v>
      </c>
      <c r="B156" s="43" t="s">
        <v>1</v>
      </c>
      <c r="C156" s="5">
        <f>636.84856+112.38504</f>
        <v>749.2336</v>
      </c>
      <c r="D156" s="5">
        <v>749233.6</v>
      </c>
      <c r="E156" s="49">
        <v>33123</v>
      </c>
      <c r="F156" s="52">
        <v>4116</v>
      </c>
      <c r="G156" s="28"/>
      <c r="H156" s="30"/>
      <c r="I156" s="30"/>
      <c r="J156" s="30"/>
      <c r="K156" s="30"/>
    </row>
    <row r="157" spans="1:11" s="25" customFormat="1" ht="15.75">
      <c r="A157" s="47">
        <v>41232</v>
      </c>
      <c r="B157" s="43" t="s">
        <v>300</v>
      </c>
      <c r="C157" s="5">
        <v>2425.30058</v>
      </c>
      <c r="D157" s="5">
        <v>2425300.58</v>
      </c>
      <c r="E157" s="49">
        <v>33019</v>
      </c>
      <c r="F157" s="52">
        <v>4116</v>
      </c>
      <c r="G157" s="28"/>
      <c r="H157" s="30"/>
      <c r="I157" s="30"/>
      <c r="J157" s="30"/>
      <c r="K157" s="30"/>
    </row>
    <row r="158" spans="1:11" s="25" customFormat="1" ht="15.75">
      <c r="A158" s="47">
        <v>41257</v>
      </c>
      <c r="B158" s="43" t="s">
        <v>41</v>
      </c>
      <c r="C158" s="5">
        <f>341.61908+60.28572</f>
        <v>401.9048</v>
      </c>
      <c r="D158" s="5">
        <v>401904.8</v>
      </c>
      <c r="E158" s="49">
        <v>33123</v>
      </c>
      <c r="F158" s="52">
        <v>4116</v>
      </c>
      <c r="G158" s="28"/>
      <c r="H158" s="30"/>
      <c r="I158" s="30"/>
      <c r="J158" s="30"/>
      <c r="K158" s="30"/>
    </row>
    <row r="159" spans="1:11" s="25" customFormat="1" ht="15.75">
      <c r="A159" s="47">
        <v>41257</v>
      </c>
      <c r="B159" s="43" t="s">
        <v>42</v>
      </c>
      <c r="C159" s="5">
        <f>603.29158+106.46322</f>
        <v>709.7547999999999</v>
      </c>
      <c r="D159" s="5">
        <v>709754.8</v>
      </c>
      <c r="E159" s="49">
        <v>33123</v>
      </c>
      <c r="F159" s="52">
        <v>4116</v>
      </c>
      <c r="G159" s="28"/>
      <c r="H159" s="30"/>
      <c r="I159" s="30"/>
      <c r="J159" s="30"/>
      <c r="K159" s="30"/>
    </row>
    <row r="160" spans="1:11" s="25" customFormat="1" ht="15.75">
      <c r="A160" s="47">
        <v>41257</v>
      </c>
      <c r="B160" s="43" t="s">
        <v>43</v>
      </c>
      <c r="C160" s="5">
        <f>777.9608+137.2872</f>
        <v>915.2479999999999</v>
      </c>
      <c r="D160" s="5">
        <v>915248</v>
      </c>
      <c r="E160" s="49">
        <v>33123</v>
      </c>
      <c r="F160" s="52">
        <v>4116</v>
      </c>
      <c r="G160" s="28"/>
      <c r="H160" s="30"/>
      <c r="I160" s="30"/>
      <c r="J160" s="30"/>
      <c r="K160" s="30"/>
    </row>
    <row r="161" spans="1:11" s="25" customFormat="1" ht="15.75">
      <c r="A161" s="47">
        <v>41257</v>
      </c>
      <c r="B161" s="43" t="s">
        <v>44</v>
      </c>
      <c r="C161" s="5">
        <f>558.11068+98.49012</f>
        <v>656.6008</v>
      </c>
      <c r="D161" s="5">
        <v>656600.8</v>
      </c>
      <c r="E161" s="49">
        <v>33123</v>
      </c>
      <c r="F161" s="52">
        <v>4116</v>
      </c>
      <c r="G161" s="28"/>
      <c r="H161" s="30"/>
      <c r="I161" s="30"/>
      <c r="J161" s="30"/>
      <c r="K161" s="30"/>
    </row>
    <row r="162" spans="1:11" s="25" customFormat="1" ht="15.75">
      <c r="A162" s="47">
        <v>41257</v>
      </c>
      <c r="B162" s="43" t="s">
        <v>45</v>
      </c>
      <c r="C162" s="5">
        <f>500.68094+88.35546</f>
        <v>589.0364</v>
      </c>
      <c r="D162" s="5">
        <v>589036.4</v>
      </c>
      <c r="E162" s="49">
        <v>33123</v>
      </c>
      <c r="F162" s="52">
        <v>4116</v>
      </c>
      <c r="G162" s="28"/>
      <c r="H162" s="30"/>
      <c r="I162" s="30"/>
      <c r="J162" s="30"/>
      <c r="K162" s="30"/>
    </row>
    <row r="163" spans="1:11" s="25" customFormat="1" ht="15.75">
      <c r="A163" s="47">
        <v>41257</v>
      </c>
      <c r="B163" s="43" t="s">
        <v>46</v>
      </c>
      <c r="C163" s="5">
        <f>654.64824+115.52616</f>
        <v>770.1744</v>
      </c>
      <c r="D163" s="5">
        <v>770174.4</v>
      </c>
      <c r="E163" s="49">
        <v>33123</v>
      </c>
      <c r="F163" s="52">
        <v>4116</v>
      </c>
      <c r="G163" s="28"/>
      <c r="H163" s="30"/>
      <c r="I163" s="30"/>
      <c r="J163" s="30"/>
      <c r="K163" s="30"/>
    </row>
    <row r="164" spans="1:11" s="25" customFormat="1" ht="15.75">
      <c r="A164" s="47">
        <v>41257</v>
      </c>
      <c r="B164" s="43" t="s">
        <v>48</v>
      </c>
      <c r="C164" s="5">
        <f>663.24412+117.04308</f>
        <v>780.2872</v>
      </c>
      <c r="D164" s="5">
        <v>780287.2</v>
      </c>
      <c r="E164" s="49">
        <v>33123</v>
      </c>
      <c r="F164" s="52">
        <v>4116</v>
      </c>
      <c r="G164" s="28"/>
      <c r="H164" s="30"/>
      <c r="I164" s="30"/>
      <c r="J164" s="30"/>
      <c r="K164" s="30"/>
    </row>
    <row r="165" spans="1:11" s="25" customFormat="1" ht="15.75">
      <c r="A165" s="47">
        <v>41257</v>
      </c>
      <c r="B165" s="43" t="s">
        <v>47</v>
      </c>
      <c r="C165" s="5">
        <f>595.19312+105.03408</f>
        <v>700.2272</v>
      </c>
      <c r="D165" s="5">
        <v>700227.2</v>
      </c>
      <c r="E165" s="49">
        <v>33123</v>
      </c>
      <c r="F165" s="52">
        <v>4116</v>
      </c>
      <c r="G165" s="28"/>
      <c r="H165" s="30"/>
      <c r="I165" s="30"/>
      <c r="J165" s="30"/>
      <c r="K165" s="30"/>
    </row>
    <row r="166" spans="1:11" s="25" customFormat="1" ht="15.75">
      <c r="A166" s="47">
        <v>41260</v>
      </c>
      <c r="B166" s="43" t="s">
        <v>54</v>
      </c>
      <c r="C166" s="5">
        <f>608.65542+107.40978</f>
        <v>716.0652</v>
      </c>
      <c r="D166" s="5">
        <f>608655.42+107409.78</f>
        <v>716065.2000000001</v>
      </c>
      <c r="E166" s="49">
        <v>33123</v>
      </c>
      <c r="F166" s="52">
        <v>4116</v>
      </c>
      <c r="G166" s="28"/>
      <c r="H166" s="30"/>
      <c r="I166" s="30"/>
      <c r="J166" s="30"/>
      <c r="K166" s="30"/>
    </row>
    <row r="167" spans="1:11" s="25" customFormat="1" ht="15.75">
      <c r="A167" s="47"/>
      <c r="B167" s="43" t="s">
        <v>116</v>
      </c>
      <c r="C167" s="17">
        <v>434.73</v>
      </c>
      <c r="D167" s="3">
        <v>434730.75</v>
      </c>
      <c r="E167" s="49" t="s">
        <v>115</v>
      </c>
      <c r="F167" s="52" t="s">
        <v>98</v>
      </c>
      <c r="G167" s="28"/>
      <c r="H167" s="30"/>
      <c r="I167" s="30"/>
      <c r="J167" s="30"/>
      <c r="K167" s="30"/>
    </row>
    <row r="168" spans="1:11" s="25" customFormat="1" ht="15.75">
      <c r="A168" s="47"/>
      <c r="B168" s="43"/>
      <c r="C168" s="3"/>
      <c r="D168" s="2"/>
      <c r="E168" s="48"/>
      <c r="F168" s="49"/>
      <c r="G168" s="28"/>
      <c r="H168" s="30"/>
      <c r="I168" s="30"/>
      <c r="J168" s="30"/>
      <c r="K168" s="30"/>
    </row>
    <row r="169" spans="1:11" s="25" customFormat="1" ht="15.75">
      <c r="A169" s="47"/>
      <c r="B169" s="40" t="s">
        <v>119</v>
      </c>
      <c r="C169" s="4">
        <f>+SUM(C170:C172)</f>
        <v>310.86859000000004</v>
      </c>
      <c r="D169" s="4">
        <f>+SUM(D170:D172)</f>
        <v>310868.58999999997</v>
      </c>
      <c r="E169" s="48"/>
      <c r="F169" s="49"/>
      <c r="G169" s="28"/>
      <c r="H169" s="30"/>
      <c r="I169" s="30"/>
      <c r="J169" s="30"/>
      <c r="K169" s="30"/>
    </row>
    <row r="170" spans="1:11" s="25" customFormat="1" ht="15.75">
      <c r="A170" s="47" t="s">
        <v>165</v>
      </c>
      <c r="B170" s="43" t="s">
        <v>120</v>
      </c>
      <c r="C170" s="5">
        <v>155.76559</v>
      </c>
      <c r="D170" s="5">
        <v>155765.59</v>
      </c>
      <c r="E170" s="48">
        <v>17007</v>
      </c>
      <c r="F170" s="49" t="s">
        <v>98</v>
      </c>
      <c r="G170" s="28"/>
      <c r="H170" s="30"/>
      <c r="I170" s="30"/>
      <c r="J170" s="30"/>
      <c r="K170" s="30"/>
    </row>
    <row r="171" spans="1:11" s="25" customFormat="1" ht="15.75">
      <c r="A171" s="47">
        <v>41225</v>
      </c>
      <c r="B171" s="60" t="s">
        <v>15</v>
      </c>
      <c r="C171" s="5">
        <f>148.883+6.22</f>
        <v>155.103</v>
      </c>
      <c r="D171" s="5">
        <f>148883+6220</f>
        <v>155103</v>
      </c>
      <c r="E171" s="48">
        <v>17003</v>
      </c>
      <c r="F171" s="49">
        <v>4116</v>
      </c>
      <c r="G171" s="28"/>
      <c r="H171" s="30"/>
      <c r="I171" s="30"/>
      <c r="J171" s="30"/>
      <c r="K171" s="30"/>
    </row>
    <row r="172" spans="1:12" ht="15.75">
      <c r="A172" s="55"/>
      <c r="B172" s="61"/>
      <c r="C172" s="1"/>
      <c r="D172" s="2"/>
      <c r="E172" s="6"/>
      <c r="F172" s="57"/>
      <c r="G172" s="28"/>
      <c r="H172" s="30"/>
      <c r="I172" s="30"/>
      <c r="J172" s="30"/>
      <c r="K172" s="30"/>
      <c r="L172" s="25"/>
    </row>
    <row r="173" spans="1:11" s="25" customFormat="1" ht="15.75">
      <c r="A173" s="47"/>
      <c r="B173" s="4" t="s">
        <v>117</v>
      </c>
      <c r="C173" s="4">
        <f>+SUM(C174:C179)</f>
        <v>11835.19</v>
      </c>
      <c r="D173" s="4">
        <f>+SUM(D174:D179)</f>
        <v>11835190.440000001</v>
      </c>
      <c r="E173" s="48"/>
      <c r="F173" s="49"/>
      <c r="G173" s="28"/>
      <c r="H173" s="30"/>
      <c r="I173" s="30"/>
      <c r="J173" s="30"/>
      <c r="K173" s="30"/>
    </row>
    <row r="174" spans="1:11" s="25" customFormat="1" ht="15.75">
      <c r="A174" s="47" t="s">
        <v>198</v>
      </c>
      <c r="B174" s="3" t="s">
        <v>118</v>
      </c>
      <c r="C174" s="3">
        <v>3454</v>
      </c>
      <c r="D174" s="2">
        <v>3454000</v>
      </c>
      <c r="E174" s="48">
        <v>13305</v>
      </c>
      <c r="F174" s="49" t="s">
        <v>98</v>
      </c>
      <c r="G174" s="28"/>
      <c r="H174" s="30"/>
      <c r="I174" s="30"/>
      <c r="J174" s="30"/>
      <c r="K174" s="30"/>
    </row>
    <row r="175" spans="1:11" s="25" customFormat="1" ht="15.75">
      <c r="A175" s="47" t="s">
        <v>256</v>
      </c>
      <c r="B175" s="3" t="s">
        <v>118</v>
      </c>
      <c r="C175" s="3">
        <v>2590.5</v>
      </c>
      <c r="D175" s="2">
        <v>2590500</v>
      </c>
      <c r="E175" s="48">
        <v>13305</v>
      </c>
      <c r="F175" s="49" t="s">
        <v>98</v>
      </c>
      <c r="G175" s="28"/>
      <c r="H175" s="30"/>
      <c r="I175" s="30"/>
      <c r="J175" s="30"/>
      <c r="K175" s="30"/>
    </row>
    <row r="176" spans="1:11" s="25" customFormat="1" ht="15.75">
      <c r="A176" s="47" t="s">
        <v>271</v>
      </c>
      <c r="B176" s="3" t="s">
        <v>273</v>
      </c>
      <c r="C176" s="3">
        <v>303.01</v>
      </c>
      <c r="D176" s="2">
        <v>303010</v>
      </c>
      <c r="E176" s="48">
        <v>13008</v>
      </c>
      <c r="F176" s="49" t="s">
        <v>98</v>
      </c>
      <c r="G176" s="28"/>
      <c r="H176" s="30"/>
      <c r="I176" s="30"/>
      <c r="J176" s="30"/>
      <c r="K176" s="30"/>
    </row>
    <row r="177" spans="1:11" s="25" customFormat="1" ht="15.75">
      <c r="A177" s="47">
        <v>41191</v>
      </c>
      <c r="B177" s="3" t="s">
        <v>118</v>
      </c>
      <c r="C177" s="3">
        <v>2590.5</v>
      </c>
      <c r="D177" s="2">
        <v>2590500</v>
      </c>
      <c r="E177" s="48">
        <v>13305</v>
      </c>
      <c r="F177" s="49">
        <v>4116</v>
      </c>
      <c r="G177" s="28"/>
      <c r="H177" s="30"/>
      <c r="I177" s="30"/>
      <c r="J177" s="30"/>
      <c r="K177" s="30"/>
    </row>
    <row r="178" spans="1:11" s="25" customFormat="1" ht="15.75">
      <c r="A178" s="47"/>
      <c r="B178" s="60" t="s">
        <v>66</v>
      </c>
      <c r="C178" s="3">
        <v>1746.53</v>
      </c>
      <c r="D178" s="2">
        <v>1746531.07</v>
      </c>
      <c r="E178" s="48">
        <v>13233</v>
      </c>
      <c r="F178" s="49">
        <v>4116</v>
      </c>
      <c r="G178" s="28"/>
      <c r="H178" s="30"/>
      <c r="I178" s="30"/>
      <c r="J178" s="30"/>
      <c r="K178" s="30"/>
    </row>
    <row r="179" spans="1:11" s="25" customFormat="1" ht="15.75">
      <c r="A179" s="47"/>
      <c r="B179" s="60" t="s">
        <v>428</v>
      </c>
      <c r="C179" s="3">
        <v>1150.65</v>
      </c>
      <c r="D179" s="2">
        <v>1150649.37</v>
      </c>
      <c r="E179" s="48">
        <v>13233</v>
      </c>
      <c r="F179" s="49">
        <v>4116</v>
      </c>
      <c r="G179" s="28"/>
      <c r="H179" s="30"/>
      <c r="I179" s="30"/>
      <c r="J179" s="30"/>
      <c r="K179" s="30"/>
    </row>
    <row r="180" spans="1:12" ht="15.75">
      <c r="A180" s="55"/>
      <c r="B180" s="61"/>
      <c r="C180" s="1"/>
      <c r="D180" s="2"/>
      <c r="E180" s="6"/>
      <c r="F180" s="57"/>
      <c r="G180" s="28"/>
      <c r="H180" s="30"/>
      <c r="I180" s="30"/>
      <c r="J180" s="30"/>
      <c r="K180" s="30"/>
      <c r="L180" s="25"/>
    </row>
    <row r="181" spans="1:11" s="25" customFormat="1" ht="15.75">
      <c r="A181" s="47"/>
      <c r="B181" s="40" t="s">
        <v>121</v>
      </c>
      <c r="C181" s="4">
        <f>+C182+C183</f>
        <v>600</v>
      </c>
      <c r="D181" s="4">
        <f>+D182+D183</f>
        <v>600000</v>
      </c>
      <c r="E181" s="48"/>
      <c r="F181" s="49"/>
      <c r="G181" s="28"/>
      <c r="H181" s="30"/>
      <c r="I181" s="30"/>
      <c r="J181" s="30"/>
      <c r="K181" s="30"/>
    </row>
    <row r="182" spans="1:11" s="25" customFormat="1" ht="15.75">
      <c r="A182" s="47" t="s">
        <v>162</v>
      </c>
      <c r="B182" s="43" t="s">
        <v>122</v>
      </c>
      <c r="C182" s="3">
        <v>300</v>
      </c>
      <c r="D182" s="3">
        <v>300000</v>
      </c>
      <c r="E182" s="48">
        <v>22005</v>
      </c>
      <c r="F182" s="49" t="s">
        <v>98</v>
      </c>
      <c r="G182" s="28"/>
      <c r="H182" s="30"/>
      <c r="I182" s="30"/>
      <c r="J182" s="30"/>
      <c r="K182" s="30"/>
    </row>
    <row r="183" spans="1:11" s="25" customFormat="1" ht="15.75">
      <c r="A183" s="47">
        <v>41142</v>
      </c>
      <c r="B183" s="43" t="s">
        <v>122</v>
      </c>
      <c r="C183" s="3">
        <v>300</v>
      </c>
      <c r="D183" s="3">
        <v>300000</v>
      </c>
      <c r="E183" s="48">
        <v>22005</v>
      </c>
      <c r="F183" s="49">
        <v>4116</v>
      </c>
      <c r="G183" s="28"/>
      <c r="H183" s="30"/>
      <c r="I183" s="30"/>
      <c r="J183" s="30"/>
      <c r="K183" s="30"/>
    </row>
    <row r="184" spans="1:12" ht="15.75">
      <c r="A184" s="55"/>
      <c r="B184" s="62"/>
      <c r="C184" s="1"/>
      <c r="D184" s="2"/>
      <c r="E184" s="6"/>
      <c r="F184" s="57"/>
      <c r="G184" s="28"/>
      <c r="H184" s="30"/>
      <c r="I184" s="30"/>
      <c r="J184" s="30"/>
      <c r="K184" s="30"/>
      <c r="L184" s="25"/>
    </row>
    <row r="185" spans="1:11" s="25" customFormat="1" ht="15.75">
      <c r="A185" s="47"/>
      <c r="B185" s="40" t="s">
        <v>123</v>
      </c>
      <c r="C185" s="4">
        <f>SUM(C186:C200)</f>
        <v>5357.098859999999</v>
      </c>
      <c r="D185" s="4">
        <f>SUM(D186:D200)</f>
        <v>5357100.859999999</v>
      </c>
      <c r="E185" s="48"/>
      <c r="F185" s="49"/>
      <c r="G185" s="28"/>
      <c r="H185" s="30"/>
      <c r="I185" s="30"/>
      <c r="J185" s="30"/>
      <c r="K185" s="30"/>
    </row>
    <row r="186" spans="1:11" s="25" customFormat="1" ht="15.75">
      <c r="A186" s="47" t="s">
        <v>175</v>
      </c>
      <c r="B186" s="43" t="s">
        <v>124</v>
      </c>
      <c r="C186" s="3">
        <v>84</v>
      </c>
      <c r="D186" s="3">
        <v>84000</v>
      </c>
      <c r="E186" s="48">
        <v>14336</v>
      </c>
      <c r="F186" s="49" t="s">
        <v>98</v>
      </c>
      <c r="G186" s="28"/>
      <c r="H186" s="30"/>
      <c r="I186" s="30"/>
      <c r="J186" s="30"/>
      <c r="K186" s="30"/>
    </row>
    <row r="187" spans="1:11" s="25" customFormat="1" ht="15.75">
      <c r="A187" s="47" t="s">
        <v>183</v>
      </c>
      <c r="B187" s="43" t="s">
        <v>124</v>
      </c>
      <c r="C187" s="3">
        <v>84</v>
      </c>
      <c r="D187" s="3">
        <v>84000</v>
      </c>
      <c r="E187" s="48">
        <v>14336</v>
      </c>
      <c r="F187" s="49" t="s">
        <v>98</v>
      </c>
      <c r="G187" s="28"/>
      <c r="H187" s="30"/>
      <c r="I187" s="30"/>
      <c r="J187" s="30"/>
      <c r="K187" s="30"/>
    </row>
    <row r="188" spans="1:11" s="25" customFormat="1" ht="15.75">
      <c r="A188" s="47" t="s">
        <v>212</v>
      </c>
      <c r="B188" s="43" t="s">
        <v>124</v>
      </c>
      <c r="C188" s="3">
        <v>56</v>
      </c>
      <c r="D188" s="3">
        <v>56000</v>
      </c>
      <c r="E188" s="48">
        <v>14336</v>
      </c>
      <c r="F188" s="49" t="s">
        <v>98</v>
      </c>
      <c r="G188" s="28"/>
      <c r="H188" s="30"/>
      <c r="I188" s="30"/>
      <c r="J188" s="30"/>
      <c r="K188" s="30"/>
    </row>
    <row r="189" spans="1:11" s="25" customFormat="1" ht="15.75">
      <c r="A189" s="47" t="s">
        <v>222</v>
      </c>
      <c r="B189" s="43" t="s">
        <v>293</v>
      </c>
      <c r="C189" s="3">
        <v>42</v>
      </c>
      <c r="D189" s="3">
        <v>42000</v>
      </c>
      <c r="E189" s="48">
        <v>14005</v>
      </c>
      <c r="F189" s="49" t="s">
        <v>98</v>
      </c>
      <c r="G189" s="28"/>
      <c r="H189" s="30"/>
      <c r="I189" s="30"/>
      <c r="J189" s="30"/>
      <c r="K189" s="30"/>
    </row>
    <row r="190" spans="1:11" s="25" customFormat="1" ht="15.75">
      <c r="A190" s="47" t="s">
        <v>222</v>
      </c>
      <c r="B190" s="43" t="s">
        <v>294</v>
      </c>
      <c r="C190" s="3">
        <v>65</v>
      </c>
      <c r="D190" s="3">
        <v>65000</v>
      </c>
      <c r="E190" s="48">
        <v>14005</v>
      </c>
      <c r="F190" s="49" t="s">
        <v>98</v>
      </c>
      <c r="G190" s="28"/>
      <c r="H190" s="30"/>
      <c r="I190" s="30"/>
      <c r="J190" s="30"/>
      <c r="K190" s="30"/>
    </row>
    <row r="191" spans="1:11" s="25" customFormat="1" ht="15.75">
      <c r="A191" s="47" t="s">
        <v>222</v>
      </c>
      <c r="B191" s="43" t="s">
        <v>301</v>
      </c>
      <c r="C191" s="3">
        <v>150</v>
      </c>
      <c r="D191" s="3">
        <v>150000</v>
      </c>
      <c r="E191" s="48">
        <v>14005</v>
      </c>
      <c r="F191" s="49" t="s">
        <v>98</v>
      </c>
      <c r="G191" s="28"/>
      <c r="H191" s="30"/>
      <c r="I191" s="30"/>
      <c r="J191" s="30"/>
      <c r="K191" s="30"/>
    </row>
    <row r="192" spans="1:11" s="25" customFormat="1" ht="15.75">
      <c r="A192" s="47" t="s">
        <v>222</v>
      </c>
      <c r="B192" s="43" t="s">
        <v>447</v>
      </c>
      <c r="C192" s="3">
        <v>20</v>
      </c>
      <c r="D192" s="3">
        <v>20000</v>
      </c>
      <c r="E192" s="48">
        <v>14005</v>
      </c>
      <c r="F192" s="49" t="s">
        <v>98</v>
      </c>
      <c r="G192" s="28"/>
      <c r="H192" s="30"/>
      <c r="I192" s="30"/>
      <c r="J192" s="30"/>
      <c r="K192" s="30"/>
    </row>
    <row r="193" spans="1:11" s="25" customFormat="1" ht="15.75">
      <c r="A193" s="47" t="s">
        <v>222</v>
      </c>
      <c r="B193" s="43" t="s">
        <v>295</v>
      </c>
      <c r="C193" s="3">
        <v>68</v>
      </c>
      <c r="D193" s="3">
        <v>68000</v>
      </c>
      <c r="E193" s="48">
        <v>14005</v>
      </c>
      <c r="F193" s="49" t="s">
        <v>98</v>
      </c>
      <c r="G193" s="28"/>
      <c r="H193" s="30"/>
      <c r="I193" s="30"/>
      <c r="J193" s="30"/>
      <c r="K193" s="30"/>
    </row>
    <row r="194" spans="1:11" s="25" customFormat="1" ht="15.75">
      <c r="A194" s="47" t="s">
        <v>324</v>
      </c>
      <c r="B194" s="43" t="s">
        <v>325</v>
      </c>
      <c r="C194" s="3">
        <v>578.884</v>
      </c>
      <c r="D194" s="3">
        <v>578884</v>
      </c>
      <c r="E194" s="48">
        <v>14013</v>
      </c>
      <c r="F194" s="49" t="s">
        <v>98</v>
      </c>
      <c r="G194" s="28"/>
      <c r="H194" s="30"/>
      <c r="I194" s="30"/>
      <c r="J194" s="30"/>
      <c r="K194" s="30"/>
    </row>
    <row r="195" spans="1:11" s="25" customFormat="1" ht="15.75">
      <c r="A195" s="47">
        <v>41208</v>
      </c>
      <c r="B195" s="43" t="s">
        <v>325</v>
      </c>
      <c r="C195" s="3">
        <v>578.884</v>
      </c>
      <c r="D195" s="3">
        <v>578884</v>
      </c>
      <c r="E195" s="48">
        <v>14013</v>
      </c>
      <c r="F195" s="49">
        <v>4116</v>
      </c>
      <c r="G195" s="28"/>
      <c r="H195" s="30"/>
      <c r="I195" s="30"/>
      <c r="J195" s="30"/>
      <c r="K195" s="30"/>
    </row>
    <row r="196" spans="1:11" s="25" customFormat="1" ht="15.75">
      <c r="A196" s="47">
        <v>41208</v>
      </c>
      <c r="B196" s="43" t="s">
        <v>439</v>
      </c>
      <c r="C196" s="3">
        <v>340.47673</v>
      </c>
      <c r="D196" s="3">
        <v>340476.73</v>
      </c>
      <c r="E196" s="48">
        <v>14013</v>
      </c>
      <c r="F196" s="49">
        <v>4116</v>
      </c>
      <c r="G196" s="28"/>
      <c r="H196" s="30"/>
      <c r="I196" s="30"/>
      <c r="J196" s="30"/>
      <c r="K196" s="30"/>
    </row>
    <row r="197" spans="1:11" s="25" customFormat="1" ht="15.75">
      <c r="A197" s="47">
        <v>41263</v>
      </c>
      <c r="B197" s="43" t="s">
        <v>64</v>
      </c>
      <c r="C197" s="3">
        <v>854.66413</v>
      </c>
      <c r="D197" s="3">
        <v>854664.13</v>
      </c>
      <c r="E197" s="48">
        <v>14013</v>
      </c>
      <c r="F197" s="49">
        <v>4116</v>
      </c>
      <c r="G197" s="28"/>
      <c r="H197" s="30"/>
      <c r="I197" s="30"/>
      <c r="J197" s="30"/>
      <c r="K197" s="30"/>
    </row>
    <row r="198" spans="1:11" s="25" customFormat="1" ht="15.75">
      <c r="A198" s="47"/>
      <c r="B198" s="43" t="s">
        <v>242</v>
      </c>
      <c r="C198" s="3">
        <v>400</v>
      </c>
      <c r="D198" s="3">
        <v>400000</v>
      </c>
      <c r="E198" s="48">
        <v>14336</v>
      </c>
      <c r="F198" s="49" t="s">
        <v>98</v>
      </c>
      <c r="G198" s="28"/>
      <c r="H198" s="30"/>
      <c r="I198" s="30"/>
      <c r="J198" s="30"/>
      <c r="K198" s="30"/>
    </row>
    <row r="199" spans="1:11" s="25" customFormat="1" ht="15.75">
      <c r="A199" s="47"/>
      <c r="B199" s="43" t="s">
        <v>438</v>
      </c>
      <c r="C199" s="3">
        <f>600+1400</f>
        <v>2000</v>
      </c>
      <c r="D199" s="3">
        <f>600000+600000+400000+400000</f>
        <v>2000000</v>
      </c>
      <c r="E199" s="48">
        <v>14336</v>
      </c>
      <c r="F199" s="49">
        <v>4116</v>
      </c>
      <c r="G199" s="28"/>
      <c r="H199" s="30"/>
      <c r="I199" s="30"/>
      <c r="J199" s="30"/>
      <c r="K199" s="30"/>
    </row>
    <row r="200" spans="1:11" s="25" customFormat="1" ht="15.75">
      <c r="A200" s="47"/>
      <c r="B200" s="43" t="s">
        <v>16</v>
      </c>
      <c r="C200" s="3">
        <f>25.15+10.04</f>
        <v>35.19</v>
      </c>
      <c r="D200" s="3">
        <f>8264+8736+8144+10048</f>
        <v>35192</v>
      </c>
      <c r="E200" s="48">
        <v>14137</v>
      </c>
      <c r="F200" s="49" t="s">
        <v>98</v>
      </c>
      <c r="G200" s="28"/>
      <c r="H200" s="30"/>
      <c r="I200" s="30"/>
      <c r="J200" s="30"/>
      <c r="K200" s="30"/>
    </row>
    <row r="201" spans="1:12" ht="15.75">
      <c r="A201" s="55"/>
      <c r="B201" s="62"/>
      <c r="C201" s="1"/>
      <c r="D201" s="3"/>
      <c r="E201" s="6"/>
      <c r="F201" s="63"/>
      <c r="G201" s="28"/>
      <c r="H201" s="30"/>
      <c r="I201" s="25"/>
      <c r="J201" s="25"/>
      <c r="K201" s="25"/>
      <c r="L201" s="25"/>
    </row>
    <row r="202" spans="1:8" s="25" customFormat="1" ht="15.75">
      <c r="A202" s="47"/>
      <c r="B202" s="4" t="s">
        <v>125</v>
      </c>
      <c r="C202" s="4">
        <f>+SUM(C203:C209)</f>
        <v>380.54200000000003</v>
      </c>
      <c r="D202" s="4">
        <f>+SUM(D203:D209)</f>
        <v>380542</v>
      </c>
      <c r="E202" s="48"/>
      <c r="F202" s="50"/>
      <c r="G202" s="28"/>
      <c r="H202" s="30"/>
    </row>
    <row r="203" spans="1:8" s="25" customFormat="1" ht="15.75">
      <c r="A203" s="47" t="s">
        <v>222</v>
      </c>
      <c r="B203" s="43" t="s">
        <v>126</v>
      </c>
      <c r="C203" s="3">
        <v>91.275</v>
      </c>
      <c r="D203" s="3">
        <v>91275</v>
      </c>
      <c r="E203" s="48">
        <v>29008</v>
      </c>
      <c r="F203" s="49" t="s">
        <v>98</v>
      </c>
      <c r="G203" s="28"/>
      <c r="H203" s="30"/>
    </row>
    <row r="204" spans="1:8" s="25" customFormat="1" ht="15.75">
      <c r="A204" s="47" t="s">
        <v>271</v>
      </c>
      <c r="B204" s="43" t="s">
        <v>127</v>
      </c>
      <c r="C204" s="3">
        <v>10.15</v>
      </c>
      <c r="D204" s="3">
        <v>10150</v>
      </c>
      <c r="E204" s="48">
        <v>29004</v>
      </c>
      <c r="F204" s="49" t="s">
        <v>98</v>
      </c>
      <c r="G204" s="28"/>
      <c r="H204" s="30"/>
    </row>
    <row r="205" spans="1:8" s="25" customFormat="1" ht="15.75">
      <c r="A205" s="47" t="s">
        <v>271</v>
      </c>
      <c r="B205" s="43" t="s">
        <v>126</v>
      </c>
      <c r="C205" s="3">
        <v>83.209</v>
      </c>
      <c r="D205" s="3">
        <v>83209</v>
      </c>
      <c r="E205" s="48">
        <v>29008</v>
      </c>
      <c r="F205" s="49" t="s">
        <v>98</v>
      </c>
      <c r="G205" s="28"/>
      <c r="H205" s="30"/>
    </row>
    <row r="206" spans="1:8" s="25" customFormat="1" ht="15.75">
      <c r="A206" s="47">
        <v>41178</v>
      </c>
      <c r="B206" s="43" t="s">
        <v>126</v>
      </c>
      <c r="C206" s="3">
        <v>84.649</v>
      </c>
      <c r="D206" s="3">
        <v>84649</v>
      </c>
      <c r="E206" s="48">
        <v>29008</v>
      </c>
      <c r="F206" s="50">
        <v>4116</v>
      </c>
      <c r="G206" s="28"/>
      <c r="H206" s="30"/>
    </row>
    <row r="207" spans="1:8" s="25" customFormat="1" ht="15.75">
      <c r="A207" s="47">
        <v>41222</v>
      </c>
      <c r="B207" s="43" t="s">
        <v>127</v>
      </c>
      <c r="C207" s="3">
        <v>25.1</v>
      </c>
      <c r="D207" s="3">
        <v>25100</v>
      </c>
      <c r="E207" s="48">
        <v>29004</v>
      </c>
      <c r="F207" s="49">
        <v>4116</v>
      </c>
      <c r="G207" s="28"/>
      <c r="H207" s="30"/>
    </row>
    <row r="208" spans="1:8" s="25" customFormat="1" ht="15.75">
      <c r="A208" s="47">
        <v>41242</v>
      </c>
      <c r="B208" s="43" t="s">
        <v>126</v>
      </c>
      <c r="C208" s="3">
        <v>86.159</v>
      </c>
      <c r="D208" s="3">
        <v>86159</v>
      </c>
      <c r="E208" s="48">
        <v>29008</v>
      </c>
      <c r="F208" s="50">
        <v>4116</v>
      </c>
      <c r="G208" s="28"/>
      <c r="H208" s="30"/>
    </row>
    <row r="209" spans="1:8" s="25" customFormat="1" ht="15.75">
      <c r="A209" s="47"/>
      <c r="B209" s="43"/>
      <c r="C209" s="3"/>
      <c r="D209" s="3"/>
      <c r="E209" s="48"/>
      <c r="F209" s="50"/>
      <c r="G209" s="28"/>
      <c r="H209" s="30"/>
    </row>
    <row r="210" spans="1:8" s="25" customFormat="1" ht="15.75">
      <c r="A210" s="47"/>
      <c r="B210" s="4" t="s">
        <v>128</v>
      </c>
      <c r="C210" s="4">
        <f>++SUM(C211:C227)</f>
        <v>407.0319999999999</v>
      </c>
      <c r="D210" s="4">
        <f>++SUM(D211:D227)</f>
        <v>407032</v>
      </c>
      <c r="E210" s="48"/>
      <c r="F210" s="50"/>
      <c r="G210" s="28"/>
      <c r="H210" s="30"/>
    </row>
    <row r="211" spans="1:8" s="25" customFormat="1" ht="15.75">
      <c r="A211" s="47" t="s">
        <v>201</v>
      </c>
      <c r="B211" s="3" t="s">
        <v>302</v>
      </c>
      <c r="C211" s="3">
        <v>21.875</v>
      </c>
      <c r="D211" s="3">
        <v>21875</v>
      </c>
      <c r="E211" s="48">
        <v>35015</v>
      </c>
      <c r="F211" s="50" t="s">
        <v>98</v>
      </c>
      <c r="G211" s="28"/>
      <c r="H211" s="30"/>
    </row>
    <row r="212" spans="1:8" s="25" customFormat="1" ht="15.75">
      <c r="A212" s="47" t="s">
        <v>201</v>
      </c>
      <c r="B212" s="3" t="s">
        <v>129</v>
      </c>
      <c r="C212" s="3">
        <v>32.588</v>
      </c>
      <c r="D212" s="3">
        <v>32588</v>
      </c>
      <c r="E212" s="48">
        <v>35015</v>
      </c>
      <c r="F212" s="50" t="s">
        <v>98</v>
      </c>
      <c r="G212" s="28"/>
      <c r="H212" s="30"/>
    </row>
    <row r="213" spans="1:8" s="25" customFormat="1" ht="15.75">
      <c r="A213" s="47" t="s">
        <v>201</v>
      </c>
      <c r="B213" s="3" t="s">
        <v>130</v>
      </c>
      <c r="C213" s="3">
        <v>58.5915</v>
      </c>
      <c r="D213" s="3">
        <v>58591.5</v>
      </c>
      <c r="E213" s="48">
        <v>35015</v>
      </c>
      <c r="F213" s="50" t="s">
        <v>98</v>
      </c>
      <c r="G213" s="28"/>
      <c r="H213" s="30"/>
    </row>
    <row r="214" spans="1:8" s="25" customFormat="1" ht="15.75">
      <c r="A214" s="47" t="s">
        <v>201</v>
      </c>
      <c r="B214" s="3" t="s">
        <v>131</v>
      </c>
      <c r="C214" s="3">
        <v>22.275</v>
      </c>
      <c r="D214" s="3">
        <v>22275</v>
      </c>
      <c r="E214" s="48">
        <v>35015</v>
      </c>
      <c r="F214" s="50" t="s">
        <v>98</v>
      </c>
      <c r="G214" s="28"/>
      <c r="H214" s="30"/>
    </row>
    <row r="215" spans="1:8" s="25" customFormat="1" ht="15.75">
      <c r="A215" s="47" t="s">
        <v>203</v>
      </c>
      <c r="B215" s="3" t="s">
        <v>131</v>
      </c>
      <c r="C215" s="3">
        <v>23.625</v>
      </c>
      <c r="D215" s="3">
        <v>23625</v>
      </c>
      <c r="E215" s="48">
        <v>35015</v>
      </c>
      <c r="F215" s="50" t="s">
        <v>98</v>
      </c>
      <c r="G215" s="28"/>
      <c r="H215" s="30"/>
    </row>
    <row r="216" spans="1:8" s="25" customFormat="1" ht="15.75">
      <c r="A216" s="47" t="s">
        <v>203</v>
      </c>
      <c r="B216" s="3" t="s">
        <v>296</v>
      </c>
      <c r="C216" s="3">
        <v>45</v>
      </c>
      <c r="D216" s="3">
        <v>45000</v>
      </c>
      <c r="E216" s="48">
        <v>35015</v>
      </c>
      <c r="F216" s="50" t="s">
        <v>98</v>
      </c>
      <c r="G216" s="28"/>
      <c r="H216" s="30"/>
    </row>
    <row r="217" spans="1:8" s="25" customFormat="1" ht="15.75">
      <c r="A217" s="47" t="s">
        <v>252</v>
      </c>
      <c r="B217" s="3" t="s">
        <v>270</v>
      </c>
      <c r="C217" s="3">
        <v>-19.4</v>
      </c>
      <c r="D217" s="3">
        <v>-19400</v>
      </c>
      <c r="E217" s="48">
        <v>35015</v>
      </c>
      <c r="F217" s="50" t="s">
        <v>98</v>
      </c>
      <c r="G217" s="28"/>
      <c r="H217" s="30"/>
    </row>
    <row r="218" spans="1:8" s="25" customFormat="1" ht="15.75">
      <c r="A218" s="47">
        <v>41155</v>
      </c>
      <c r="B218" s="3" t="s">
        <v>129</v>
      </c>
      <c r="C218" s="3">
        <v>32.588</v>
      </c>
      <c r="D218" s="3">
        <v>32588</v>
      </c>
      <c r="E218" s="48">
        <v>35015</v>
      </c>
      <c r="F218" s="50">
        <v>4116</v>
      </c>
      <c r="G218" s="28"/>
      <c r="H218" s="30"/>
    </row>
    <row r="219" spans="1:8" s="25" customFormat="1" ht="15.75">
      <c r="A219" s="47">
        <v>41155</v>
      </c>
      <c r="B219" s="3" t="s">
        <v>302</v>
      </c>
      <c r="C219" s="3">
        <v>21.875</v>
      </c>
      <c r="D219" s="3">
        <v>21875</v>
      </c>
      <c r="E219" s="48">
        <v>35015</v>
      </c>
      <c r="F219" s="50">
        <v>4116</v>
      </c>
      <c r="G219" s="28"/>
      <c r="H219" s="30"/>
    </row>
    <row r="220" spans="1:8" s="25" customFormat="1" ht="15.75">
      <c r="A220" s="47">
        <v>41155</v>
      </c>
      <c r="B220" s="3" t="s">
        <v>130</v>
      </c>
      <c r="C220" s="3">
        <v>58.5915</v>
      </c>
      <c r="D220" s="3">
        <v>58591.5</v>
      </c>
      <c r="E220" s="48">
        <v>35015</v>
      </c>
      <c r="F220" s="50">
        <v>4116</v>
      </c>
      <c r="G220" s="28"/>
      <c r="H220" s="30"/>
    </row>
    <row r="221" spans="1:8" s="25" customFormat="1" ht="15.75">
      <c r="A221" s="47">
        <v>41155</v>
      </c>
      <c r="B221" s="3" t="s">
        <v>131</v>
      </c>
      <c r="C221" s="3">
        <v>22.275</v>
      </c>
      <c r="D221" s="3">
        <v>22275</v>
      </c>
      <c r="E221" s="48">
        <v>35015</v>
      </c>
      <c r="F221" s="50">
        <v>4116</v>
      </c>
      <c r="G221" s="28"/>
      <c r="H221" s="30"/>
    </row>
    <row r="222" spans="1:8" s="25" customFormat="1" ht="15.75">
      <c r="A222" s="47">
        <v>41165</v>
      </c>
      <c r="B222" s="3" t="s">
        <v>364</v>
      </c>
      <c r="C222" s="3">
        <v>23.625</v>
      </c>
      <c r="D222" s="3">
        <v>23625</v>
      </c>
      <c r="E222" s="48">
        <v>35015</v>
      </c>
      <c r="F222" s="50">
        <v>4116</v>
      </c>
      <c r="G222" s="28"/>
      <c r="H222" s="30"/>
    </row>
    <row r="223" spans="1:8" s="25" customFormat="1" ht="15.75">
      <c r="A223" s="47">
        <v>41242</v>
      </c>
      <c r="B223" s="3" t="s">
        <v>17</v>
      </c>
      <c r="C223" s="3">
        <v>28.573</v>
      </c>
      <c r="D223" s="3">
        <v>28573</v>
      </c>
      <c r="E223" s="48">
        <v>35015</v>
      </c>
      <c r="F223" s="50">
        <v>4116</v>
      </c>
      <c r="G223" s="28"/>
      <c r="H223" s="30"/>
    </row>
    <row r="224" spans="1:8" s="25" customFormat="1" ht="15.75">
      <c r="A224" s="47">
        <v>41242</v>
      </c>
      <c r="B224" s="3" t="s">
        <v>131</v>
      </c>
      <c r="C224" s="3">
        <v>5</v>
      </c>
      <c r="D224" s="3">
        <v>5000</v>
      </c>
      <c r="E224" s="48">
        <v>35015</v>
      </c>
      <c r="F224" s="50">
        <v>4116</v>
      </c>
      <c r="G224" s="28"/>
      <c r="H224" s="30"/>
    </row>
    <row r="225" spans="1:8" s="25" customFormat="1" ht="15.75">
      <c r="A225" s="47">
        <v>41242</v>
      </c>
      <c r="B225" s="3" t="s">
        <v>18</v>
      </c>
      <c r="C225" s="3">
        <v>5</v>
      </c>
      <c r="D225" s="3">
        <v>5000</v>
      </c>
      <c r="E225" s="48">
        <v>35015</v>
      </c>
      <c r="F225" s="50">
        <v>4116</v>
      </c>
      <c r="G225" s="28"/>
      <c r="H225" s="30"/>
    </row>
    <row r="226" spans="1:8" s="25" customFormat="1" ht="15.75">
      <c r="A226" s="47">
        <v>41242</v>
      </c>
      <c r="B226" s="3" t="s">
        <v>19</v>
      </c>
      <c r="C226" s="3">
        <v>0.5</v>
      </c>
      <c r="D226" s="3">
        <v>500</v>
      </c>
      <c r="E226" s="48">
        <v>35015</v>
      </c>
      <c r="F226" s="50">
        <v>4116</v>
      </c>
      <c r="G226" s="28"/>
      <c r="H226" s="30"/>
    </row>
    <row r="227" spans="1:8" s="25" customFormat="1" ht="15.75">
      <c r="A227" s="47">
        <v>41260</v>
      </c>
      <c r="B227" s="3" t="s">
        <v>131</v>
      </c>
      <c r="C227" s="3">
        <v>24.45</v>
      </c>
      <c r="D227" s="3">
        <v>24450</v>
      </c>
      <c r="E227" s="48">
        <v>35015</v>
      </c>
      <c r="F227" s="50">
        <v>4116</v>
      </c>
      <c r="G227" s="28"/>
      <c r="H227" s="30"/>
    </row>
    <row r="228" spans="1:8" s="25" customFormat="1" ht="15.75">
      <c r="A228" s="47"/>
      <c r="B228" s="3"/>
      <c r="C228" s="3"/>
      <c r="D228" s="3"/>
      <c r="E228" s="48"/>
      <c r="F228" s="50"/>
      <c r="G228" s="28"/>
      <c r="H228" s="30"/>
    </row>
    <row r="229" spans="1:8" s="25" customFormat="1" ht="15.75">
      <c r="A229" s="47"/>
      <c r="B229" s="4" t="s">
        <v>68</v>
      </c>
      <c r="C229" s="4">
        <f>+C230+C231</f>
        <v>8749.31154</v>
      </c>
      <c r="D229" s="4">
        <f>+D230+D231</f>
        <v>8749311.54</v>
      </c>
      <c r="E229" s="48"/>
      <c r="F229" s="50"/>
      <c r="G229" s="28"/>
      <c r="H229" s="30"/>
    </row>
    <row r="230" spans="1:8" s="25" customFormat="1" ht="15.75">
      <c r="A230" s="39">
        <v>41185</v>
      </c>
      <c r="B230" s="43" t="s">
        <v>75</v>
      </c>
      <c r="C230" s="17">
        <v>8021.91154</v>
      </c>
      <c r="D230" s="17">
        <v>8021911.54</v>
      </c>
      <c r="E230" s="44">
        <v>15319</v>
      </c>
      <c r="F230" s="44">
        <v>4116</v>
      </c>
      <c r="G230" s="28"/>
      <c r="H230" s="30"/>
    </row>
    <row r="231" spans="1:8" s="25" customFormat="1" ht="15.75">
      <c r="A231" s="39">
        <v>41187</v>
      </c>
      <c r="B231" s="43" t="s">
        <v>70</v>
      </c>
      <c r="C231" s="17">
        <v>727.4</v>
      </c>
      <c r="D231" s="17">
        <v>727400</v>
      </c>
      <c r="E231" s="44">
        <v>15065</v>
      </c>
      <c r="F231" s="44">
        <v>4116</v>
      </c>
      <c r="G231" s="28"/>
      <c r="H231" s="30"/>
    </row>
    <row r="232" spans="1:8" s="25" customFormat="1" ht="15.75">
      <c r="A232" s="47"/>
      <c r="B232" s="3"/>
      <c r="C232" s="3"/>
      <c r="D232" s="3"/>
      <c r="E232" s="48"/>
      <c r="F232" s="50"/>
      <c r="G232" s="27"/>
      <c r="H232" s="30"/>
    </row>
    <row r="233" spans="1:8" s="25" customFormat="1" ht="15.75">
      <c r="A233" s="47"/>
      <c r="B233" s="4" t="s">
        <v>132</v>
      </c>
      <c r="C233" s="4">
        <f>+C234+C235+C236</f>
        <v>0</v>
      </c>
      <c r="D233" s="4">
        <f>+D234+D235+D236</f>
        <v>67295.94</v>
      </c>
      <c r="E233" s="48"/>
      <c r="F233" s="50"/>
      <c r="G233" s="27"/>
      <c r="H233" s="30"/>
    </row>
    <row r="234" spans="1:12" ht="15.75">
      <c r="A234" s="47" t="s">
        <v>287</v>
      </c>
      <c r="B234" s="54" t="s">
        <v>288</v>
      </c>
      <c r="C234" s="3">
        <v>0</v>
      </c>
      <c r="D234" s="3">
        <v>11122.36</v>
      </c>
      <c r="E234" s="6"/>
      <c r="F234" s="50" t="s">
        <v>133</v>
      </c>
      <c r="G234" s="64"/>
      <c r="H234" s="30"/>
      <c r="I234" s="25"/>
      <c r="J234" s="25"/>
      <c r="K234" s="25"/>
      <c r="L234" s="25"/>
    </row>
    <row r="235" spans="1:12" ht="15.75">
      <c r="A235" s="47">
        <v>41254</v>
      </c>
      <c r="B235" s="54" t="s">
        <v>35</v>
      </c>
      <c r="C235" s="3">
        <v>0</v>
      </c>
      <c r="D235" s="3">
        <v>55359.58</v>
      </c>
      <c r="E235" s="6"/>
      <c r="F235" s="50">
        <v>4119</v>
      </c>
      <c r="G235" s="64"/>
      <c r="H235" s="30"/>
      <c r="I235" s="25"/>
      <c r="J235" s="25"/>
      <c r="K235" s="25"/>
      <c r="L235" s="25"/>
    </row>
    <row r="236" spans="1:12" ht="15.75">
      <c r="A236" s="47">
        <v>41264</v>
      </c>
      <c r="B236" s="54" t="s">
        <v>288</v>
      </c>
      <c r="C236" s="3">
        <v>0</v>
      </c>
      <c r="D236" s="3">
        <v>814</v>
      </c>
      <c r="E236" s="6"/>
      <c r="F236" s="50">
        <v>4119</v>
      </c>
      <c r="G236" s="64"/>
      <c r="H236" s="30"/>
      <c r="I236" s="25"/>
      <c r="J236" s="25"/>
      <c r="K236" s="25"/>
      <c r="L236" s="25"/>
    </row>
    <row r="237" spans="1:12" ht="15.75">
      <c r="A237" s="55"/>
      <c r="B237" s="1"/>
      <c r="C237" s="1"/>
      <c r="D237" s="3"/>
      <c r="E237" s="6"/>
      <c r="F237" s="63"/>
      <c r="G237" s="64"/>
      <c r="H237" s="30"/>
      <c r="I237" s="25"/>
      <c r="J237" s="25"/>
      <c r="K237" s="25"/>
      <c r="L237" s="25"/>
    </row>
    <row r="238" spans="1:8" s="25" customFormat="1" ht="15.75">
      <c r="A238" s="47"/>
      <c r="B238" s="40" t="s">
        <v>134</v>
      </c>
      <c r="C238" s="7">
        <f>SUM(C239:C364)</f>
        <v>33506.611750000004</v>
      </c>
      <c r="D238" s="7">
        <f>SUM(D239:D364)</f>
        <v>33506610.959999993</v>
      </c>
      <c r="E238" s="48"/>
      <c r="F238" s="44"/>
      <c r="G238" s="27"/>
      <c r="H238" s="30"/>
    </row>
    <row r="239" spans="1:8" s="25" customFormat="1" ht="15.75">
      <c r="A239" s="47" t="s">
        <v>161</v>
      </c>
      <c r="B239" s="45" t="s">
        <v>431</v>
      </c>
      <c r="C239" s="5">
        <v>29.985</v>
      </c>
      <c r="D239" s="20">
        <v>29985</v>
      </c>
      <c r="E239" s="48">
        <v>14011</v>
      </c>
      <c r="F239" s="50" t="s">
        <v>135</v>
      </c>
      <c r="G239" s="27"/>
      <c r="H239" s="30"/>
    </row>
    <row r="240" spans="1:8" s="25" customFormat="1" ht="15.75">
      <c r="A240" s="47" t="s">
        <v>167</v>
      </c>
      <c r="B240" s="45" t="s">
        <v>166</v>
      </c>
      <c r="C240" s="5">
        <f>886.15112+156.37961</f>
        <v>1042.53073</v>
      </c>
      <c r="D240" s="20">
        <f>886151.12+156379.61</f>
        <v>1042530.73</v>
      </c>
      <c r="E240" s="48">
        <v>33006</v>
      </c>
      <c r="F240" s="50" t="s">
        <v>135</v>
      </c>
      <c r="G240" s="27"/>
      <c r="H240" s="30"/>
    </row>
    <row r="241" spans="1:8" s="25" customFormat="1" ht="15.75">
      <c r="A241" s="47" t="s">
        <v>171</v>
      </c>
      <c r="B241" s="45" t="s">
        <v>136</v>
      </c>
      <c r="C241" s="5">
        <f>429.79893+75.84688</f>
        <v>505.64581</v>
      </c>
      <c r="D241" s="20">
        <f>429798.93+75846.88</f>
        <v>505645.81</v>
      </c>
      <c r="E241" s="48">
        <v>33006</v>
      </c>
      <c r="F241" s="50" t="s">
        <v>135</v>
      </c>
      <c r="G241" s="27"/>
      <c r="H241" s="30"/>
    </row>
    <row r="242" spans="1:8" s="25" customFormat="1" ht="15.75">
      <c r="A242" s="47" t="s">
        <v>171</v>
      </c>
      <c r="B242" s="45" t="s">
        <v>297</v>
      </c>
      <c r="C242" s="5">
        <f>125.57091+22.15958</f>
        <v>147.73049</v>
      </c>
      <c r="D242" s="20">
        <f>125570.91+22159.58</f>
        <v>147730.49</v>
      </c>
      <c r="E242" s="48">
        <v>33006</v>
      </c>
      <c r="F242" s="50" t="s">
        <v>135</v>
      </c>
      <c r="G242" s="27"/>
      <c r="H242" s="30"/>
    </row>
    <row r="243" spans="1:8" s="25" customFormat="1" ht="15.75">
      <c r="A243" s="47" t="s">
        <v>171</v>
      </c>
      <c r="B243" s="45" t="s">
        <v>303</v>
      </c>
      <c r="C243" s="5">
        <f>195.93662+34.57706</f>
        <v>230.51368000000002</v>
      </c>
      <c r="D243" s="20">
        <f>195936.62+34577.06</f>
        <v>230513.68</v>
      </c>
      <c r="E243" s="48">
        <v>33006</v>
      </c>
      <c r="F243" s="50" t="s">
        <v>135</v>
      </c>
      <c r="G243" s="27"/>
      <c r="H243" s="30"/>
    </row>
    <row r="244" spans="1:8" s="25" customFormat="1" ht="15.75">
      <c r="A244" s="47" t="s">
        <v>171</v>
      </c>
      <c r="B244" s="45" t="s">
        <v>169</v>
      </c>
      <c r="C244" s="5">
        <f>197.9191+34.9269</f>
        <v>232.846</v>
      </c>
      <c r="D244" s="20">
        <f>197919.1+34926.9</f>
        <v>232846</v>
      </c>
      <c r="E244" s="48">
        <v>33006</v>
      </c>
      <c r="F244" s="50" t="s">
        <v>135</v>
      </c>
      <c r="G244" s="27"/>
      <c r="H244" s="30"/>
    </row>
    <row r="245" spans="1:8" s="25" customFormat="1" ht="15.75">
      <c r="A245" s="47" t="s">
        <v>171</v>
      </c>
      <c r="B245" s="45" t="s">
        <v>170</v>
      </c>
      <c r="C245" s="5">
        <f>55.45875+9.78684</f>
        <v>65.24559</v>
      </c>
      <c r="D245" s="20">
        <f>55458.75+9786.84</f>
        <v>65245.59</v>
      </c>
      <c r="E245" s="48">
        <v>33006</v>
      </c>
      <c r="F245" s="50" t="s">
        <v>135</v>
      </c>
      <c r="G245" s="27"/>
      <c r="H245" s="30"/>
    </row>
    <row r="246" spans="1:8" s="25" customFormat="1" ht="15.75">
      <c r="A246" s="47" t="s">
        <v>174</v>
      </c>
      <c r="B246" s="45" t="s">
        <v>137</v>
      </c>
      <c r="C246" s="5">
        <f>344.22338+60.74531</f>
        <v>404.96869000000004</v>
      </c>
      <c r="D246" s="20">
        <f>344223.38+60745.31</f>
        <v>404968.69</v>
      </c>
      <c r="E246" s="48">
        <v>33006</v>
      </c>
      <c r="F246" s="50" t="s">
        <v>135</v>
      </c>
      <c r="G246" s="27"/>
      <c r="H246" s="30"/>
    </row>
    <row r="247" spans="1:8" s="25" customFormat="1" ht="15.75">
      <c r="A247" s="47" t="s">
        <v>175</v>
      </c>
      <c r="B247" s="45" t="s">
        <v>176</v>
      </c>
      <c r="C247" s="5">
        <f>318.67698+56.23712</f>
        <v>374.9141</v>
      </c>
      <c r="D247" s="20">
        <f>318676.98+56237.12</f>
        <v>374914.1</v>
      </c>
      <c r="E247" s="48">
        <v>33006</v>
      </c>
      <c r="F247" s="50" t="s">
        <v>135</v>
      </c>
      <c r="G247" s="27"/>
      <c r="H247" s="30"/>
    </row>
    <row r="248" spans="1:8" s="25" customFormat="1" ht="15.75">
      <c r="A248" s="47" t="s">
        <v>178</v>
      </c>
      <c r="B248" s="45" t="s">
        <v>429</v>
      </c>
      <c r="C248" s="5">
        <v>188.10094</v>
      </c>
      <c r="D248" s="20">
        <f>159885.8+28215.14</f>
        <v>188100.94</v>
      </c>
      <c r="E248" s="48">
        <v>33006</v>
      </c>
      <c r="F248" s="50" t="s">
        <v>135</v>
      </c>
      <c r="G248" s="27"/>
      <c r="H248" s="30"/>
    </row>
    <row r="249" spans="1:8" s="25" customFormat="1" ht="15.75">
      <c r="A249" s="47" t="s">
        <v>185</v>
      </c>
      <c r="B249" s="45" t="s">
        <v>184</v>
      </c>
      <c r="C249" s="5">
        <v>780.96176</v>
      </c>
      <c r="D249" s="20">
        <f>663817.49+117144.27</f>
        <v>780961.76</v>
      </c>
      <c r="E249" s="48">
        <v>33006</v>
      </c>
      <c r="F249" s="50" t="s">
        <v>135</v>
      </c>
      <c r="G249" s="27"/>
      <c r="H249" s="30"/>
    </row>
    <row r="250" spans="1:8" s="25" customFormat="1" ht="15.75">
      <c r="A250" s="47" t="s">
        <v>185</v>
      </c>
      <c r="B250" s="45" t="s">
        <v>138</v>
      </c>
      <c r="C250" s="5">
        <v>397.05475</v>
      </c>
      <c r="D250" s="20">
        <f>337496.53+59558.22</f>
        <v>397054.75</v>
      </c>
      <c r="E250" s="48">
        <v>33006</v>
      </c>
      <c r="F250" s="50" t="s">
        <v>135</v>
      </c>
      <c r="G250" s="27"/>
      <c r="H250" s="30"/>
    </row>
    <row r="251" spans="1:8" s="25" customFormat="1" ht="15.75">
      <c r="A251" s="47" t="s">
        <v>213</v>
      </c>
      <c r="B251" s="45" t="s">
        <v>136</v>
      </c>
      <c r="C251" s="5">
        <v>0.23877</v>
      </c>
      <c r="D251" s="20">
        <f>202.95+35.82</f>
        <v>238.76999999999998</v>
      </c>
      <c r="E251" s="48">
        <v>33006</v>
      </c>
      <c r="F251" s="50" t="s">
        <v>135</v>
      </c>
      <c r="G251" s="27"/>
      <c r="H251" s="30"/>
    </row>
    <row r="252" spans="1:8" s="25" customFormat="1" ht="15.75">
      <c r="A252" s="47" t="s">
        <v>213</v>
      </c>
      <c r="B252" s="45" t="s">
        <v>214</v>
      </c>
      <c r="C252" s="5">
        <v>700.336</v>
      </c>
      <c r="D252" s="20">
        <f>595285.6+105050.4</f>
        <v>700336</v>
      </c>
      <c r="E252" s="48">
        <v>33006</v>
      </c>
      <c r="F252" s="50" t="s">
        <v>135</v>
      </c>
      <c r="G252" s="27"/>
      <c r="H252" s="30"/>
    </row>
    <row r="253" spans="1:8" s="25" customFormat="1" ht="15.75">
      <c r="A253" s="47" t="s">
        <v>211</v>
      </c>
      <c r="B253" s="45" t="s">
        <v>215</v>
      </c>
      <c r="C253" s="5">
        <v>613.9855</v>
      </c>
      <c r="D253" s="5">
        <f>521887.67+92097.83</f>
        <v>613985.5</v>
      </c>
      <c r="E253" s="48">
        <v>33006</v>
      </c>
      <c r="F253" s="50" t="s">
        <v>135</v>
      </c>
      <c r="G253" s="27"/>
      <c r="H253" s="30"/>
    </row>
    <row r="254" spans="1:8" s="25" customFormat="1" ht="15.75">
      <c r="A254" s="47" t="s">
        <v>219</v>
      </c>
      <c r="B254" s="45" t="s">
        <v>166</v>
      </c>
      <c r="C254" s="5">
        <f>827.99261+146.11635</f>
        <v>974.10896</v>
      </c>
      <c r="D254" s="20">
        <f>827992.61+146116.35</f>
        <v>974108.96</v>
      </c>
      <c r="E254" s="48">
        <v>33006</v>
      </c>
      <c r="F254" s="50" t="s">
        <v>135</v>
      </c>
      <c r="G254" s="27"/>
      <c r="H254" s="30"/>
    </row>
    <row r="255" spans="1:8" s="25" customFormat="1" ht="15.75">
      <c r="A255" s="47" t="s">
        <v>222</v>
      </c>
      <c r="B255" s="45" t="s">
        <v>220</v>
      </c>
      <c r="C255" s="5">
        <f>95.61395+16.87305</f>
        <v>112.487</v>
      </c>
      <c r="D255" s="20">
        <f>95613.95+16873.05</f>
        <v>112487</v>
      </c>
      <c r="E255" s="48">
        <v>33006</v>
      </c>
      <c r="F255" s="50" t="s">
        <v>135</v>
      </c>
      <c r="G255" s="27"/>
      <c r="H255" s="30"/>
    </row>
    <row r="256" spans="1:8" s="25" customFormat="1" ht="15.75">
      <c r="A256" s="93" t="s">
        <v>222</v>
      </c>
      <c r="B256" s="45" t="s">
        <v>297</v>
      </c>
      <c r="C256" s="21">
        <f>135.64608+23.93755</f>
        <v>159.58363000000003</v>
      </c>
      <c r="D256" s="94">
        <f>135646.08+23937.55</f>
        <v>159583.62999999998</v>
      </c>
      <c r="E256" s="95">
        <v>33006</v>
      </c>
      <c r="F256" s="96" t="s">
        <v>135</v>
      </c>
      <c r="G256" s="27"/>
      <c r="H256" s="30"/>
    </row>
    <row r="257" spans="1:8" s="25" customFormat="1" ht="15.75">
      <c r="A257" s="47" t="s">
        <v>222</v>
      </c>
      <c r="B257" s="98" t="s">
        <v>221</v>
      </c>
      <c r="C257" s="2">
        <f>47.6466+8.40823</f>
        <v>56.054829999999995</v>
      </c>
      <c r="D257" s="2">
        <f>47646.6+8408.23</f>
        <v>56054.83</v>
      </c>
      <c r="E257" s="48">
        <v>33006</v>
      </c>
      <c r="F257" s="49" t="s">
        <v>135</v>
      </c>
      <c r="G257" s="27"/>
      <c r="H257" s="30"/>
    </row>
    <row r="258" spans="1:8" s="25" customFormat="1" ht="15.75">
      <c r="A258" s="47" t="s">
        <v>226</v>
      </c>
      <c r="B258" s="98" t="s">
        <v>223</v>
      </c>
      <c r="C258" s="2">
        <f>774.44327+136.66646</f>
        <v>911.10973</v>
      </c>
      <c r="D258" s="2">
        <f>774443.27+136666.46</f>
        <v>911109.73</v>
      </c>
      <c r="E258" s="48">
        <v>33030</v>
      </c>
      <c r="F258" s="49" t="s">
        <v>135</v>
      </c>
      <c r="G258" s="27"/>
      <c r="H258" s="30"/>
    </row>
    <row r="259" spans="1:8" s="25" customFormat="1" ht="15.75">
      <c r="A259" s="39" t="s">
        <v>226</v>
      </c>
      <c r="B259" s="11" t="s">
        <v>224</v>
      </c>
      <c r="C259" s="5">
        <v>774.34828</v>
      </c>
      <c r="D259" s="97">
        <f>658196.03+116152.25</f>
        <v>774348.28</v>
      </c>
      <c r="E259" s="44">
        <v>33030</v>
      </c>
      <c r="F259" s="50" t="s">
        <v>135</v>
      </c>
      <c r="G259" s="27"/>
      <c r="H259" s="30"/>
    </row>
    <row r="260" spans="1:8" s="25" customFormat="1" ht="15.75">
      <c r="A260" s="47" t="s">
        <v>226</v>
      </c>
      <c r="B260" s="45" t="s">
        <v>225</v>
      </c>
      <c r="C260" s="5">
        <v>515.38704</v>
      </c>
      <c r="D260" s="20">
        <f>438078.98+77308.06</f>
        <v>515387.04</v>
      </c>
      <c r="E260" s="48">
        <v>33030</v>
      </c>
      <c r="F260" s="50" t="s">
        <v>135</v>
      </c>
      <c r="G260" s="27"/>
      <c r="H260" s="30"/>
    </row>
    <row r="261" spans="1:8" s="25" customFormat="1" ht="15.75">
      <c r="A261" s="47" t="s">
        <v>228</v>
      </c>
      <c r="B261" s="45" t="s">
        <v>227</v>
      </c>
      <c r="C261" s="5">
        <f>387.55625+68.39229</f>
        <v>455.94854</v>
      </c>
      <c r="D261" s="20">
        <f>387556.25+68392.29</f>
        <v>455948.54</v>
      </c>
      <c r="E261" s="48">
        <v>33006</v>
      </c>
      <c r="F261" s="50" t="s">
        <v>135</v>
      </c>
      <c r="G261" s="27"/>
      <c r="H261" s="30"/>
    </row>
    <row r="262" spans="1:8" s="25" customFormat="1" ht="15.75">
      <c r="A262" s="47" t="s">
        <v>230</v>
      </c>
      <c r="B262" s="45" t="s">
        <v>137</v>
      </c>
      <c r="C262" s="5">
        <v>92.1361</v>
      </c>
      <c r="D262" s="20">
        <f>78315.68+13820.42</f>
        <v>92136.09999999999</v>
      </c>
      <c r="E262" s="48">
        <v>33006</v>
      </c>
      <c r="F262" s="50" t="s">
        <v>135</v>
      </c>
      <c r="G262" s="27"/>
      <c r="H262" s="30"/>
    </row>
    <row r="263" spans="1:8" s="25" customFormat="1" ht="15.75">
      <c r="A263" s="47" t="s">
        <v>230</v>
      </c>
      <c r="B263" s="45" t="s">
        <v>138</v>
      </c>
      <c r="C263" s="5">
        <v>252.08185</v>
      </c>
      <c r="D263" s="20">
        <f>214269.57+37812.28</f>
        <v>252081.85</v>
      </c>
      <c r="E263" s="48">
        <v>33006</v>
      </c>
      <c r="F263" s="50" t="s">
        <v>135</v>
      </c>
      <c r="G263" s="27"/>
      <c r="H263" s="30"/>
    </row>
    <row r="264" spans="1:8" s="25" customFormat="1" ht="15.75">
      <c r="A264" s="47" t="s">
        <v>230</v>
      </c>
      <c r="B264" s="45" t="s">
        <v>430</v>
      </c>
      <c r="C264" s="5">
        <v>191.42853</v>
      </c>
      <c r="D264" s="20">
        <f>162714.25+28714.28</f>
        <v>191428.53</v>
      </c>
      <c r="E264" s="48">
        <v>33006</v>
      </c>
      <c r="F264" s="50" t="s">
        <v>135</v>
      </c>
      <c r="G264" s="27"/>
      <c r="H264" s="30"/>
    </row>
    <row r="265" spans="1:8" s="25" customFormat="1" ht="15.75">
      <c r="A265" s="47" t="s">
        <v>230</v>
      </c>
      <c r="B265" s="45" t="s">
        <v>136</v>
      </c>
      <c r="C265" s="5">
        <v>369.67777</v>
      </c>
      <c r="D265" s="20">
        <f>314226.1+55451.67</f>
        <v>369677.76999999996</v>
      </c>
      <c r="E265" s="48">
        <v>33006</v>
      </c>
      <c r="F265" s="50" t="s">
        <v>135</v>
      </c>
      <c r="G265" s="27"/>
      <c r="H265" s="30"/>
    </row>
    <row r="266" spans="1:8" s="25" customFormat="1" ht="15.75">
      <c r="A266" s="47" t="s">
        <v>232</v>
      </c>
      <c r="B266" s="45" t="s">
        <v>231</v>
      </c>
      <c r="C266" s="5">
        <v>190.94748</v>
      </c>
      <c r="D266" s="20">
        <f>162305.35+28642.13</f>
        <v>190947.48</v>
      </c>
      <c r="E266" s="48">
        <v>33006</v>
      </c>
      <c r="F266" s="50" t="s">
        <v>135</v>
      </c>
      <c r="G266" s="27"/>
      <c r="H266" s="30"/>
    </row>
    <row r="267" spans="1:8" s="25" customFormat="1" ht="15.75">
      <c r="A267" s="47" t="s">
        <v>241</v>
      </c>
      <c r="B267" s="45" t="s">
        <v>431</v>
      </c>
      <c r="C267" s="5">
        <v>28.5</v>
      </c>
      <c r="D267" s="5">
        <v>28500</v>
      </c>
      <c r="E267" s="48">
        <v>14011</v>
      </c>
      <c r="F267" s="50" t="s">
        <v>135</v>
      </c>
      <c r="G267" s="27"/>
      <c r="H267" s="30"/>
    </row>
    <row r="268" spans="1:8" s="25" customFormat="1" ht="15.75">
      <c r="A268" s="47" t="s">
        <v>233</v>
      </c>
      <c r="B268" s="45" t="s">
        <v>304</v>
      </c>
      <c r="C268" s="5">
        <v>96.22192</v>
      </c>
      <c r="D268" s="20">
        <f>81788.63+14433.29</f>
        <v>96221.92000000001</v>
      </c>
      <c r="E268" s="48">
        <v>33006</v>
      </c>
      <c r="F268" s="50" t="s">
        <v>135</v>
      </c>
      <c r="G268" s="27"/>
      <c r="H268" s="30"/>
    </row>
    <row r="269" spans="1:8" s="25" customFormat="1" ht="15.75">
      <c r="A269" s="47" t="s">
        <v>235</v>
      </c>
      <c r="B269" s="45" t="s">
        <v>234</v>
      </c>
      <c r="C269" s="5">
        <v>616.65554</v>
      </c>
      <c r="D269" s="20">
        <f>524157.2+92498.34</f>
        <v>616655.54</v>
      </c>
      <c r="E269" s="48">
        <v>33006</v>
      </c>
      <c r="F269" s="50" t="s">
        <v>135</v>
      </c>
      <c r="G269" s="27"/>
      <c r="H269" s="30"/>
    </row>
    <row r="270" spans="1:8" s="25" customFormat="1" ht="15.75">
      <c r="A270" s="47" t="s">
        <v>252</v>
      </c>
      <c r="B270" s="45" t="s">
        <v>253</v>
      </c>
      <c r="C270" s="5">
        <f>398.45483+70.31556</f>
        <v>468.77039</v>
      </c>
      <c r="D270" s="20">
        <f>398454.83+70315.56</f>
        <v>468770.39</v>
      </c>
      <c r="E270" s="48">
        <v>33030</v>
      </c>
      <c r="F270" s="50" t="s">
        <v>135</v>
      </c>
      <c r="G270" s="27"/>
      <c r="H270" s="30"/>
    </row>
    <row r="271" spans="1:8" s="25" customFormat="1" ht="15.75">
      <c r="A271" s="47" t="s">
        <v>252</v>
      </c>
      <c r="B271" s="45" t="s">
        <v>254</v>
      </c>
      <c r="C271" s="5">
        <f>240.31113+42.40785</f>
        <v>282.71898</v>
      </c>
      <c r="D271" s="20">
        <f>240311.13+42407.85</f>
        <v>282718.98</v>
      </c>
      <c r="E271" s="48">
        <v>33030</v>
      </c>
      <c r="F271" s="50" t="s">
        <v>135</v>
      </c>
      <c r="G271" s="27"/>
      <c r="H271" s="30"/>
    </row>
    <row r="272" spans="1:8" s="25" customFormat="1" ht="15.75">
      <c r="A272" s="47" t="s">
        <v>256</v>
      </c>
      <c r="B272" s="45" t="s">
        <v>255</v>
      </c>
      <c r="C272" s="5">
        <f>408.81413+72.14368</f>
        <v>480.95781</v>
      </c>
      <c r="D272" s="20">
        <f>408814.13+72143.68</f>
        <v>480957.81</v>
      </c>
      <c r="E272" s="48">
        <v>33006</v>
      </c>
      <c r="F272" s="50" t="s">
        <v>135</v>
      </c>
      <c r="G272" s="27"/>
      <c r="H272" s="30"/>
    </row>
    <row r="273" spans="1:8" s="25" customFormat="1" ht="15.75">
      <c r="A273" s="47" t="s">
        <v>257</v>
      </c>
      <c r="B273" s="45" t="s">
        <v>227</v>
      </c>
      <c r="C273" s="5">
        <f>220.77354+38.96004</f>
        <v>259.73358</v>
      </c>
      <c r="D273" s="20">
        <f>220773.54+38960.04</f>
        <v>259733.58000000002</v>
      </c>
      <c r="E273" s="48">
        <v>33006</v>
      </c>
      <c r="F273" s="50" t="s">
        <v>135</v>
      </c>
      <c r="G273" s="27"/>
      <c r="H273" s="30"/>
    </row>
    <row r="274" spans="1:8" s="25" customFormat="1" ht="15.75">
      <c r="A274" s="47" t="s">
        <v>259</v>
      </c>
      <c r="B274" s="45" t="s">
        <v>258</v>
      </c>
      <c r="C274" s="5">
        <v>151.08984</v>
      </c>
      <c r="D274" s="20">
        <f>128426.36+22663.48</f>
        <v>151089.84</v>
      </c>
      <c r="E274" s="48">
        <v>33006</v>
      </c>
      <c r="F274" s="50" t="s">
        <v>135</v>
      </c>
      <c r="G274" s="27"/>
      <c r="H274" s="30"/>
    </row>
    <row r="275" spans="1:8" s="25" customFormat="1" ht="15.75">
      <c r="A275" s="47" t="s">
        <v>282</v>
      </c>
      <c r="B275" s="45" t="s">
        <v>283</v>
      </c>
      <c r="C275" s="5">
        <v>428.98574</v>
      </c>
      <c r="D275" s="20">
        <f>364637.87+64347.87</f>
        <v>428985.74</v>
      </c>
      <c r="E275" s="48">
        <v>33030</v>
      </c>
      <c r="F275" s="50" t="s">
        <v>135</v>
      </c>
      <c r="G275" s="27"/>
      <c r="H275" s="30"/>
    </row>
    <row r="276" spans="1:8" s="25" customFormat="1" ht="15.75">
      <c r="A276" s="93" t="s">
        <v>305</v>
      </c>
      <c r="B276" s="45" t="s">
        <v>220</v>
      </c>
      <c r="C276" s="21">
        <v>163.8012</v>
      </c>
      <c r="D276" s="94">
        <f>139231.02+24570.18</f>
        <v>163801.19999999998</v>
      </c>
      <c r="E276" s="95">
        <v>33006</v>
      </c>
      <c r="F276" s="96" t="s">
        <v>135</v>
      </c>
      <c r="G276" s="27"/>
      <c r="H276" s="30"/>
    </row>
    <row r="277" spans="1:8" s="25" customFormat="1" ht="15.75">
      <c r="A277" s="47" t="s">
        <v>323</v>
      </c>
      <c r="B277" s="98" t="s">
        <v>322</v>
      </c>
      <c r="C277" s="2">
        <v>302.05565</v>
      </c>
      <c r="D277" s="2">
        <f>256747.3+45308.35</f>
        <v>302055.64999999997</v>
      </c>
      <c r="E277" s="48">
        <v>33006</v>
      </c>
      <c r="F277" s="49" t="s">
        <v>135</v>
      </c>
      <c r="G277" s="27"/>
      <c r="H277" s="30"/>
    </row>
    <row r="278" spans="1:8" s="25" customFormat="1" ht="15.75">
      <c r="A278" s="47">
        <v>41124</v>
      </c>
      <c r="B278" s="98" t="s">
        <v>337</v>
      </c>
      <c r="C278" s="2">
        <v>100</v>
      </c>
      <c r="D278" s="2">
        <v>100000</v>
      </c>
      <c r="E278" s="48">
        <v>539</v>
      </c>
      <c r="F278" s="49">
        <v>4122</v>
      </c>
      <c r="G278" s="27"/>
      <c r="H278" s="30"/>
    </row>
    <row r="279" spans="1:8" s="25" customFormat="1" ht="15.75">
      <c r="A279" s="39">
        <v>41124</v>
      </c>
      <c r="B279" s="11" t="s">
        <v>338</v>
      </c>
      <c r="C279" s="5">
        <v>155.2</v>
      </c>
      <c r="D279" s="97">
        <v>155200</v>
      </c>
      <c r="E279" s="44">
        <v>539</v>
      </c>
      <c r="F279" s="50">
        <v>4122</v>
      </c>
      <c r="G279" s="27"/>
      <c r="H279" s="30"/>
    </row>
    <row r="280" spans="1:8" s="25" customFormat="1" ht="15.75">
      <c r="A280" s="47">
        <v>41124</v>
      </c>
      <c r="B280" s="45" t="s">
        <v>339</v>
      </c>
      <c r="C280" s="5">
        <v>188</v>
      </c>
      <c r="D280" s="20">
        <v>188000</v>
      </c>
      <c r="E280" s="48">
        <v>539</v>
      </c>
      <c r="F280" s="50">
        <v>4122</v>
      </c>
      <c r="G280" s="27"/>
      <c r="H280" s="30"/>
    </row>
    <row r="281" spans="1:8" s="25" customFormat="1" ht="15.75">
      <c r="A281" s="47">
        <v>41129</v>
      </c>
      <c r="B281" s="45" t="s">
        <v>342</v>
      </c>
      <c r="C281" s="5">
        <v>1000</v>
      </c>
      <c r="D281" s="20">
        <v>1000000</v>
      </c>
      <c r="E281" s="48">
        <v>331</v>
      </c>
      <c r="F281" s="50">
        <v>4122</v>
      </c>
      <c r="G281" s="27"/>
      <c r="H281" s="30"/>
    </row>
    <row r="282" spans="1:8" s="25" customFormat="1" ht="15.75">
      <c r="A282" s="47">
        <v>41142</v>
      </c>
      <c r="B282" s="45" t="s">
        <v>349</v>
      </c>
      <c r="C282" s="5">
        <v>1300</v>
      </c>
      <c r="D282" s="20">
        <v>1300000</v>
      </c>
      <c r="E282" s="48">
        <v>331</v>
      </c>
      <c r="F282" s="50">
        <v>4122</v>
      </c>
      <c r="G282" s="27"/>
      <c r="H282" s="30"/>
    </row>
    <row r="283" spans="1:8" s="25" customFormat="1" ht="15.75">
      <c r="A283" s="47">
        <v>41142</v>
      </c>
      <c r="B283" s="45" t="s">
        <v>350</v>
      </c>
      <c r="C283" s="5">
        <v>100</v>
      </c>
      <c r="D283" s="20">
        <v>100000</v>
      </c>
      <c r="E283" s="48">
        <v>331</v>
      </c>
      <c r="F283" s="50">
        <v>4122</v>
      </c>
      <c r="G283" s="27"/>
      <c r="H283" s="30"/>
    </row>
    <row r="284" spans="1:8" s="25" customFormat="1" ht="15.75">
      <c r="A284" s="47">
        <v>41142</v>
      </c>
      <c r="B284" s="45" t="s">
        <v>176</v>
      </c>
      <c r="C284" s="5">
        <f>215.63033+38.05242</f>
        <v>253.68275</v>
      </c>
      <c r="D284" s="20">
        <v>253682.75</v>
      </c>
      <c r="E284" s="48">
        <v>33006</v>
      </c>
      <c r="F284" s="50">
        <v>4122</v>
      </c>
      <c r="G284" s="27"/>
      <c r="H284" s="30"/>
    </row>
    <row r="285" spans="1:8" s="25" customFormat="1" ht="15.75">
      <c r="A285" s="47">
        <v>41142</v>
      </c>
      <c r="B285" s="45" t="s">
        <v>166</v>
      </c>
      <c r="C285" s="5">
        <f>339.676+59.94283</f>
        <v>399.61883</v>
      </c>
      <c r="D285" s="20">
        <v>399618.83</v>
      </c>
      <c r="E285" s="48">
        <v>33006</v>
      </c>
      <c r="F285" s="50">
        <v>4122</v>
      </c>
      <c r="G285" s="27"/>
      <c r="H285" s="30"/>
    </row>
    <row r="286" spans="1:8" s="25" customFormat="1" ht="15.75">
      <c r="A286" s="47">
        <v>41142</v>
      </c>
      <c r="B286" s="45" t="s">
        <v>231</v>
      </c>
      <c r="C286" s="5">
        <f>152.95986+26.99292</f>
        <v>179.95278</v>
      </c>
      <c r="D286" s="20">
        <v>179952.78</v>
      </c>
      <c r="E286" s="48">
        <v>33006</v>
      </c>
      <c r="F286" s="50">
        <v>4122</v>
      </c>
      <c r="G286" s="27"/>
      <c r="H286" s="30"/>
    </row>
    <row r="287" spans="1:8" s="25" customFormat="1" ht="15.75">
      <c r="A287" s="47">
        <v>41142</v>
      </c>
      <c r="B287" s="45" t="s">
        <v>227</v>
      </c>
      <c r="C287" s="5">
        <f>263.85679+46.56297</f>
        <v>310.41976</v>
      </c>
      <c r="D287" s="20">
        <f>263856.79+46562.97</f>
        <v>310419.76</v>
      </c>
      <c r="E287" s="48">
        <v>33006</v>
      </c>
      <c r="F287" s="50">
        <v>4122</v>
      </c>
      <c r="G287" s="27"/>
      <c r="H287" s="30"/>
    </row>
    <row r="288" spans="1:8" s="25" customFormat="1" ht="15.75">
      <c r="A288" s="47">
        <v>41143</v>
      </c>
      <c r="B288" s="45" t="s">
        <v>431</v>
      </c>
      <c r="C288" s="5">
        <v>34.75</v>
      </c>
      <c r="D288" s="20">
        <v>34750</v>
      </c>
      <c r="E288" s="48">
        <v>14011</v>
      </c>
      <c r="F288" s="50">
        <v>4122</v>
      </c>
      <c r="G288" s="27"/>
      <c r="H288" s="30"/>
    </row>
    <row r="289" spans="1:8" s="25" customFormat="1" ht="15.75">
      <c r="A289" s="47">
        <v>41148</v>
      </c>
      <c r="B289" s="45" t="s">
        <v>215</v>
      </c>
      <c r="C289" s="5">
        <f>273.49406+48.26366</f>
        <v>321.75772</v>
      </c>
      <c r="D289" s="20">
        <v>321757.72</v>
      </c>
      <c r="E289" s="48">
        <v>33006</v>
      </c>
      <c r="F289" s="50">
        <v>4122</v>
      </c>
      <c r="G289" s="27"/>
      <c r="H289" s="30"/>
    </row>
    <row r="290" spans="1:8" s="25" customFormat="1" ht="15.75">
      <c r="A290" s="47">
        <v>41148</v>
      </c>
      <c r="B290" s="45" t="s">
        <v>137</v>
      </c>
      <c r="C290" s="5">
        <v>246.83798</v>
      </c>
      <c r="D290" s="20">
        <v>246837.98</v>
      </c>
      <c r="E290" s="48">
        <v>33006</v>
      </c>
      <c r="F290" s="50">
        <v>4122</v>
      </c>
      <c r="G290" s="27"/>
      <c r="H290" s="30"/>
    </row>
    <row r="291" spans="1:8" s="25" customFormat="1" ht="15.75">
      <c r="A291" s="47">
        <v>41148</v>
      </c>
      <c r="B291" s="45" t="s">
        <v>353</v>
      </c>
      <c r="C291" s="5">
        <v>200</v>
      </c>
      <c r="D291" s="20">
        <v>200000</v>
      </c>
      <c r="E291" s="48">
        <v>331</v>
      </c>
      <c r="F291" s="50">
        <v>4122</v>
      </c>
      <c r="G291" s="27"/>
      <c r="H291" s="30"/>
    </row>
    <row r="292" spans="1:8" s="25" customFormat="1" ht="15.75">
      <c r="A292" s="47">
        <v>41148</v>
      </c>
      <c r="B292" s="45" t="s">
        <v>354</v>
      </c>
      <c r="C292" s="5">
        <v>150</v>
      </c>
      <c r="D292" s="20">
        <v>150000</v>
      </c>
      <c r="E292" s="48">
        <v>331</v>
      </c>
      <c r="F292" s="50">
        <v>4122</v>
      </c>
      <c r="G292" s="27"/>
      <c r="H292" s="30"/>
    </row>
    <row r="293" spans="1:8" s="25" customFormat="1" ht="15.75">
      <c r="A293" s="47">
        <v>41148</v>
      </c>
      <c r="B293" s="45" t="s">
        <v>355</v>
      </c>
      <c r="C293" s="5">
        <v>750</v>
      </c>
      <c r="D293" s="20">
        <v>750000</v>
      </c>
      <c r="E293" s="48">
        <v>331</v>
      </c>
      <c r="F293" s="50">
        <v>4122</v>
      </c>
      <c r="G293" s="27"/>
      <c r="H293" s="30"/>
    </row>
    <row r="294" spans="1:8" s="25" customFormat="1" ht="15.75">
      <c r="A294" s="47">
        <v>41148</v>
      </c>
      <c r="B294" s="45" t="s">
        <v>356</v>
      </c>
      <c r="C294" s="5">
        <v>300</v>
      </c>
      <c r="D294" s="20">
        <v>300000</v>
      </c>
      <c r="E294" s="48">
        <v>331</v>
      </c>
      <c r="F294" s="50">
        <v>4122</v>
      </c>
      <c r="G294" s="27"/>
      <c r="H294" s="30"/>
    </row>
    <row r="295" spans="1:8" s="25" customFormat="1" ht="15.75">
      <c r="A295" s="47">
        <v>41148</v>
      </c>
      <c r="B295" s="45" t="s">
        <v>357</v>
      </c>
      <c r="C295" s="5">
        <v>600</v>
      </c>
      <c r="D295" s="20">
        <v>600000</v>
      </c>
      <c r="E295" s="48">
        <v>331</v>
      </c>
      <c r="F295" s="50">
        <v>4122</v>
      </c>
      <c r="G295" s="27"/>
      <c r="H295" s="30"/>
    </row>
    <row r="296" spans="1:8" s="25" customFormat="1" ht="15.75">
      <c r="A296" s="47">
        <v>41148</v>
      </c>
      <c r="B296" s="45" t="s">
        <v>359</v>
      </c>
      <c r="C296" s="5">
        <v>150</v>
      </c>
      <c r="D296" s="20">
        <v>150000</v>
      </c>
      <c r="E296" s="48">
        <v>331</v>
      </c>
      <c r="F296" s="50">
        <v>4122</v>
      </c>
      <c r="G296" s="27"/>
      <c r="H296" s="30"/>
    </row>
    <row r="297" spans="1:8" s="25" customFormat="1" ht="15.75">
      <c r="A297" s="47">
        <v>41148</v>
      </c>
      <c r="B297" s="45" t="s">
        <v>358</v>
      </c>
      <c r="C297" s="5">
        <v>300</v>
      </c>
      <c r="D297" s="20">
        <v>300000</v>
      </c>
      <c r="E297" s="48">
        <v>331</v>
      </c>
      <c r="F297" s="50">
        <v>4122</v>
      </c>
      <c r="G297" s="27"/>
      <c r="H297" s="30"/>
    </row>
    <row r="298" spans="1:8" s="25" customFormat="1" ht="15.75">
      <c r="A298" s="47">
        <v>41149</v>
      </c>
      <c r="B298" s="45" t="s">
        <v>229</v>
      </c>
      <c r="C298" s="5">
        <f>537.96946+94.93579</f>
        <v>632.90525</v>
      </c>
      <c r="D298" s="20">
        <v>632905.25</v>
      </c>
      <c r="E298" s="48">
        <v>33006</v>
      </c>
      <c r="F298" s="50">
        <v>4122</v>
      </c>
      <c r="G298" s="27"/>
      <c r="H298" s="30"/>
    </row>
    <row r="299" spans="1:8" s="25" customFormat="1" ht="15.75">
      <c r="A299" s="47">
        <v>41149</v>
      </c>
      <c r="B299" s="45" t="s">
        <v>138</v>
      </c>
      <c r="C299" s="5">
        <v>59.43863</v>
      </c>
      <c r="D299" s="20">
        <v>59438.63</v>
      </c>
      <c r="E299" s="48">
        <v>33006</v>
      </c>
      <c r="F299" s="50">
        <v>4122</v>
      </c>
      <c r="G299" s="27"/>
      <c r="H299" s="30"/>
    </row>
    <row r="300" spans="1:8" s="25" customFormat="1" ht="15.75">
      <c r="A300" s="47">
        <v>41149</v>
      </c>
      <c r="B300" s="45" t="s">
        <v>184</v>
      </c>
      <c r="C300" s="5">
        <v>485.53367</v>
      </c>
      <c r="D300" s="20">
        <v>485533.67</v>
      </c>
      <c r="E300" s="48">
        <v>33006</v>
      </c>
      <c r="F300" s="50">
        <v>4122</v>
      </c>
      <c r="G300" s="27"/>
      <c r="H300" s="30"/>
    </row>
    <row r="301" spans="1:8" s="25" customFormat="1" ht="15.75">
      <c r="A301" s="47">
        <v>41150</v>
      </c>
      <c r="B301" s="45" t="s">
        <v>360</v>
      </c>
      <c r="C301" s="5">
        <v>100</v>
      </c>
      <c r="D301" s="20">
        <v>100000</v>
      </c>
      <c r="E301" s="48">
        <v>539</v>
      </c>
      <c r="F301" s="50">
        <v>4122</v>
      </c>
      <c r="G301" s="27"/>
      <c r="H301" s="30"/>
    </row>
    <row r="302" spans="1:8" s="25" customFormat="1" ht="15.75">
      <c r="A302" s="47">
        <v>41156</v>
      </c>
      <c r="B302" s="45" t="s">
        <v>362</v>
      </c>
      <c r="C302" s="5">
        <v>400.89079</v>
      </c>
      <c r="D302" s="20">
        <v>400890.79</v>
      </c>
      <c r="E302" s="48">
        <v>33030</v>
      </c>
      <c r="F302" s="50">
        <v>4122</v>
      </c>
      <c r="G302" s="27"/>
      <c r="H302" s="30"/>
    </row>
    <row r="303" spans="1:8" s="25" customFormat="1" ht="15.75">
      <c r="A303" s="47">
        <v>41163</v>
      </c>
      <c r="B303" s="45" t="s">
        <v>363</v>
      </c>
      <c r="C303" s="5">
        <v>50</v>
      </c>
      <c r="D303" s="20">
        <v>50000</v>
      </c>
      <c r="E303" s="48">
        <v>214</v>
      </c>
      <c r="F303" s="50">
        <v>4122</v>
      </c>
      <c r="G303" s="27"/>
      <c r="H303" s="30"/>
    </row>
    <row r="304" spans="1:8" s="25" customFormat="1" ht="15.75">
      <c r="A304" s="47">
        <v>41173</v>
      </c>
      <c r="B304" s="45" t="s">
        <v>370</v>
      </c>
      <c r="C304" s="5">
        <v>100</v>
      </c>
      <c r="D304" s="20">
        <v>100000</v>
      </c>
      <c r="E304" s="48">
        <v>331</v>
      </c>
      <c r="F304" s="50">
        <v>4122</v>
      </c>
      <c r="G304" s="27"/>
      <c r="H304" s="30"/>
    </row>
    <row r="305" spans="1:8" s="25" customFormat="1" ht="15.75">
      <c r="A305" s="47">
        <v>41178</v>
      </c>
      <c r="B305" s="45" t="s">
        <v>170</v>
      </c>
      <c r="C305" s="5">
        <v>208.85019</v>
      </c>
      <c r="D305" s="20">
        <v>208850.19</v>
      </c>
      <c r="E305" s="48">
        <v>33006</v>
      </c>
      <c r="F305" s="50">
        <v>4122</v>
      </c>
      <c r="G305" s="27"/>
      <c r="H305" s="30"/>
    </row>
    <row r="306" spans="1:8" s="25" customFormat="1" ht="15.75">
      <c r="A306" s="47">
        <v>41184</v>
      </c>
      <c r="B306" s="45" t="s">
        <v>431</v>
      </c>
      <c r="C306" s="5">
        <v>3.75</v>
      </c>
      <c r="D306" s="20">
        <v>3750</v>
      </c>
      <c r="E306" s="48">
        <v>14011</v>
      </c>
      <c r="F306" s="50" t="s">
        <v>135</v>
      </c>
      <c r="G306" s="27"/>
      <c r="H306" s="30"/>
    </row>
    <row r="307" spans="1:8" s="25" customFormat="1" ht="15.75">
      <c r="A307" s="47">
        <v>41185</v>
      </c>
      <c r="B307" s="45" t="s">
        <v>67</v>
      </c>
      <c r="C307" s="5">
        <v>150</v>
      </c>
      <c r="D307" s="20">
        <v>150000</v>
      </c>
      <c r="E307" s="48">
        <v>331</v>
      </c>
      <c r="F307" s="50">
        <v>4122</v>
      </c>
      <c r="G307" s="27"/>
      <c r="H307" s="30"/>
    </row>
    <row r="308" spans="1:8" s="25" customFormat="1" ht="15.75">
      <c r="A308" s="47">
        <v>41187</v>
      </c>
      <c r="B308" s="45" t="s">
        <v>231</v>
      </c>
      <c r="C308" s="5">
        <v>183.57824</v>
      </c>
      <c r="D308" s="20">
        <v>183578.24</v>
      </c>
      <c r="E308" s="48">
        <v>33006</v>
      </c>
      <c r="F308" s="50">
        <v>4122</v>
      </c>
      <c r="G308" s="27"/>
      <c r="H308" s="30"/>
    </row>
    <row r="309" spans="1:8" s="25" customFormat="1" ht="15.75">
      <c r="A309" s="47">
        <v>41193</v>
      </c>
      <c r="B309" s="45" t="s">
        <v>223</v>
      </c>
      <c r="C309" s="5">
        <v>72.0427</v>
      </c>
      <c r="D309" s="20">
        <v>72042.7</v>
      </c>
      <c r="E309" s="48">
        <v>33030</v>
      </c>
      <c r="F309" s="50" t="s">
        <v>135</v>
      </c>
      <c r="G309" s="27"/>
      <c r="H309" s="30"/>
    </row>
    <row r="310" spans="1:8" s="25" customFormat="1" ht="15.75">
      <c r="A310" s="47">
        <v>41204</v>
      </c>
      <c r="B310" s="45" t="s">
        <v>434</v>
      </c>
      <c r="C310" s="5">
        <v>1765</v>
      </c>
      <c r="D310" s="20">
        <v>1765000</v>
      </c>
      <c r="E310" s="48">
        <v>222</v>
      </c>
      <c r="F310" s="50">
        <v>4122</v>
      </c>
      <c r="G310" s="27"/>
      <c r="H310" s="30"/>
    </row>
    <row r="311" spans="1:8" s="25" customFormat="1" ht="15.75">
      <c r="A311" s="47">
        <v>41212</v>
      </c>
      <c r="B311" s="45" t="s">
        <v>214</v>
      </c>
      <c r="C311" s="5">
        <v>2.15712</v>
      </c>
      <c r="D311" s="20">
        <v>2157.12</v>
      </c>
      <c r="E311" s="48">
        <v>33006</v>
      </c>
      <c r="F311" s="50">
        <v>4122</v>
      </c>
      <c r="G311" s="27"/>
      <c r="H311" s="30"/>
    </row>
    <row r="312" spans="1:8" s="25" customFormat="1" ht="15.75">
      <c r="A312" s="47">
        <v>41212</v>
      </c>
      <c r="B312" s="45" t="s">
        <v>138</v>
      </c>
      <c r="C312" s="5">
        <v>85.77499</v>
      </c>
      <c r="D312" s="20">
        <v>85774.99</v>
      </c>
      <c r="E312" s="48">
        <v>33006</v>
      </c>
      <c r="F312" s="50">
        <v>4122</v>
      </c>
      <c r="G312" s="27"/>
      <c r="H312" s="30"/>
    </row>
    <row r="313" spans="1:8" s="25" customFormat="1" ht="15.75">
      <c r="A313" s="47">
        <v>41215</v>
      </c>
      <c r="B313" s="45" t="s">
        <v>5</v>
      </c>
      <c r="C313" s="5">
        <v>130</v>
      </c>
      <c r="D313" s="20">
        <v>130000</v>
      </c>
      <c r="E313" s="48">
        <v>331</v>
      </c>
      <c r="F313" s="50">
        <v>4122</v>
      </c>
      <c r="G313" s="27"/>
      <c r="H313" s="30"/>
    </row>
    <row r="314" spans="1:8" s="25" customFormat="1" ht="15.75">
      <c r="A314" s="47">
        <v>41218</v>
      </c>
      <c r="B314" s="45" t="s">
        <v>6</v>
      </c>
      <c r="C314" s="5">
        <v>150</v>
      </c>
      <c r="D314" s="20">
        <v>150000</v>
      </c>
      <c r="E314" s="48">
        <v>331</v>
      </c>
      <c r="F314" s="50">
        <v>4122</v>
      </c>
      <c r="G314" s="27"/>
      <c r="H314" s="30"/>
    </row>
    <row r="315" spans="1:8" s="25" customFormat="1" ht="15.75">
      <c r="A315" s="47">
        <v>41222</v>
      </c>
      <c r="B315" s="45" t="s">
        <v>11</v>
      </c>
      <c r="C315" s="5">
        <v>3</v>
      </c>
      <c r="D315" s="20">
        <v>3000</v>
      </c>
      <c r="E315" s="48">
        <v>342</v>
      </c>
      <c r="F315" s="50">
        <v>4122</v>
      </c>
      <c r="G315" s="27"/>
      <c r="H315" s="30"/>
    </row>
    <row r="316" spans="1:8" s="25" customFormat="1" ht="15.75">
      <c r="A316" s="47">
        <v>41226</v>
      </c>
      <c r="B316" s="45" t="s">
        <v>176</v>
      </c>
      <c r="C316" s="5">
        <v>279.39593</v>
      </c>
      <c r="D316" s="20">
        <f>237486.54+41909.39</f>
        <v>279395.93</v>
      </c>
      <c r="E316" s="48">
        <v>33006</v>
      </c>
      <c r="F316" s="50">
        <v>4122</v>
      </c>
      <c r="G316" s="27"/>
      <c r="H316" s="30"/>
    </row>
    <row r="317" spans="1:8" s="25" customFormat="1" ht="15.75">
      <c r="A317" s="47">
        <v>41236</v>
      </c>
      <c r="B317" s="45" t="s">
        <v>227</v>
      </c>
      <c r="C317" s="5">
        <v>238.85025</v>
      </c>
      <c r="D317" s="20">
        <v>238850.25</v>
      </c>
      <c r="E317" s="48">
        <v>33006</v>
      </c>
      <c r="F317" s="50">
        <v>4122</v>
      </c>
      <c r="G317" s="27"/>
      <c r="H317" s="30"/>
    </row>
    <row r="318" spans="1:8" s="25" customFormat="1" ht="15.75">
      <c r="A318" s="47">
        <v>41241</v>
      </c>
      <c r="B318" s="45" t="s">
        <v>254</v>
      </c>
      <c r="C318" s="5">
        <f>56.41919+9.95633</f>
        <v>66.37552</v>
      </c>
      <c r="D318" s="20">
        <v>66375.52</v>
      </c>
      <c r="E318" s="48">
        <v>33030</v>
      </c>
      <c r="F318" s="50">
        <v>4122</v>
      </c>
      <c r="G318" s="27"/>
      <c r="H318" s="30"/>
    </row>
    <row r="319" spans="1:8" s="25" customFormat="1" ht="15.75">
      <c r="A319" s="47">
        <v>41241</v>
      </c>
      <c r="B319" s="45" t="s">
        <v>253</v>
      </c>
      <c r="C319" s="5">
        <f>396.63589+69.99457</f>
        <v>466.63046</v>
      </c>
      <c r="D319" s="20">
        <v>466630.46</v>
      </c>
      <c r="E319" s="48">
        <v>33030</v>
      </c>
      <c r="F319" s="50">
        <v>4122</v>
      </c>
      <c r="G319" s="27"/>
      <c r="H319" s="30"/>
    </row>
    <row r="320" spans="1:8" s="25" customFormat="1" ht="15.75">
      <c r="A320" s="47">
        <v>41250</v>
      </c>
      <c r="B320" s="43" t="s">
        <v>429</v>
      </c>
      <c r="C320" s="5">
        <v>298.2549</v>
      </c>
      <c r="D320" s="20">
        <v>298254.9</v>
      </c>
      <c r="E320" s="48">
        <v>33006</v>
      </c>
      <c r="F320" s="50">
        <v>4122</v>
      </c>
      <c r="G320" s="27"/>
      <c r="H320" s="30"/>
    </row>
    <row r="321" spans="1:8" s="25" customFormat="1" ht="15.75">
      <c r="A321" s="47">
        <v>41253</v>
      </c>
      <c r="B321" s="45" t="s">
        <v>32</v>
      </c>
      <c r="C321" s="5">
        <v>50</v>
      </c>
      <c r="D321" s="20">
        <v>50000</v>
      </c>
      <c r="E321" s="48">
        <v>331</v>
      </c>
      <c r="F321" s="50">
        <v>4122</v>
      </c>
      <c r="G321" s="27"/>
      <c r="H321" s="30"/>
    </row>
    <row r="322" spans="1:8" s="25" customFormat="1" ht="15.75">
      <c r="A322" s="47">
        <v>41253</v>
      </c>
      <c r="B322" s="45" t="s">
        <v>33</v>
      </c>
      <c r="C322" s="5">
        <v>50</v>
      </c>
      <c r="D322" s="20">
        <v>50000</v>
      </c>
      <c r="E322" s="48">
        <v>331</v>
      </c>
      <c r="F322" s="50">
        <v>4122</v>
      </c>
      <c r="G322" s="27"/>
      <c r="H322" s="30"/>
    </row>
    <row r="323" spans="1:8" s="25" customFormat="1" ht="15.75">
      <c r="A323" s="47">
        <v>41257</v>
      </c>
      <c r="B323" s="45" t="s">
        <v>431</v>
      </c>
      <c r="C323" s="5">
        <v>30</v>
      </c>
      <c r="D323" s="20">
        <v>30000</v>
      </c>
      <c r="E323" s="48">
        <v>14011</v>
      </c>
      <c r="F323" s="50">
        <v>4122</v>
      </c>
      <c r="G323" s="27"/>
      <c r="H323" s="30"/>
    </row>
    <row r="324" spans="1:8" s="25" customFormat="1" ht="15.75">
      <c r="A324" s="47">
        <v>41260</v>
      </c>
      <c r="B324" s="45" t="s">
        <v>166</v>
      </c>
      <c r="C324" s="5">
        <v>495.3863</v>
      </c>
      <c r="D324" s="20">
        <v>495386.3</v>
      </c>
      <c r="E324" s="48">
        <v>33006</v>
      </c>
      <c r="F324" s="50">
        <v>4122</v>
      </c>
      <c r="G324" s="27"/>
      <c r="H324" s="30"/>
    </row>
    <row r="325" spans="1:8" s="25" customFormat="1" ht="15.75">
      <c r="A325" s="47">
        <v>41260</v>
      </c>
      <c r="B325" s="45" t="s">
        <v>214</v>
      </c>
      <c r="C325" s="5">
        <v>2.72354</v>
      </c>
      <c r="D325" s="20">
        <v>2723.54</v>
      </c>
      <c r="E325" s="48">
        <v>33006</v>
      </c>
      <c r="F325" s="50">
        <v>4122</v>
      </c>
      <c r="G325" s="27"/>
      <c r="H325" s="30"/>
    </row>
    <row r="326" spans="1:8" s="25" customFormat="1" ht="15.75">
      <c r="A326" s="47">
        <v>41264</v>
      </c>
      <c r="B326" s="45" t="s">
        <v>297</v>
      </c>
      <c r="C326" s="5">
        <v>10.84449</v>
      </c>
      <c r="D326" s="20">
        <v>10844.49</v>
      </c>
      <c r="E326" s="48">
        <v>33006</v>
      </c>
      <c r="F326" s="50">
        <v>4122</v>
      </c>
      <c r="G326" s="27"/>
      <c r="H326" s="30"/>
    </row>
    <row r="327" spans="1:8" s="25" customFormat="1" ht="15.75">
      <c r="A327" s="47">
        <v>41264</v>
      </c>
      <c r="B327" s="45" t="s">
        <v>136</v>
      </c>
      <c r="C327" s="5">
        <v>252.62956</v>
      </c>
      <c r="D327" s="20">
        <v>252629.56</v>
      </c>
      <c r="E327" s="48">
        <v>33006</v>
      </c>
      <c r="F327" s="50">
        <v>4122</v>
      </c>
      <c r="G327" s="27"/>
      <c r="H327" s="30"/>
    </row>
    <row r="328" spans="1:8" s="25" customFormat="1" ht="15.75">
      <c r="A328" s="47">
        <v>41264</v>
      </c>
      <c r="B328" s="45" t="s">
        <v>303</v>
      </c>
      <c r="C328" s="5">
        <v>76.55475</v>
      </c>
      <c r="D328" s="20">
        <v>76554.75</v>
      </c>
      <c r="E328" s="48">
        <v>33006</v>
      </c>
      <c r="F328" s="50">
        <v>4122</v>
      </c>
      <c r="G328" s="27"/>
      <c r="H328" s="30"/>
    </row>
    <row r="329" spans="1:8" s="25" customFormat="1" ht="15.75">
      <c r="A329" s="47">
        <v>41264</v>
      </c>
      <c r="B329" s="45" t="s">
        <v>184</v>
      </c>
      <c r="C329" s="5">
        <v>212.99992</v>
      </c>
      <c r="D329" s="20">
        <v>212999.92</v>
      </c>
      <c r="E329" s="48">
        <v>33006</v>
      </c>
      <c r="F329" s="50">
        <v>4122</v>
      </c>
      <c r="G329" s="27"/>
      <c r="H329" s="30"/>
    </row>
    <row r="330" spans="1:8" s="25" customFormat="1" ht="15.75">
      <c r="A330" s="47">
        <v>41264</v>
      </c>
      <c r="B330" s="45" t="s">
        <v>430</v>
      </c>
      <c r="C330" s="5">
        <v>505.45912</v>
      </c>
      <c r="D330" s="20">
        <v>505459.12</v>
      </c>
      <c r="E330" s="48">
        <v>33006</v>
      </c>
      <c r="F330" s="50">
        <v>4122</v>
      </c>
      <c r="G330" s="27"/>
      <c r="H330" s="30"/>
    </row>
    <row r="331" spans="1:8" s="25" customFormat="1" ht="15.75">
      <c r="A331" s="47">
        <v>41264</v>
      </c>
      <c r="B331" s="45" t="s">
        <v>231</v>
      </c>
      <c r="C331" s="5">
        <v>127.00133</v>
      </c>
      <c r="D331" s="20">
        <v>127001.33</v>
      </c>
      <c r="E331" s="48">
        <v>33006</v>
      </c>
      <c r="F331" s="50">
        <v>4122</v>
      </c>
      <c r="G331" s="27"/>
      <c r="H331" s="30"/>
    </row>
    <row r="332" spans="1:8" s="25" customFormat="1" ht="15.75">
      <c r="A332" s="47">
        <v>41264</v>
      </c>
      <c r="B332" s="45" t="s">
        <v>220</v>
      </c>
      <c r="C332" s="5">
        <v>215.65432</v>
      </c>
      <c r="D332" s="20">
        <v>215654.32</v>
      </c>
      <c r="E332" s="48">
        <v>33006</v>
      </c>
      <c r="F332" s="50">
        <v>4122</v>
      </c>
      <c r="G332" s="27"/>
      <c r="H332" s="30"/>
    </row>
    <row r="333" spans="1:8" s="25" customFormat="1" ht="15.75">
      <c r="A333" s="47">
        <v>41271</v>
      </c>
      <c r="B333" s="45" t="s">
        <v>61</v>
      </c>
      <c r="C333" s="5">
        <v>1287.93176</v>
      </c>
      <c r="D333" s="20">
        <f>1094741.98+193189.78</f>
        <v>1287931.76</v>
      </c>
      <c r="E333" s="48">
        <v>33006</v>
      </c>
      <c r="F333" s="50">
        <v>4122</v>
      </c>
      <c r="G333" s="27"/>
      <c r="H333" s="30"/>
    </row>
    <row r="334" spans="1:8" s="25" customFormat="1" ht="15.75">
      <c r="A334" s="47"/>
      <c r="B334" s="45" t="s">
        <v>316</v>
      </c>
      <c r="C334" s="5">
        <v>210</v>
      </c>
      <c r="D334" s="20">
        <v>210000</v>
      </c>
      <c r="E334" s="48">
        <v>551</v>
      </c>
      <c r="F334" s="50" t="s">
        <v>135</v>
      </c>
      <c r="G334" s="27"/>
      <c r="H334" s="30"/>
    </row>
    <row r="335" spans="1:8" s="25" customFormat="1" ht="15.75">
      <c r="A335" s="47"/>
      <c r="B335" s="45" t="s">
        <v>51</v>
      </c>
      <c r="C335" s="5">
        <v>2.4</v>
      </c>
      <c r="D335" s="20">
        <v>2400</v>
      </c>
      <c r="E335" s="48">
        <v>14004</v>
      </c>
      <c r="F335" s="50">
        <v>4122</v>
      </c>
      <c r="G335" s="27"/>
      <c r="H335" s="30"/>
    </row>
    <row r="336" spans="1:8" s="25" customFormat="1" ht="15.75">
      <c r="A336" s="47"/>
      <c r="B336" s="45" t="s">
        <v>432</v>
      </c>
      <c r="C336" s="5">
        <f>45-4.21</f>
        <v>40.79</v>
      </c>
      <c r="D336" s="20">
        <f>45000-4212</f>
        <v>40788</v>
      </c>
      <c r="E336" s="48">
        <v>341</v>
      </c>
      <c r="F336" s="50">
        <v>4122</v>
      </c>
      <c r="G336" s="27"/>
      <c r="H336" s="30"/>
    </row>
    <row r="337" spans="1:8" s="25" customFormat="1" ht="15.75">
      <c r="A337" s="47"/>
      <c r="B337" s="45" t="s">
        <v>27</v>
      </c>
      <c r="C337" s="5">
        <v>9.41</v>
      </c>
      <c r="D337" s="20">
        <v>9410</v>
      </c>
      <c r="E337" s="48">
        <v>14004</v>
      </c>
      <c r="F337" s="50">
        <v>4122</v>
      </c>
      <c r="G337" s="27"/>
      <c r="H337" s="30"/>
    </row>
    <row r="338" spans="1:8" s="25" customFormat="1" ht="15.75">
      <c r="A338" s="47"/>
      <c r="B338" s="45" t="s">
        <v>281</v>
      </c>
      <c r="C338" s="5">
        <v>43</v>
      </c>
      <c r="D338" s="20">
        <v>43000</v>
      </c>
      <c r="E338" s="48">
        <v>551</v>
      </c>
      <c r="F338" s="50" t="s">
        <v>135</v>
      </c>
      <c r="G338" s="27"/>
      <c r="H338" s="30"/>
    </row>
    <row r="339" spans="1:8" s="25" customFormat="1" ht="15.75">
      <c r="A339" s="47"/>
      <c r="B339" s="45" t="s">
        <v>29</v>
      </c>
      <c r="C339" s="5">
        <v>2.4</v>
      </c>
      <c r="D339" s="20">
        <v>2400</v>
      </c>
      <c r="E339" s="48">
        <v>14004</v>
      </c>
      <c r="F339" s="50">
        <v>4122</v>
      </c>
      <c r="G339" s="27"/>
      <c r="H339" s="30"/>
    </row>
    <row r="340" spans="1:8" s="25" customFormat="1" ht="15.75">
      <c r="A340" s="47"/>
      <c r="B340" s="45" t="s">
        <v>444</v>
      </c>
      <c r="C340" s="5">
        <v>22.9</v>
      </c>
      <c r="D340" s="20">
        <v>22900</v>
      </c>
      <c r="E340" s="48">
        <v>98009</v>
      </c>
      <c r="F340" s="50">
        <v>4122</v>
      </c>
      <c r="G340" s="27"/>
      <c r="H340" s="30"/>
    </row>
    <row r="341" spans="1:8" s="25" customFormat="1" ht="15.75">
      <c r="A341" s="93"/>
      <c r="B341" s="45" t="s">
        <v>60</v>
      </c>
      <c r="C341" s="21">
        <v>0.72</v>
      </c>
      <c r="D341" s="94">
        <v>720</v>
      </c>
      <c r="E341" s="95">
        <v>14004</v>
      </c>
      <c r="F341" s="96">
        <v>4122</v>
      </c>
      <c r="G341" s="27"/>
      <c r="H341" s="30"/>
    </row>
    <row r="342" spans="1:8" s="25" customFormat="1" ht="15.75">
      <c r="A342" s="47"/>
      <c r="B342" s="98" t="s">
        <v>26</v>
      </c>
      <c r="C342" s="2">
        <v>0.96</v>
      </c>
      <c r="D342" s="2">
        <v>960</v>
      </c>
      <c r="E342" s="48">
        <v>14004</v>
      </c>
      <c r="F342" s="49">
        <v>4122</v>
      </c>
      <c r="G342" s="27"/>
      <c r="H342" s="30"/>
    </row>
    <row r="343" spans="1:8" s="25" customFormat="1" ht="15.75">
      <c r="A343" s="47"/>
      <c r="B343" s="98" t="s">
        <v>59</v>
      </c>
      <c r="C343" s="2">
        <v>0.96</v>
      </c>
      <c r="D343" s="2">
        <v>960</v>
      </c>
      <c r="E343" s="48">
        <v>14004</v>
      </c>
      <c r="F343" s="49">
        <v>4122</v>
      </c>
      <c r="G343" s="27"/>
      <c r="H343" s="30"/>
    </row>
    <row r="344" spans="1:8" s="25" customFormat="1" ht="15.75">
      <c r="A344" s="39"/>
      <c r="B344" s="11" t="s">
        <v>30</v>
      </c>
      <c r="C344" s="5">
        <v>19.515</v>
      </c>
      <c r="D344" s="97">
        <v>19515</v>
      </c>
      <c r="E344" s="44">
        <v>14004</v>
      </c>
      <c r="F344" s="50">
        <v>4122</v>
      </c>
      <c r="G344" s="27"/>
      <c r="H344" s="30"/>
    </row>
    <row r="345" spans="1:8" s="25" customFormat="1" ht="15.75">
      <c r="A345" s="47"/>
      <c r="B345" s="45" t="s">
        <v>317</v>
      </c>
      <c r="C345" s="5">
        <v>300</v>
      </c>
      <c r="D345" s="20">
        <v>300000</v>
      </c>
      <c r="E345" s="48">
        <v>551</v>
      </c>
      <c r="F345" s="50" t="s">
        <v>135</v>
      </c>
      <c r="G345" s="27"/>
      <c r="H345" s="30"/>
    </row>
    <row r="346" spans="1:8" s="25" customFormat="1" ht="15.75">
      <c r="A346" s="47"/>
      <c r="B346" s="45" t="s">
        <v>347</v>
      </c>
      <c r="C346" s="5">
        <v>146.1</v>
      </c>
      <c r="D346" s="20">
        <v>146100</v>
      </c>
      <c r="E346" s="48">
        <v>539</v>
      </c>
      <c r="F346" s="50">
        <v>4122</v>
      </c>
      <c r="G346" s="27"/>
      <c r="H346" s="30"/>
    </row>
    <row r="347" spans="1:8" s="25" customFormat="1" ht="15.75">
      <c r="A347" s="47"/>
      <c r="B347" s="45" t="s">
        <v>25</v>
      </c>
      <c r="C347" s="5">
        <v>22.97</v>
      </c>
      <c r="D347" s="20">
        <v>22970</v>
      </c>
      <c r="E347" s="48">
        <v>14004</v>
      </c>
      <c r="F347" s="50">
        <v>4122</v>
      </c>
      <c r="G347" s="27"/>
      <c r="H347" s="30"/>
    </row>
    <row r="348" spans="1:8" s="25" customFormat="1" ht="15.75">
      <c r="A348" s="47"/>
      <c r="B348" s="45" t="s">
        <v>34</v>
      </c>
      <c r="C348" s="5">
        <v>60</v>
      </c>
      <c r="D348" s="20">
        <v>60000</v>
      </c>
      <c r="E348" s="48">
        <v>339</v>
      </c>
      <c r="F348" s="50">
        <v>4122</v>
      </c>
      <c r="G348" s="27"/>
      <c r="H348" s="30"/>
    </row>
    <row r="349" spans="1:8" s="25" customFormat="1" ht="15.75">
      <c r="A349" s="47"/>
      <c r="B349" s="45" t="s">
        <v>40</v>
      </c>
      <c r="C349" s="5">
        <v>1.68</v>
      </c>
      <c r="D349" s="20">
        <v>1680</v>
      </c>
      <c r="E349" s="48">
        <v>14004</v>
      </c>
      <c r="F349" s="50">
        <v>4122</v>
      </c>
      <c r="G349" s="27"/>
      <c r="H349" s="30"/>
    </row>
    <row r="350" spans="1:8" s="25" customFormat="1" ht="15.75">
      <c r="A350" s="47"/>
      <c r="B350" s="45" t="s">
        <v>37</v>
      </c>
      <c r="C350" s="5">
        <v>1.44</v>
      </c>
      <c r="D350" s="20">
        <v>1440</v>
      </c>
      <c r="E350" s="48">
        <v>14004</v>
      </c>
      <c r="F350" s="50">
        <v>4122</v>
      </c>
      <c r="G350" s="27"/>
      <c r="H350" s="30"/>
    </row>
    <row r="351" spans="1:8" s="25" customFormat="1" ht="15.75">
      <c r="A351" s="47"/>
      <c r="B351" s="45" t="s">
        <v>279</v>
      </c>
      <c r="C351" s="5">
        <v>45</v>
      </c>
      <c r="D351" s="20">
        <v>45000</v>
      </c>
      <c r="E351" s="48">
        <v>551</v>
      </c>
      <c r="F351" s="50" t="s">
        <v>135</v>
      </c>
      <c r="G351" s="27"/>
      <c r="H351" s="30"/>
    </row>
    <row r="352" spans="1:8" s="25" customFormat="1" ht="15.75">
      <c r="A352" s="47"/>
      <c r="B352" s="45" t="s">
        <v>280</v>
      </c>
      <c r="C352" s="5">
        <v>10</v>
      </c>
      <c r="D352" s="20">
        <v>10000</v>
      </c>
      <c r="E352" s="48">
        <v>329</v>
      </c>
      <c r="F352" s="50" t="s">
        <v>135</v>
      </c>
      <c r="G352" s="27"/>
      <c r="H352" s="30"/>
    </row>
    <row r="353" spans="1:8" s="25" customFormat="1" ht="15.75">
      <c r="A353" s="47"/>
      <c r="B353" s="45" t="s">
        <v>58</v>
      </c>
      <c r="C353" s="5">
        <v>30.27</v>
      </c>
      <c r="D353" s="20">
        <v>30272</v>
      </c>
      <c r="E353" s="48">
        <v>14004</v>
      </c>
      <c r="F353" s="50">
        <v>4122</v>
      </c>
      <c r="G353" s="27"/>
      <c r="H353" s="30"/>
    </row>
    <row r="354" spans="1:8" s="25" customFormat="1" ht="15.75">
      <c r="A354" s="47"/>
      <c r="B354" s="45" t="s">
        <v>139</v>
      </c>
      <c r="C354" s="5">
        <f>535.53+655.18+85.52+242.08</f>
        <v>1518.31</v>
      </c>
      <c r="D354" s="20">
        <f>556903.04+98277.01+535530.35+242075.75+85522.37</f>
        <v>1518308.52</v>
      </c>
      <c r="E354" s="48">
        <v>33006</v>
      </c>
      <c r="F354" s="50" t="s">
        <v>135</v>
      </c>
      <c r="G354" s="27"/>
      <c r="H354" s="30"/>
    </row>
    <row r="355" spans="1:8" s="25" customFormat="1" ht="15.75">
      <c r="A355" s="47"/>
      <c r="B355" s="45" t="s">
        <v>193</v>
      </c>
      <c r="C355" s="5">
        <v>447.11</v>
      </c>
      <c r="D355" s="20">
        <f>380047.49+67067.2</f>
        <v>447114.69</v>
      </c>
      <c r="E355" s="48">
        <v>33006</v>
      </c>
      <c r="F355" s="50" t="s">
        <v>135</v>
      </c>
      <c r="G355" s="27"/>
      <c r="H355" s="30"/>
    </row>
    <row r="356" spans="1:8" s="25" customFormat="1" ht="15.75">
      <c r="A356" s="47"/>
      <c r="B356" s="45" t="s">
        <v>445</v>
      </c>
      <c r="C356" s="5">
        <v>19.62</v>
      </c>
      <c r="D356" s="20">
        <v>19616</v>
      </c>
      <c r="E356" s="48">
        <v>98009</v>
      </c>
      <c r="F356" s="50">
        <v>4122</v>
      </c>
      <c r="G356" s="27"/>
      <c r="H356" s="30"/>
    </row>
    <row r="357" spans="1:8" s="25" customFormat="1" ht="15.75">
      <c r="A357" s="47"/>
      <c r="B357" s="45" t="s">
        <v>56</v>
      </c>
      <c r="C357" s="5">
        <v>8.45</v>
      </c>
      <c r="D357" s="20">
        <v>8450</v>
      </c>
      <c r="E357" s="48">
        <v>14004</v>
      </c>
      <c r="F357" s="50">
        <v>4122</v>
      </c>
      <c r="G357" s="27"/>
      <c r="H357" s="30"/>
    </row>
    <row r="358" spans="1:8" s="25" customFormat="1" ht="15.75">
      <c r="A358" s="47"/>
      <c r="B358" s="45" t="s">
        <v>28</v>
      </c>
      <c r="C358" s="5">
        <v>8.265</v>
      </c>
      <c r="D358" s="20">
        <v>8265</v>
      </c>
      <c r="E358" s="48">
        <v>14004</v>
      </c>
      <c r="F358" s="50">
        <v>4122</v>
      </c>
      <c r="G358" s="27"/>
      <c r="H358" s="30"/>
    </row>
    <row r="359" spans="1:8" s="25" customFormat="1" ht="15.75">
      <c r="A359" s="47"/>
      <c r="B359" s="45" t="s">
        <v>351</v>
      </c>
      <c r="C359" s="5">
        <v>50</v>
      </c>
      <c r="D359" s="20">
        <v>50000</v>
      </c>
      <c r="E359" s="48">
        <v>331</v>
      </c>
      <c r="F359" s="50">
        <v>4122</v>
      </c>
      <c r="G359" s="27"/>
      <c r="H359" s="30"/>
    </row>
    <row r="360" spans="1:8" s="25" customFormat="1" ht="15.75">
      <c r="A360" s="47"/>
      <c r="B360" s="45" t="s">
        <v>352</v>
      </c>
      <c r="C360" s="5">
        <v>30</v>
      </c>
      <c r="D360" s="20">
        <v>30000</v>
      </c>
      <c r="E360" s="48">
        <v>331</v>
      </c>
      <c r="F360" s="50">
        <v>4122</v>
      </c>
      <c r="G360" s="27"/>
      <c r="H360" s="30"/>
    </row>
    <row r="361" spans="1:8" s="25" customFormat="1" ht="15.75">
      <c r="A361" s="47"/>
      <c r="B361" s="45" t="s">
        <v>24</v>
      </c>
      <c r="C361" s="5">
        <v>1.44</v>
      </c>
      <c r="D361" s="21">
        <v>1440</v>
      </c>
      <c r="E361" s="48">
        <v>14004</v>
      </c>
      <c r="F361" s="50">
        <v>4122</v>
      </c>
      <c r="G361" s="27"/>
      <c r="H361" s="30"/>
    </row>
    <row r="362" spans="1:8" s="25" customFormat="1" ht="15.75">
      <c r="A362" s="47"/>
      <c r="B362" s="45" t="s">
        <v>22</v>
      </c>
      <c r="C362" s="5">
        <v>100</v>
      </c>
      <c r="D362" s="20">
        <v>100000</v>
      </c>
      <c r="E362" s="48">
        <v>551</v>
      </c>
      <c r="F362" s="50">
        <v>4122</v>
      </c>
      <c r="G362" s="27"/>
      <c r="H362" s="30"/>
    </row>
    <row r="363" spans="1:8" s="25" customFormat="1" ht="15.75">
      <c r="A363" s="47"/>
      <c r="B363" s="45" t="s">
        <v>446</v>
      </c>
      <c r="C363" s="5">
        <v>12.26</v>
      </c>
      <c r="D363" s="20">
        <v>12260</v>
      </c>
      <c r="E363" s="48">
        <v>98009</v>
      </c>
      <c r="F363" s="50">
        <v>4122</v>
      </c>
      <c r="G363" s="27"/>
      <c r="H363" s="30"/>
    </row>
    <row r="364" spans="1:8" s="25" customFormat="1" ht="15.75">
      <c r="A364" s="47"/>
      <c r="B364" s="45" t="s">
        <v>31</v>
      </c>
      <c r="C364" s="5">
        <v>0.96</v>
      </c>
      <c r="D364" s="20">
        <v>960</v>
      </c>
      <c r="E364" s="48">
        <v>14004</v>
      </c>
      <c r="F364" s="50">
        <v>4122</v>
      </c>
      <c r="G364" s="27"/>
      <c r="H364" s="30"/>
    </row>
    <row r="365" spans="1:12" ht="15.75">
      <c r="A365" s="55"/>
      <c r="B365" s="56"/>
      <c r="C365" s="22"/>
      <c r="D365" s="21"/>
      <c r="E365" s="6"/>
      <c r="F365" s="63"/>
      <c r="G365" s="27"/>
      <c r="H365" s="30"/>
      <c r="I365" s="25"/>
      <c r="J365" s="25"/>
      <c r="K365" s="25"/>
      <c r="L365" s="25"/>
    </row>
    <row r="366" spans="1:8" s="25" customFormat="1" ht="15.75">
      <c r="A366" s="47"/>
      <c r="B366" s="40" t="s">
        <v>458</v>
      </c>
      <c r="C366" s="4">
        <f>SUM(C367:C378)</f>
        <v>7313.82629</v>
      </c>
      <c r="D366" s="4">
        <f>SUM(D367:D378)</f>
        <v>7313826.29</v>
      </c>
      <c r="E366" s="48"/>
      <c r="F366" s="50"/>
      <c r="G366" s="27"/>
      <c r="H366" s="30"/>
    </row>
    <row r="367" spans="1:8" s="25" customFormat="1" ht="15.75">
      <c r="A367" s="47" t="s">
        <v>160</v>
      </c>
      <c r="B367" s="45" t="s">
        <v>194</v>
      </c>
      <c r="C367" s="5">
        <v>1354.30498</v>
      </c>
      <c r="D367" s="5">
        <v>1354304.98</v>
      </c>
      <c r="E367" s="48">
        <v>86005</v>
      </c>
      <c r="F367" s="49">
        <v>4123</v>
      </c>
      <c r="G367" s="27"/>
      <c r="H367" s="30"/>
    </row>
    <row r="368" spans="1:8" s="25" customFormat="1" ht="15.75">
      <c r="A368" s="93" t="s">
        <v>160</v>
      </c>
      <c r="B368" s="45" t="s">
        <v>195</v>
      </c>
      <c r="C368" s="21">
        <v>119.4975</v>
      </c>
      <c r="D368" s="94">
        <v>119497.5</v>
      </c>
      <c r="E368" s="95">
        <v>86001</v>
      </c>
      <c r="F368" s="52">
        <v>4123</v>
      </c>
      <c r="G368" s="27"/>
      <c r="H368" s="30"/>
    </row>
    <row r="369" spans="1:8" s="25" customFormat="1" ht="15.75">
      <c r="A369" s="47" t="s">
        <v>235</v>
      </c>
      <c r="B369" s="98" t="s">
        <v>243</v>
      </c>
      <c r="C369" s="2">
        <v>443.45604</v>
      </c>
      <c r="D369" s="2">
        <v>443456.04</v>
      </c>
      <c r="E369" s="48">
        <v>86005</v>
      </c>
      <c r="F369" s="49" t="s">
        <v>245</v>
      </c>
      <c r="G369" s="27"/>
      <c r="H369" s="30"/>
    </row>
    <row r="370" spans="1:8" s="25" customFormat="1" ht="15.75">
      <c r="A370" s="47" t="s">
        <v>235</v>
      </c>
      <c r="B370" s="98" t="s">
        <v>244</v>
      </c>
      <c r="C370" s="2">
        <v>39.12847</v>
      </c>
      <c r="D370" s="2">
        <v>39128.47</v>
      </c>
      <c r="E370" s="48">
        <v>86001</v>
      </c>
      <c r="F370" s="49" t="s">
        <v>245</v>
      </c>
      <c r="G370" s="27"/>
      <c r="H370" s="30"/>
    </row>
    <row r="371" spans="1:8" s="25" customFormat="1" ht="15.75">
      <c r="A371" s="47" t="s">
        <v>259</v>
      </c>
      <c r="B371" s="98" t="s">
        <v>274</v>
      </c>
      <c r="C371" s="2">
        <v>976.61724</v>
      </c>
      <c r="D371" s="2">
        <v>976617.24</v>
      </c>
      <c r="E371" s="48">
        <v>86005</v>
      </c>
      <c r="F371" s="49" t="s">
        <v>245</v>
      </c>
      <c r="G371" s="27"/>
      <c r="H371" s="30"/>
    </row>
    <row r="372" spans="1:8" s="25" customFormat="1" ht="15.75">
      <c r="A372" s="39" t="s">
        <v>259</v>
      </c>
      <c r="B372" s="11" t="s">
        <v>275</v>
      </c>
      <c r="C372" s="5">
        <v>86.17211</v>
      </c>
      <c r="D372" s="97">
        <v>86172.11</v>
      </c>
      <c r="E372" s="44">
        <v>86001</v>
      </c>
      <c r="F372" s="50" t="s">
        <v>245</v>
      </c>
      <c r="G372" s="27"/>
      <c r="H372" s="30"/>
    </row>
    <row r="373" spans="1:8" s="25" customFormat="1" ht="15.75">
      <c r="A373" s="47">
        <v>41179</v>
      </c>
      <c r="B373" s="45" t="s">
        <v>243</v>
      </c>
      <c r="C373" s="5">
        <v>480.21004</v>
      </c>
      <c r="D373" s="20">
        <v>480210.04</v>
      </c>
      <c r="E373" s="48">
        <v>86005</v>
      </c>
      <c r="F373" s="50">
        <v>4123</v>
      </c>
      <c r="G373" s="27"/>
      <c r="H373" s="30"/>
    </row>
    <row r="374" spans="1:8" s="25" customFormat="1" ht="15.75">
      <c r="A374" s="47">
        <v>41179</v>
      </c>
      <c r="B374" s="45" t="s">
        <v>244</v>
      </c>
      <c r="C374" s="5">
        <v>42.37147</v>
      </c>
      <c r="D374" s="20">
        <v>42371.47</v>
      </c>
      <c r="E374" s="48">
        <v>86001</v>
      </c>
      <c r="F374" s="50">
        <v>4123</v>
      </c>
      <c r="G374" s="27"/>
      <c r="H374" s="30"/>
    </row>
    <row r="375" spans="1:8" s="25" customFormat="1" ht="15.75">
      <c r="A375" s="47">
        <v>41225</v>
      </c>
      <c r="B375" s="45" t="s">
        <v>8</v>
      </c>
      <c r="C375" s="5">
        <v>2783.7344</v>
      </c>
      <c r="D375" s="20">
        <v>2783734.4</v>
      </c>
      <c r="E375" s="48">
        <v>86005</v>
      </c>
      <c r="F375" s="50">
        <v>4123</v>
      </c>
      <c r="G375" s="27"/>
      <c r="H375" s="30"/>
    </row>
    <row r="376" spans="1:8" s="25" customFormat="1" ht="15.75">
      <c r="A376" s="47">
        <v>41225</v>
      </c>
      <c r="B376" s="45" t="s">
        <v>8</v>
      </c>
      <c r="C376" s="5">
        <v>245.62362</v>
      </c>
      <c r="D376" s="20">
        <v>245623.62</v>
      </c>
      <c r="E376" s="48">
        <v>86001</v>
      </c>
      <c r="F376" s="50">
        <v>4123</v>
      </c>
      <c r="G376" s="27"/>
      <c r="H376" s="30"/>
    </row>
    <row r="377" spans="1:8" s="25" customFormat="1" ht="15.75">
      <c r="A377" s="47">
        <v>41254</v>
      </c>
      <c r="B377" s="45" t="s">
        <v>243</v>
      </c>
      <c r="C377" s="5">
        <v>682.49066</v>
      </c>
      <c r="D377" s="20">
        <v>682490.66</v>
      </c>
      <c r="E377" s="48">
        <v>86005</v>
      </c>
      <c r="F377" s="50">
        <v>4123</v>
      </c>
      <c r="G377" s="27"/>
      <c r="H377" s="30"/>
    </row>
    <row r="378" spans="1:8" s="25" customFormat="1" ht="15.75">
      <c r="A378" s="47">
        <v>41254</v>
      </c>
      <c r="B378" s="45" t="s">
        <v>244</v>
      </c>
      <c r="C378" s="5">
        <v>60.21976</v>
      </c>
      <c r="D378" s="20">
        <v>60219.76</v>
      </c>
      <c r="E378" s="48">
        <v>86001</v>
      </c>
      <c r="F378" s="50">
        <v>4123</v>
      </c>
      <c r="G378" s="27"/>
      <c r="H378" s="30"/>
    </row>
    <row r="379" spans="1:12" ht="15.75">
      <c r="A379" s="55"/>
      <c r="B379" s="56"/>
      <c r="C379" s="22"/>
      <c r="D379" s="20"/>
      <c r="E379" s="6"/>
      <c r="F379" s="63"/>
      <c r="G379" s="64"/>
      <c r="H379" s="30"/>
      <c r="I379" s="25"/>
      <c r="J379" s="25"/>
      <c r="K379" s="25"/>
      <c r="L379" s="25"/>
    </row>
    <row r="380" spans="1:8" s="25" customFormat="1" ht="15.75">
      <c r="A380" s="47"/>
      <c r="B380" s="65" t="s">
        <v>14</v>
      </c>
      <c r="C380" s="4">
        <f>+C381+C382</f>
        <v>2247</v>
      </c>
      <c r="D380" s="4">
        <f>+D381+D382</f>
        <v>2293443.15</v>
      </c>
      <c r="E380" s="48"/>
      <c r="F380" s="50"/>
      <c r="G380" s="27"/>
      <c r="H380" s="30"/>
    </row>
    <row r="381" spans="1:8" s="25" customFormat="1" ht="15.75">
      <c r="A381" s="47">
        <v>41221</v>
      </c>
      <c r="B381" s="45" t="s">
        <v>13</v>
      </c>
      <c r="C381" s="5">
        <v>2247</v>
      </c>
      <c r="D381" s="21">
        <v>2246549.4</v>
      </c>
      <c r="E381" s="48"/>
      <c r="F381" s="50">
        <v>4151</v>
      </c>
      <c r="G381" s="27"/>
      <c r="H381" s="30"/>
    </row>
    <row r="382" spans="1:8" s="25" customFormat="1" ht="15.75">
      <c r="A382" s="47">
        <v>41254</v>
      </c>
      <c r="B382" s="54" t="s">
        <v>36</v>
      </c>
      <c r="C382" s="3">
        <v>0</v>
      </c>
      <c r="D382" s="3">
        <v>46893.75</v>
      </c>
      <c r="E382" s="48"/>
      <c r="F382" s="50">
        <v>4151</v>
      </c>
      <c r="G382" s="27"/>
      <c r="H382" s="30"/>
    </row>
    <row r="383" spans="1:8" s="25" customFormat="1" ht="15.75">
      <c r="A383" s="47"/>
      <c r="B383" s="54"/>
      <c r="C383" s="3"/>
      <c r="D383" s="3"/>
      <c r="E383" s="48"/>
      <c r="F383" s="50"/>
      <c r="G383" s="27"/>
      <c r="H383" s="30"/>
    </row>
    <row r="384" spans="1:8" s="25" customFormat="1" ht="15.75">
      <c r="A384" s="47"/>
      <c r="B384" s="65" t="s">
        <v>140</v>
      </c>
      <c r="C384" s="4">
        <f>+SUM(C385:C392)</f>
        <v>5341</v>
      </c>
      <c r="D384" s="4">
        <f>+SUM(D385:D392)</f>
        <v>5340791.35</v>
      </c>
      <c r="E384" s="48"/>
      <c r="F384" s="50"/>
      <c r="G384" s="27"/>
      <c r="H384" s="30"/>
    </row>
    <row r="385" spans="1:8" s="25" customFormat="1" ht="15.75">
      <c r="A385" s="47" t="s">
        <v>161</v>
      </c>
      <c r="B385" s="45" t="s">
        <v>142</v>
      </c>
      <c r="C385" s="5">
        <v>435</v>
      </c>
      <c r="D385" s="20">
        <v>434940.31</v>
      </c>
      <c r="E385" s="48"/>
      <c r="F385" s="50" t="s">
        <v>141</v>
      </c>
      <c r="G385" s="27"/>
      <c r="H385" s="30"/>
    </row>
    <row r="386" spans="1:8" s="25" customFormat="1" ht="15.75">
      <c r="A386" s="47" t="s">
        <v>172</v>
      </c>
      <c r="B386" s="45" t="s">
        <v>173</v>
      </c>
      <c r="C386" s="5">
        <v>724</v>
      </c>
      <c r="D386" s="20">
        <v>724230.48</v>
      </c>
      <c r="E386" s="48"/>
      <c r="F386" s="50" t="s">
        <v>141</v>
      </c>
      <c r="G386" s="27"/>
      <c r="H386" s="30"/>
    </row>
    <row r="387" spans="1:8" s="25" customFormat="1" ht="15.75">
      <c r="A387" s="47" t="s">
        <v>198</v>
      </c>
      <c r="B387" s="45" t="s">
        <v>202</v>
      </c>
      <c r="C387" s="5">
        <v>441</v>
      </c>
      <c r="D387" s="5">
        <v>440722.18</v>
      </c>
      <c r="E387" s="48"/>
      <c r="F387" s="50" t="s">
        <v>141</v>
      </c>
      <c r="G387" s="27"/>
      <c r="H387" s="30"/>
    </row>
    <row r="388" spans="1:8" s="25" customFormat="1" ht="15.75">
      <c r="A388" s="47">
        <v>41148</v>
      </c>
      <c r="B388" s="45" t="s">
        <v>173</v>
      </c>
      <c r="C388" s="5">
        <v>38</v>
      </c>
      <c r="D388" s="5">
        <f>18920.06*2</f>
        <v>37840.12</v>
      </c>
      <c r="E388" s="48"/>
      <c r="F388" s="50">
        <v>4152</v>
      </c>
      <c r="G388" s="27"/>
      <c r="H388" s="30"/>
    </row>
    <row r="389" spans="1:8" s="25" customFormat="1" ht="15.75">
      <c r="A389" s="47">
        <v>41172</v>
      </c>
      <c r="B389" s="45" t="s">
        <v>173</v>
      </c>
      <c r="C389" s="5">
        <v>211</v>
      </c>
      <c r="D389" s="5">
        <v>211097.15</v>
      </c>
      <c r="E389" s="48"/>
      <c r="F389" s="50">
        <v>4152</v>
      </c>
      <c r="G389" s="27"/>
      <c r="H389" s="30"/>
    </row>
    <row r="390" spans="1:8" s="25" customFormat="1" ht="15.75">
      <c r="A390" s="47">
        <v>41186</v>
      </c>
      <c r="B390" s="45" t="s">
        <v>71</v>
      </c>
      <c r="C390" s="5">
        <v>1070</v>
      </c>
      <c r="D390" s="5">
        <v>1069838.77</v>
      </c>
      <c r="E390" s="48"/>
      <c r="F390" s="50">
        <v>4152</v>
      </c>
      <c r="G390" s="27"/>
      <c r="H390" s="30"/>
    </row>
    <row r="391" spans="1:8" s="25" customFormat="1" ht="15.75">
      <c r="A391" s="47">
        <v>41226</v>
      </c>
      <c r="B391" s="45" t="s">
        <v>142</v>
      </c>
      <c r="C391" s="5">
        <v>1890</v>
      </c>
      <c r="D391" s="20">
        <v>1889499.83</v>
      </c>
      <c r="E391" s="48"/>
      <c r="F391" s="50" t="s">
        <v>141</v>
      </c>
      <c r="G391" s="27"/>
      <c r="H391" s="30"/>
    </row>
    <row r="392" spans="1:8" s="25" customFormat="1" ht="15.75">
      <c r="A392" s="47"/>
      <c r="B392" s="45" t="s">
        <v>361</v>
      </c>
      <c r="C392" s="5">
        <v>532</v>
      </c>
      <c r="D392" s="5">
        <f>693622.51-161000</f>
        <v>532622.51</v>
      </c>
      <c r="E392" s="48"/>
      <c r="F392" s="50">
        <v>4152</v>
      </c>
      <c r="G392" s="27"/>
      <c r="H392" s="30"/>
    </row>
    <row r="393" spans="1:12" ht="15.75">
      <c r="A393" s="55"/>
      <c r="B393" s="56"/>
      <c r="C393" s="1"/>
      <c r="D393" s="5"/>
      <c r="E393" s="6"/>
      <c r="F393" s="63"/>
      <c r="G393" s="64"/>
      <c r="H393" s="30"/>
      <c r="I393" s="25"/>
      <c r="J393" s="25"/>
      <c r="K393" s="25"/>
      <c r="L393" s="25"/>
    </row>
    <row r="394" spans="1:8" s="25" customFormat="1" ht="15.75">
      <c r="A394" s="47"/>
      <c r="B394" s="66" t="s">
        <v>143</v>
      </c>
      <c r="C394" s="7">
        <f>+C384+C366+C238+C185+C181+C169+C98+C34+C16+C7+C173+C27+C61+C31+C210+C202+C57+C233+C229+C380</f>
        <v>216077.01342</v>
      </c>
      <c r="D394" s="7">
        <f>+D384+D366+D238+D185+D181+D169+D98+D34+D16+D7+D173+D27+D61+D31+D210+D202+D57+D233+D229+D380</f>
        <v>214662197.14999995</v>
      </c>
      <c r="E394" s="8"/>
      <c r="F394" s="44"/>
      <c r="G394" s="27"/>
      <c r="H394" s="30"/>
    </row>
    <row r="395" spans="1:8" s="25" customFormat="1" ht="16.5" thickBot="1">
      <c r="A395" s="67"/>
      <c r="B395" s="68"/>
      <c r="C395" s="9"/>
      <c r="D395" s="9"/>
      <c r="E395" s="10"/>
      <c r="F395" s="69"/>
      <c r="G395" s="27"/>
      <c r="H395" s="30"/>
    </row>
    <row r="396" spans="1:8" s="25" customFormat="1" ht="15.75">
      <c r="A396" s="70"/>
      <c r="B396" s="11"/>
      <c r="C396" s="11"/>
      <c r="D396" s="11"/>
      <c r="E396" s="12"/>
      <c r="F396" s="12"/>
      <c r="G396" s="27"/>
      <c r="H396" s="30"/>
    </row>
    <row r="397" spans="1:8" s="25" customFormat="1" ht="16.5" thickBot="1">
      <c r="A397" s="70"/>
      <c r="B397" s="11"/>
      <c r="C397" s="11"/>
      <c r="D397" s="11"/>
      <c r="E397" s="12"/>
      <c r="F397" s="12"/>
      <c r="G397" s="27"/>
      <c r="H397" s="30"/>
    </row>
    <row r="398" spans="1:8" s="25" customFormat="1" ht="15.75">
      <c r="A398" s="37"/>
      <c r="B398" s="13"/>
      <c r="C398" s="13"/>
      <c r="D398" s="13"/>
      <c r="E398" s="14"/>
      <c r="F398" s="14"/>
      <c r="G398" s="27"/>
      <c r="H398" s="30"/>
    </row>
    <row r="399" spans="1:8" s="25" customFormat="1" ht="16.5" thickBot="1">
      <c r="A399" s="38" t="s">
        <v>76</v>
      </c>
      <c r="B399" s="15" t="s">
        <v>144</v>
      </c>
      <c r="C399" s="15" t="s">
        <v>78</v>
      </c>
      <c r="D399" s="15" t="s">
        <v>79</v>
      </c>
      <c r="E399" s="16" t="s">
        <v>80</v>
      </c>
      <c r="F399" s="16" t="s">
        <v>81</v>
      </c>
      <c r="G399" s="27"/>
      <c r="H399" s="30"/>
    </row>
    <row r="400" spans="1:8" s="25" customFormat="1" ht="15.75">
      <c r="A400" s="47"/>
      <c r="B400" s="40" t="s">
        <v>92</v>
      </c>
      <c r="C400" s="23">
        <f>+SUM(C401:C411)</f>
        <v>20943.48813</v>
      </c>
      <c r="D400" s="23">
        <f>+SUM(D401:D411)</f>
        <v>20942934.13</v>
      </c>
      <c r="E400" s="44"/>
      <c r="F400" s="50"/>
      <c r="G400" s="28"/>
      <c r="H400" s="30"/>
    </row>
    <row r="401" spans="1:8" s="25" customFormat="1" ht="15.75">
      <c r="A401" s="39" t="s">
        <v>211</v>
      </c>
      <c r="B401" s="54" t="s">
        <v>217</v>
      </c>
      <c r="C401" s="17">
        <v>493.82366</v>
      </c>
      <c r="D401" s="17">
        <v>493823.66</v>
      </c>
      <c r="E401" s="44">
        <v>90877</v>
      </c>
      <c r="F401" s="50" t="s">
        <v>145</v>
      </c>
      <c r="G401" s="28"/>
      <c r="H401" s="30"/>
    </row>
    <row r="402" spans="1:8" s="25" customFormat="1" ht="15.75">
      <c r="A402" s="39">
        <v>41219</v>
      </c>
      <c r="B402" s="54" t="s">
        <v>2</v>
      </c>
      <c r="C402" s="17">
        <v>1480.5824</v>
      </c>
      <c r="D402" s="17">
        <v>1480582.4</v>
      </c>
      <c r="E402" s="44">
        <v>90877</v>
      </c>
      <c r="F402" s="50">
        <v>4213</v>
      </c>
      <c r="G402" s="28"/>
      <c r="H402" s="30"/>
    </row>
    <row r="403" spans="1:8" s="25" customFormat="1" ht="15.75">
      <c r="A403" s="39">
        <v>41221</v>
      </c>
      <c r="B403" s="54" t="s">
        <v>4</v>
      </c>
      <c r="C403" s="24">
        <v>1457.18247</v>
      </c>
      <c r="D403" s="24">
        <v>1457182.47</v>
      </c>
      <c r="E403" s="50">
        <v>90877</v>
      </c>
      <c r="F403" s="50">
        <v>4213</v>
      </c>
      <c r="G403" s="28"/>
      <c r="H403" s="30"/>
    </row>
    <row r="404" spans="1:8" s="25" customFormat="1" ht="15.75">
      <c r="A404" s="39">
        <v>41253</v>
      </c>
      <c r="B404" s="54" t="s">
        <v>57</v>
      </c>
      <c r="C404" s="24">
        <v>77.26895</v>
      </c>
      <c r="D404" s="24">
        <v>77268.95</v>
      </c>
      <c r="E404" s="50">
        <v>90877</v>
      </c>
      <c r="F404" s="50">
        <v>4213</v>
      </c>
      <c r="G404" s="28"/>
      <c r="H404" s="30"/>
    </row>
    <row r="405" spans="1:8" s="25" customFormat="1" ht="15.75">
      <c r="A405" s="39">
        <v>41254</v>
      </c>
      <c r="B405" s="54" t="s">
        <v>49</v>
      </c>
      <c r="C405" s="24">
        <v>257.12094</v>
      </c>
      <c r="D405" s="24">
        <v>257120.94</v>
      </c>
      <c r="E405" s="50">
        <v>90877</v>
      </c>
      <c r="F405" s="50">
        <v>4213</v>
      </c>
      <c r="G405" s="28"/>
      <c r="H405" s="30"/>
    </row>
    <row r="406" spans="1:8" s="25" customFormat="1" ht="15.75">
      <c r="A406" s="39">
        <v>41255</v>
      </c>
      <c r="B406" s="54" t="s">
        <v>52</v>
      </c>
      <c r="C406" s="24">
        <v>51.63971</v>
      </c>
      <c r="D406" s="24">
        <v>51639.71</v>
      </c>
      <c r="E406" s="50">
        <v>90877</v>
      </c>
      <c r="F406" s="50">
        <v>4213</v>
      </c>
      <c r="G406" s="28"/>
      <c r="H406" s="30"/>
    </row>
    <row r="407" spans="1:8" s="25" customFormat="1" ht="15.75">
      <c r="A407" s="39"/>
      <c r="B407" s="54" t="s">
        <v>188</v>
      </c>
      <c r="C407" s="17">
        <v>3112.74</v>
      </c>
      <c r="D407" s="17">
        <v>3112741</v>
      </c>
      <c r="E407" s="44">
        <v>90909</v>
      </c>
      <c r="F407" s="44">
        <v>4213</v>
      </c>
      <c r="G407" s="27"/>
      <c r="H407" s="30"/>
    </row>
    <row r="408" spans="1:8" s="25" customFormat="1" ht="15.75">
      <c r="A408" s="39"/>
      <c r="B408" s="54" t="s">
        <v>9</v>
      </c>
      <c r="C408" s="17">
        <v>746</v>
      </c>
      <c r="D408" s="17">
        <v>745932</v>
      </c>
      <c r="E408" s="44">
        <v>90909</v>
      </c>
      <c r="F408" s="44">
        <v>4113</v>
      </c>
      <c r="G408" s="27"/>
      <c r="H408" s="30"/>
    </row>
    <row r="409" spans="1:8" s="25" customFormat="1" ht="15.75">
      <c r="A409" s="39"/>
      <c r="B409" s="54" t="s">
        <v>247</v>
      </c>
      <c r="C409" s="17">
        <f>3896.97+1998.57</f>
        <v>5895.54</v>
      </c>
      <c r="D409" s="17">
        <f>3896965+1998571</f>
        <v>5895536</v>
      </c>
      <c r="E409" s="44">
        <v>90909</v>
      </c>
      <c r="F409" s="44">
        <v>4213</v>
      </c>
      <c r="G409" s="27"/>
      <c r="H409" s="30"/>
    </row>
    <row r="410" spans="1:8" s="25" customFormat="1" ht="15.75">
      <c r="A410" s="39"/>
      <c r="B410" s="54" t="s">
        <v>146</v>
      </c>
      <c r="C410" s="17">
        <v>5452</v>
      </c>
      <c r="D410" s="17">
        <v>5451517</v>
      </c>
      <c r="E410" s="44">
        <v>90909</v>
      </c>
      <c r="F410" s="44">
        <v>4213</v>
      </c>
      <c r="G410" s="27"/>
      <c r="H410" s="30"/>
    </row>
    <row r="411" spans="1:8" s="25" customFormat="1" ht="15.75">
      <c r="A411" s="39"/>
      <c r="B411" s="54" t="s">
        <v>249</v>
      </c>
      <c r="C411" s="17">
        <v>1919.59</v>
      </c>
      <c r="D411" s="17">
        <f>229346+1690244</f>
        <v>1919590</v>
      </c>
      <c r="E411" s="44">
        <v>90909</v>
      </c>
      <c r="F411" s="44">
        <v>4213</v>
      </c>
      <c r="G411" s="27"/>
      <c r="H411" s="30"/>
    </row>
    <row r="412" spans="1:12" ht="15.75">
      <c r="A412" s="71"/>
      <c r="B412" s="62"/>
      <c r="C412" s="19"/>
      <c r="D412" s="17"/>
      <c r="E412" s="72"/>
      <c r="F412" s="72"/>
      <c r="G412" s="64"/>
      <c r="H412" s="30"/>
      <c r="I412" s="25"/>
      <c r="J412" s="25"/>
      <c r="K412" s="25"/>
      <c r="L412" s="25"/>
    </row>
    <row r="413" spans="1:8" s="25" customFormat="1" ht="15.75">
      <c r="A413" s="39"/>
      <c r="B413" s="40" t="s">
        <v>119</v>
      </c>
      <c r="C413" s="18">
        <f>SUM(C414:C427)</f>
        <v>110718.58200000001</v>
      </c>
      <c r="D413" s="18">
        <f>SUM(D414:D427)</f>
        <v>110718582</v>
      </c>
      <c r="E413" s="44"/>
      <c r="F413" s="44"/>
      <c r="G413" s="27"/>
      <c r="H413" s="30"/>
    </row>
    <row r="414" spans="1:8" s="25" customFormat="1" ht="15.75">
      <c r="A414" s="39" t="s">
        <v>190</v>
      </c>
      <c r="B414" s="45" t="s">
        <v>191</v>
      </c>
      <c r="C414" s="24">
        <v>778.824</v>
      </c>
      <c r="D414" s="24">
        <v>778824</v>
      </c>
      <c r="E414" s="44">
        <v>17871</v>
      </c>
      <c r="F414" s="44">
        <v>4216</v>
      </c>
      <c r="G414" s="27"/>
      <c r="H414" s="30"/>
    </row>
    <row r="415" spans="1:8" s="25" customFormat="1" ht="15.75">
      <c r="A415" s="47" t="s">
        <v>190</v>
      </c>
      <c r="B415" s="45" t="s">
        <v>192</v>
      </c>
      <c r="C415" s="24">
        <v>137.439</v>
      </c>
      <c r="D415" s="24">
        <v>137439</v>
      </c>
      <c r="E415" s="44">
        <v>17870</v>
      </c>
      <c r="F415" s="50" t="s">
        <v>148</v>
      </c>
      <c r="G415" s="27"/>
      <c r="H415" s="30"/>
    </row>
    <row r="416" spans="1:8" s="25" customFormat="1" ht="15.75">
      <c r="A416" s="47">
        <v>41130</v>
      </c>
      <c r="B416" s="45" t="s">
        <v>343</v>
      </c>
      <c r="C416" s="24">
        <v>4584.612</v>
      </c>
      <c r="D416" s="24">
        <v>4584612</v>
      </c>
      <c r="E416" s="44">
        <v>17871</v>
      </c>
      <c r="F416" s="50">
        <v>4216</v>
      </c>
      <c r="G416" s="27"/>
      <c r="H416" s="30"/>
    </row>
    <row r="417" spans="1:8" s="25" customFormat="1" ht="15.75">
      <c r="A417" s="47">
        <v>41130</v>
      </c>
      <c r="B417" s="45" t="s">
        <v>344</v>
      </c>
      <c r="C417" s="24">
        <v>809.049</v>
      </c>
      <c r="D417" s="24">
        <v>809049</v>
      </c>
      <c r="E417" s="44">
        <v>17870</v>
      </c>
      <c r="F417" s="50">
        <v>4216</v>
      </c>
      <c r="G417" s="27"/>
      <c r="H417" s="30"/>
    </row>
    <row r="418" spans="1:8" s="25" customFormat="1" ht="15.75">
      <c r="A418" s="47">
        <v>41131</v>
      </c>
      <c r="B418" s="45" t="s">
        <v>345</v>
      </c>
      <c r="C418" s="24">
        <v>3658.802</v>
      </c>
      <c r="D418" s="24">
        <v>3658802</v>
      </c>
      <c r="E418" s="44">
        <v>17871</v>
      </c>
      <c r="F418" s="50">
        <v>4216</v>
      </c>
      <c r="G418" s="27"/>
      <c r="H418" s="30"/>
    </row>
    <row r="419" spans="1:8" s="25" customFormat="1" ht="15.75">
      <c r="A419" s="47">
        <v>41131</v>
      </c>
      <c r="B419" s="45" t="s">
        <v>346</v>
      </c>
      <c r="C419" s="24">
        <v>645.671</v>
      </c>
      <c r="D419" s="24">
        <v>645671</v>
      </c>
      <c r="E419" s="44">
        <v>17870</v>
      </c>
      <c r="F419" s="50">
        <v>4216</v>
      </c>
      <c r="G419" s="27"/>
      <c r="H419" s="30"/>
    </row>
    <row r="420" spans="1:8" s="25" customFormat="1" ht="15.75">
      <c r="A420" s="47">
        <v>41144</v>
      </c>
      <c r="B420" s="45" t="s">
        <v>375</v>
      </c>
      <c r="C420" s="24">
        <v>4098.505</v>
      </c>
      <c r="D420" s="24">
        <v>4098505</v>
      </c>
      <c r="E420" s="44">
        <v>17871</v>
      </c>
      <c r="F420" s="50">
        <v>4216</v>
      </c>
      <c r="G420" s="27"/>
      <c r="H420" s="30"/>
    </row>
    <row r="421" spans="1:8" s="25" customFormat="1" ht="15.75">
      <c r="A421" s="47">
        <v>41144</v>
      </c>
      <c r="B421" s="45" t="s">
        <v>376</v>
      </c>
      <c r="C421" s="24">
        <v>723.265</v>
      </c>
      <c r="D421" s="24">
        <v>723265</v>
      </c>
      <c r="E421" s="44">
        <v>17870</v>
      </c>
      <c r="F421" s="50">
        <v>4216</v>
      </c>
      <c r="G421" s="27"/>
      <c r="H421" s="30"/>
    </row>
    <row r="422" spans="1:8" s="25" customFormat="1" ht="15.75">
      <c r="A422" s="47">
        <v>41169</v>
      </c>
      <c r="B422" s="45" t="s">
        <v>367</v>
      </c>
      <c r="C422" s="24">
        <v>60486</v>
      </c>
      <c r="D422" s="24">
        <v>60486000</v>
      </c>
      <c r="E422" s="44">
        <v>17871</v>
      </c>
      <c r="F422" s="50">
        <v>4216</v>
      </c>
      <c r="G422" s="27"/>
      <c r="H422" s="30"/>
    </row>
    <row r="423" spans="1:8" s="25" customFormat="1" ht="15.75">
      <c r="A423" s="47">
        <v>41225</v>
      </c>
      <c r="B423" s="45" t="s">
        <v>15</v>
      </c>
      <c r="C423" s="24">
        <f>20575.054-6.22</f>
        <v>20568.834</v>
      </c>
      <c r="D423" s="24">
        <f>20575054-6220</f>
        <v>20568834</v>
      </c>
      <c r="E423" s="44">
        <v>17871</v>
      </c>
      <c r="F423" s="50">
        <v>4216</v>
      </c>
      <c r="G423" s="27"/>
      <c r="H423" s="30"/>
    </row>
    <row r="424" spans="1:8" s="25" customFormat="1" ht="15.75">
      <c r="A424" s="47">
        <v>41242</v>
      </c>
      <c r="B424" s="45" t="s">
        <v>20</v>
      </c>
      <c r="C424" s="24">
        <v>5684.444</v>
      </c>
      <c r="D424" s="24">
        <v>5684444</v>
      </c>
      <c r="E424" s="44">
        <v>17871</v>
      </c>
      <c r="F424" s="50">
        <v>4216</v>
      </c>
      <c r="G424" s="27"/>
      <c r="H424" s="30"/>
    </row>
    <row r="425" spans="1:8" s="25" customFormat="1" ht="15.75">
      <c r="A425" s="47">
        <v>41242</v>
      </c>
      <c r="B425" s="45" t="s">
        <v>21</v>
      </c>
      <c r="C425" s="24">
        <v>1003.137</v>
      </c>
      <c r="D425" s="24">
        <v>1003137</v>
      </c>
      <c r="E425" s="44">
        <v>17870</v>
      </c>
      <c r="F425" s="50">
        <v>4216</v>
      </c>
      <c r="G425" s="27"/>
      <c r="H425" s="30"/>
    </row>
    <row r="426" spans="1:8" s="25" customFormat="1" ht="15.75">
      <c r="A426" s="47"/>
      <c r="B426" s="45" t="s">
        <v>377</v>
      </c>
      <c r="C426" s="24">
        <v>4000</v>
      </c>
      <c r="D426" s="24">
        <v>4000000</v>
      </c>
      <c r="E426" s="44">
        <v>17880</v>
      </c>
      <c r="F426" s="50">
        <v>4216</v>
      </c>
      <c r="G426" s="27"/>
      <c r="H426" s="30"/>
    </row>
    <row r="427" spans="1:8" s="25" customFormat="1" ht="15.75">
      <c r="A427" s="47"/>
      <c r="B427" s="98" t="s">
        <v>7</v>
      </c>
      <c r="C427" s="99">
        <v>3540</v>
      </c>
      <c r="D427" s="99">
        <v>3540000</v>
      </c>
      <c r="E427" s="48">
        <v>17880</v>
      </c>
      <c r="F427" s="49">
        <v>4216</v>
      </c>
      <c r="G427" s="27"/>
      <c r="H427" s="30"/>
    </row>
    <row r="428" spans="1:8" s="25" customFormat="1" ht="15.75">
      <c r="A428" s="47"/>
      <c r="B428" s="98"/>
      <c r="C428" s="99"/>
      <c r="D428" s="99"/>
      <c r="E428" s="48"/>
      <c r="F428" s="49"/>
      <c r="G428" s="27"/>
      <c r="H428" s="30"/>
    </row>
    <row r="429" spans="1:8" s="25" customFormat="1" ht="15.75">
      <c r="A429" s="47"/>
      <c r="B429" s="53" t="s">
        <v>111</v>
      </c>
      <c r="C429" s="18">
        <f>SUM(C430:C442)</f>
        <v>54952.117</v>
      </c>
      <c r="D429" s="18">
        <f>SUM(D430:D442)</f>
        <v>54743317</v>
      </c>
      <c r="E429" s="44"/>
      <c r="F429" s="50"/>
      <c r="G429" s="27"/>
      <c r="H429" s="30"/>
    </row>
    <row r="430" spans="1:8" s="25" customFormat="1" ht="15.75">
      <c r="A430" s="47" t="s">
        <v>168</v>
      </c>
      <c r="B430" s="45" t="s">
        <v>152</v>
      </c>
      <c r="C430" s="24">
        <v>20844.946</v>
      </c>
      <c r="D430" s="20">
        <v>20844946</v>
      </c>
      <c r="E430" s="50" t="s">
        <v>153</v>
      </c>
      <c r="F430" s="50" t="s">
        <v>148</v>
      </c>
      <c r="G430" s="27"/>
      <c r="H430" s="30"/>
    </row>
    <row r="431" spans="1:8" s="25" customFormat="1" ht="15.75">
      <c r="A431" s="47" t="s">
        <v>168</v>
      </c>
      <c r="B431" s="45" t="s">
        <v>150</v>
      </c>
      <c r="C431" s="24">
        <v>3678.52</v>
      </c>
      <c r="D431" s="5">
        <v>3678520</v>
      </c>
      <c r="E431" s="50" t="s">
        <v>151</v>
      </c>
      <c r="F431" s="50" t="s">
        <v>148</v>
      </c>
      <c r="G431" s="27"/>
      <c r="H431" s="30"/>
    </row>
    <row r="432" spans="1:8" s="25" customFormat="1" ht="15.75">
      <c r="A432" s="47" t="s">
        <v>190</v>
      </c>
      <c r="B432" s="45" t="s">
        <v>150</v>
      </c>
      <c r="C432" s="24">
        <v>1997.031</v>
      </c>
      <c r="D432" s="24">
        <v>1997031</v>
      </c>
      <c r="E432" s="50" t="s">
        <v>151</v>
      </c>
      <c r="F432" s="50" t="s">
        <v>148</v>
      </c>
      <c r="G432" s="27"/>
      <c r="H432" s="30"/>
    </row>
    <row r="433" spans="1:8" s="25" customFormat="1" ht="15.75">
      <c r="A433" s="47" t="s">
        <v>190</v>
      </c>
      <c r="B433" s="45" t="s">
        <v>189</v>
      </c>
      <c r="C433" s="24">
        <v>11316.504</v>
      </c>
      <c r="D433" s="24">
        <v>11316504</v>
      </c>
      <c r="E433" s="50" t="s">
        <v>153</v>
      </c>
      <c r="F433" s="50" t="s">
        <v>148</v>
      </c>
      <c r="G433" s="27"/>
      <c r="H433" s="30"/>
    </row>
    <row r="434" spans="1:8" s="25" customFormat="1" ht="15.75">
      <c r="A434" s="47" t="s">
        <v>262</v>
      </c>
      <c r="B434" s="45" t="s">
        <v>150</v>
      </c>
      <c r="C434" s="24">
        <v>4.862</v>
      </c>
      <c r="D434" s="24">
        <v>4862</v>
      </c>
      <c r="E434" s="50" t="s">
        <v>151</v>
      </c>
      <c r="F434" s="50" t="s">
        <v>148</v>
      </c>
      <c r="G434" s="27"/>
      <c r="H434" s="30"/>
    </row>
    <row r="435" spans="1:8" s="25" customFormat="1" ht="15.75">
      <c r="A435" s="47" t="s">
        <v>262</v>
      </c>
      <c r="B435" s="45" t="s">
        <v>152</v>
      </c>
      <c r="C435" s="24">
        <v>27.55</v>
      </c>
      <c r="D435" s="24">
        <v>27550</v>
      </c>
      <c r="E435" s="50" t="s">
        <v>153</v>
      </c>
      <c r="F435" s="50" t="s">
        <v>148</v>
      </c>
      <c r="G435" s="27"/>
      <c r="H435" s="30"/>
    </row>
    <row r="436" spans="1:8" s="25" customFormat="1" ht="15.75">
      <c r="A436" s="47" t="s">
        <v>272</v>
      </c>
      <c r="B436" s="45" t="s">
        <v>150</v>
      </c>
      <c r="C436" s="24">
        <f>3540.074-1399.516</f>
        <v>2140.558</v>
      </c>
      <c r="D436" s="24">
        <f>2140558</f>
        <v>2140558</v>
      </c>
      <c r="E436" s="50" t="s">
        <v>151</v>
      </c>
      <c r="F436" s="50" t="s">
        <v>148</v>
      </c>
      <c r="G436" s="27"/>
      <c r="H436" s="30"/>
    </row>
    <row r="437" spans="1:8" s="25" customFormat="1" ht="15.75">
      <c r="A437" s="47" t="s">
        <v>272</v>
      </c>
      <c r="B437" s="45" t="s">
        <v>152</v>
      </c>
      <c r="C437" s="24">
        <f>20060.45-7930.621</f>
        <v>12129.829000000002</v>
      </c>
      <c r="D437" s="24">
        <f>12129829</f>
        <v>12129829</v>
      </c>
      <c r="E437" s="50" t="s">
        <v>153</v>
      </c>
      <c r="F437" s="50" t="s">
        <v>148</v>
      </c>
      <c r="G437" s="27"/>
      <c r="H437" s="30"/>
    </row>
    <row r="438" spans="1:8" s="25" customFormat="1" ht="15.75">
      <c r="A438" s="47">
        <v>41142</v>
      </c>
      <c r="B438" s="45" t="s">
        <v>372</v>
      </c>
      <c r="C438" s="24">
        <v>0</v>
      </c>
      <c r="D438" s="24">
        <v>-31320</v>
      </c>
      <c r="E438" s="50">
        <v>34885</v>
      </c>
      <c r="F438" s="50">
        <v>4216</v>
      </c>
      <c r="G438" s="27"/>
      <c r="H438" s="30"/>
    </row>
    <row r="439" spans="1:8" s="25" customFormat="1" ht="15.75">
      <c r="A439" s="47">
        <v>41142</v>
      </c>
      <c r="B439" s="45" t="s">
        <v>373</v>
      </c>
      <c r="C439" s="24">
        <v>0</v>
      </c>
      <c r="D439" s="24">
        <v>-177480</v>
      </c>
      <c r="E439" s="50">
        <v>34886</v>
      </c>
      <c r="F439" s="50">
        <v>4216</v>
      </c>
      <c r="G439" s="27"/>
      <c r="H439" s="30"/>
    </row>
    <row r="440" spans="1:8" s="25" customFormat="1" ht="15.75">
      <c r="A440" s="47">
        <v>41183</v>
      </c>
      <c r="B440" s="45" t="s">
        <v>150</v>
      </c>
      <c r="C440" s="24">
        <f>421.848</f>
        <v>421.848</v>
      </c>
      <c r="D440" s="24">
        <v>421848</v>
      </c>
      <c r="E440" s="50">
        <v>34885</v>
      </c>
      <c r="F440" s="50">
        <v>4216</v>
      </c>
      <c r="G440" s="27"/>
      <c r="H440" s="30"/>
    </row>
    <row r="441" spans="1:8" s="25" customFormat="1" ht="15.75">
      <c r="A441" s="47">
        <v>41183</v>
      </c>
      <c r="B441" s="45" t="s">
        <v>152</v>
      </c>
      <c r="C441" s="24">
        <f>2390.469</f>
        <v>2390.469</v>
      </c>
      <c r="D441" s="24">
        <v>2390469</v>
      </c>
      <c r="E441" s="50">
        <v>34886</v>
      </c>
      <c r="F441" s="50">
        <v>4216</v>
      </c>
      <c r="G441" s="27"/>
      <c r="H441" s="30"/>
    </row>
    <row r="442" spans="1:8" s="25" customFormat="1" ht="15.75">
      <c r="A442" s="47"/>
      <c r="B442" s="45"/>
      <c r="C442" s="24"/>
      <c r="D442" s="24"/>
      <c r="E442" s="50"/>
      <c r="F442" s="50"/>
      <c r="G442" s="27"/>
      <c r="H442" s="30"/>
    </row>
    <row r="443" spans="1:8" s="25" customFormat="1" ht="15.75">
      <c r="A443" s="47"/>
      <c r="B443" s="53" t="s">
        <v>113</v>
      </c>
      <c r="C443" s="18">
        <f>+C444+C445+C446+C447</f>
        <v>45577.351</v>
      </c>
      <c r="D443" s="18">
        <f>+D444+D445+D446+D447</f>
        <v>45577351</v>
      </c>
      <c r="E443" s="44"/>
      <c r="F443" s="50"/>
      <c r="G443" s="27"/>
      <c r="H443" s="30"/>
    </row>
    <row r="444" spans="1:8" s="25" customFormat="1" ht="15.75">
      <c r="A444" s="47" t="s">
        <v>210</v>
      </c>
      <c r="B444" s="45" t="s">
        <v>442</v>
      </c>
      <c r="C444" s="24">
        <v>20479.167</v>
      </c>
      <c r="D444" s="24">
        <v>20479167</v>
      </c>
      <c r="E444" s="50">
        <v>33939</v>
      </c>
      <c r="F444" s="50" t="s">
        <v>148</v>
      </c>
      <c r="G444" s="27"/>
      <c r="H444" s="30"/>
    </row>
    <row r="445" spans="1:8" s="25" customFormat="1" ht="15.75">
      <c r="A445" s="47" t="s">
        <v>212</v>
      </c>
      <c r="B445" s="45" t="s">
        <v>433</v>
      </c>
      <c r="C445" s="24">
        <v>850</v>
      </c>
      <c r="D445" s="24">
        <v>850000</v>
      </c>
      <c r="E445" s="50">
        <v>33910</v>
      </c>
      <c r="F445" s="50" t="s">
        <v>148</v>
      </c>
      <c r="G445" s="27"/>
      <c r="H445" s="30"/>
    </row>
    <row r="446" spans="1:8" s="25" customFormat="1" ht="15.75">
      <c r="A446" s="47" t="s">
        <v>336</v>
      </c>
      <c r="B446" s="45" t="s">
        <v>442</v>
      </c>
      <c r="C446" s="24">
        <f>3655+645</f>
        <v>4300</v>
      </c>
      <c r="D446" s="24">
        <f>3655000+645000</f>
        <v>4300000</v>
      </c>
      <c r="E446" s="50">
        <v>33939</v>
      </c>
      <c r="F446" s="50" t="s">
        <v>148</v>
      </c>
      <c r="G446" s="27"/>
      <c r="H446" s="30"/>
    </row>
    <row r="447" spans="1:8" s="25" customFormat="1" ht="15.75">
      <c r="A447" s="47">
        <v>41198</v>
      </c>
      <c r="B447" s="45" t="s">
        <v>442</v>
      </c>
      <c r="C447" s="24">
        <v>19948.184</v>
      </c>
      <c r="D447" s="24">
        <v>19948184</v>
      </c>
      <c r="E447" s="50">
        <v>33939</v>
      </c>
      <c r="F447" s="50">
        <v>4216</v>
      </c>
      <c r="G447" s="27"/>
      <c r="H447" s="30"/>
    </row>
    <row r="448" spans="1:8" s="25" customFormat="1" ht="15.75">
      <c r="A448" s="47"/>
      <c r="B448" s="45"/>
      <c r="C448" s="24"/>
      <c r="D448" s="24"/>
      <c r="E448" s="50"/>
      <c r="F448" s="50"/>
      <c r="G448" s="27"/>
      <c r="H448" s="30"/>
    </row>
    <row r="449" spans="1:8" s="25" customFormat="1" ht="15.75">
      <c r="A449" s="47"/>
      <c r="B449" s="4" t="s">
        <v>149</v>
      </c>
      <c r="C449" s="18">
        <f>+SUM(C450:C456)</f>
        <v>64899.50858999999</v>
      </c>
      <c r="D449" s="18">
        <f>+SUM(D450:D456)</f>
        <v>64899508.59</v>
      </c>
      <c r="E449" s="50"/>
      <c r="F449" s="50"/>
      <c r="G449" s="27"/>
      <c r="H449" s="30"/>
    </row>
    <row r="450" spans="1:8" s="25" customFormat="1" ht="15.75">
      <c r="A450" s="47">
        <v>41088</v>
      </c>
      <c r="B450" s="54" t="s">
        <v>216</v>
      </c>
      <c r="C450" s="24">
        <v>8395.00238</v>
      </c>
      <c r="D450" s="24">
        <v>8395002.38</v>
      </c>
      <c r="E450" s="50">
        <v>15835</v>
      </c>
      <c r="F450" s="50" t="s">
        <v>148</v>
      </c>
      <c r="G450" s="27"/>
      <c r="H450" s="30"/>
    </row>
    <row r="451" spans="1:8" s="25" customFormat="1" ht="15.75">
      <c r="A451" s="39">
        <v>41222</v>
      </c>
      <c r="B451" s="54" t="s">
        <v>4</v>
      </c>
      <c r="C451" s="24">
        <v>24772.10213</v>
      </c>
      <c r="D451" s="24">
        <v>24772102.13</v>
      </c>
      <c r="E451" s="50">
        <v>15835</v>
      </c>
      <c r="F451" s="50">
        <v>4216</v>
      </c>
      <c r="G451" s="28"/>
      <c r="H451" s="30"/>
    </row>
    <row r="452" spans="1:8" s="25" customFormat="1" ht="15.75">
      <c r="A452" s="39">
        <v>41222</v>
      </c>
      <c r="B452" s="54" t="s">
        <v>2</v>
      </c>
      <c r="C452" s="17">
        <v>25169.9008</v>
      </c>
      <c r="D452" s="17">
        <v>25169900.8</v>
      </c>
      <c r="E452" s="44">
        <v>15835</v>
      </c>
      <c r="F452" s="50">
        <v>4216</v>
      </c>
      <c r="G452" s="28"/>
      <c r="H452" s="30"/>
    </row>
    <row r="453" spans="1:8" s="25" customFormat="1" ht="15.75">
      <c r="A453" s="39">
        <v>41255</v>
      </c>
      <c r="B453" s="54" t="s">
        <v>49</v>
      </c>
      <c r="C453" s="17">
        <v>4371.05603</v>
      </c>
      <c r="D453" s="17">
        <v>4371056.03</v>
      </c>
      <c r="E453" s="44">
        <v>15827</v>
      </c>
      <c r="F453" s="50">
        <v>4216</v>
      </c>
      <c r="G453" s="28"/>
      <c r="H453" s="30"/>
    </row>
    <row r="454" spans="1:8" s="25" customFormat="1" ht="15.75">
      <c r="A454" s="39">
        <v>41255</v>
      </c>
      <c r="B454" s="54" t="s">
        <v>57</v>
      </c>
      <c r="C454" s="17">
        <v>1313.57215</v>
      </c>
      <c r="D454" s="17">
        <v>1313572.15</v>
      </c>
      <c r="E454" s="44">
        <v>15827</v>
      </c>
      <c r="F454" s="50">
        <v>4216</v>
      </c>
      <c r="G454" s="28"/>
      <c r="H454" s="30"/>
    </row>
    <row r="455" spans="1:8" s="25" customFormat="1" ht="15.75">
      <c r="A455" s="39">
        <v>41257</v>
      </c>
      <c r="B455" s="54" t="s">
        <v>63</v>
      </c>
      <c r="C455" s="17">
        <v>877.8751</v>
      </c>
      <c r="D455" s="17">
        <v>877875.1</v>
      </c>
      <c r="E455" s="44">
        <v>15835</v>
      </c>
      <c r="F455" s="50">
        <v>4216</v>
      </c>
      <c r="G455" s="28"/>
      <c r="H455" s="30"/>
    </row>
    <row r="456" spans="1:8" s="25" customFormat="1" ht="15.75">
      <c r="A456" s="47"/>
      <c r="B456" s="54"/>
      <c r="C456" s="17"/>
      <c r="D456" s="17"/>
      <c r="E456" s="50"/>
      <c r="F456" s="50"/>
      <c r="G456" s="27"/>
      <c r="H456" s="30"/>
    </row>
    <row r="457" spans="1:8" s="25" customFormat="1" ht="15.75">
      <c r="A457" s="47"/>
      <c r="B457" s="40" t="s">
        <v>134</v>
      </c>
      <c r="C457" s="18">
        <f>SUM(C458:C472)</f>
        <v>2795.72001</v>
      </c>
      <c r="D457" s="18">
        <f>SUM(D458:D472)</f>
        <v>2795720.01</v>
      </c>
      <c r="E457" s="50"/>
      <c r="F457" s="50"/>
      <c r="G457" s="27"/>
      <c r="H457" s="30"/>
    </row>
    <row r="458" spans="1:8" s="25" customFormat="1" ht="15.75">
      <c r="A458" s="47" t="s">
        <v>178</v>
      </c>
      <c r="B458" s="43" t="s">
        <v>180</v>
      </c>
      <c r="C458" s="17">
        <v>130</v>
      </c>
      <c r="D458" s="17">
        <f>110500+19500</f>
        <v>130000</v>
      </c>
      <c r="E458" s="50">
        <v>33006</v>
      </c>
      <c r="F458" s="50" t="s">
        <v>154</v>
      </c>
      <c r="G458" s="27"/>
      <c r="H458" s="30"/>
    </row>
    <row r="459" spans="1:8" s="25" customFormat="1" ht="15.75">
      <c r="A459" s="47" t="s">
        <v>282</v>
      </c>
      <c r="B459" s="54" t="s">
        <v>283</v>
      </c>
      <c r="C459" s="17">
        <v>11.8</v>
      </c>
      <c r="D459" s="2">
        <f>10030+1770</f>
        <v>11800</v>
      </c>
      <c r="E459" s="50">
        <v>33926</v>
      </c>
      <c r="F459" s="50" t="s">
        <v>154</v>
      </c>
      <c r="G459" s="27"/>
      <c r="H459" s="30"/>
    </row>
    <row r="460" spans="1:8" s="25" customFormat="1" ht="15.75">
      <c r="A460" s="93">
        <v>41156</v>
      </c>
      <c r="B460" s="45" t="s">
        <v>362</v>
      </c>
      <c r="C460" s="21">
        <f>44.132+7.788</f>
        <v>51.92</v>
      </c>
      <c r="D460" s="94">
        <v>51920</v>
      </c>
      <c r="E460" s="95">
        <v>33926</v>
      </c>
      <c r="F460" s="96">
        <v>4222</v>
      </c>
      <c r="G460" s="27"/>
      <c r="H460" s="30"/>
    </row>
    <row r="461" spans="1:8" s="25" customFormat="1" ht="15.75">
      <c r="A461" s="47">
        <v>41184</v>
      </c>
      <c r="B461" s="98" t="s">
        <v>459</v>
      </c>
      <c r="C461" s="2">
        <v>500</v>
      </c>
      <c r="D461" s="2">
        <v>500000</v>
      </c>
      <c r="E461" s="48">
        <v>352</v>
      </c>
      <c r="F461" s="49">
        <v>4222</v>
      </c>
      <c r="G461" s="27"/>
      <c r="H461" s="30"/>
    </row>
    <row r="462" spans="1:8" s="25" customFormat="1" ht="15.75">
      <c r="A462" s="47">
        <v>41222</v>
      </c>
      <c r="B462" s="60" t="s">
        <v>443</v>
      </c>
      <c r="C462" s="3">
        <v>92</v>
      </c>
      <c r="D462" s="3">
        <v>92000</v>
      </c>
      <c r="E462" s="48">
        <v>342</v>
      </c>
      <c r="F462" s="49">
        <v>4222</v>
      </c>
      <c r="G462" s="27"/>
      <c r="H462" s="30"/>
    </row>
    <row r="463" spans="1:8" s="25" customFormat="1" ht="15.75">
      <c r="A463" s="39">
        <v>41222</v>
      </c>
      <c r="B463" s="54" t="s">
        <v>12</v>
      </c>
      <c r="C463" s="17">
        <v>500</v>
      </c>
      <c r="D463" s="17">
        <v>500000</v>
      </c>
      <c r="E463" s="44">
        <v>229</v>
      </c>
      <c r="F463" s="50">
        <v>4222</v>
      </c>
      <c r="G463" s="27"/>
      <c r="H463" s="30"/>
    </row>
    <row r="464" spans="1:8" s="25" customFormat="1" ht="15.75">
      <c r="A464" s="39">
        <v>41263</v>
      </c>
      <c r="B464" s="54" t="s">
        <v>65</v>
      </c>
      <c r="C464" s="17">
        <v>150</v>
      </c>
      <c r="D464" s="26">
        <v>150000</v>
      </c>
      <c r="E464" s="44">
        <v>339</v>
      </c>
      <c r="F464" s="50">
        <v>4222</v>
      </c>
      <c r="G464" s="27"/>
      <c r="H464" s="30"/>
    </row>
    <row r="465" spans="1:8" s="25" customFormat="1" ht="15.75">
      <c r="A465" s="47">
        <v>41271</v>
      </c>
      <c r="B465" s="45" t="s">
        <v>61</v>
      </c>
      <c r="C465" s="5">
        <f>0.01/1000</f>
        <v>1E-05</v>
      </c>
      <c r="D465" s="20">
        <v>0.01</v>
      </c>
      <c r="E465" s="48">
        <v>33006</v>
      </c>
      <c r="F465" s="50">
        <v>4222</v>
      </c>
      <c r="G465" s="27"/>
      <c r="H465" s="30"/>
    </row>
    <row r="466" spans="1:8" s="25" customFormat="1" ht="15.75">
      <c r="A466" s="39"/>
      <c r="B466" s="54" t="s">
        <v>55</v>
      </c>
      <c r="C466" s="17">
        <v>200</v>
      </c>
      <c r="D466" s="17">
        <v>200000</v>
      </c>
      <c r="E466" s="44">
        <v>311</v>
      </c>
      <c r="F466" s="50">
        <v>4222</v>
      </c>
      <c r="G466" s="27"/>
      <c r="H466" s="30"/>
    </row>
    <row r="467" spans="1:8" s="25" customFormat="1" ht="15.75">
      <c r="A467" s="39"/>
      <c r="B467" s="54" t="s">
        <v>53</v>
      </c>
      <c r="C467" s="17">
        <v>300</v>
      </c>
      <c r="D467" s="17">
        <v>300000</v>
      </c>
      <c r="E467" s="44">
        <v>551</v>
      </c>
      <c r="F467" s="50">
        <v>4222</v>
      </c>
      <c r="G467" s="27"/>
      <c r="H467" s="30"/>
    </row>
    <row r="468" spans="1:8" s="25" customFormat="1" ht="15.75">
      <c r="A468" s="47"/>
      <c r="B468" s="45" t="s">
        <v>313</v>
      </c>
      <c r="C468" s="5">
        <v>60</v>
      </c>
      <c r="D468" s="17">
        <v>60000</v>
      </c>
      <c r="E468" s="50">
        <v>551</v>
      </c>
      <c r="F468" s="50" t="s">
        <v>154</v>
      </c>
      <c r="G468" s="27"/>
      <c r="H468" s="30"/>
    </row>
    <row r="469" spans="1:8" s="25" customFormat="1" ht="15.75">
      <c r="A469" s="47"/>
      <c r="B469" s="45" t="s">
        <v>312</v>
      </c>
      <c r="C469" s="5">
        <v>350</v>
      </c>
      <c r="D469" s="20">
        <v>350000</v>
      </c>
      <c r="E469" s="50">
        <v>551</v>
      </c>
      <c r="F469" s="50" t="s">
        <v>154</v>
      </c>
      <c r="G469" s="27"/>
      <c r="H469" s="30"/>
    </row>
    <row r="470" spans="1:8" s="25" customFormat="1" ht="15.75">
      <c r="A470" s="47"/>
      <c r="B470" s="45" t="s">
        <v>366</v>
      </c>
      <c r="C470" s="5">
        <v>250</v>
      </c>
      <c r="D470" s="20">
        <v>250000</v>
      </c>
      <c r="E470" s="50">
        <v>341</v>
      </c>
      <c r="F470" s="50">
        <v>4222</v>
      </c>
      <c r="G470" s="27"/>
      <c r="H470" s="30"/>
    </row>
    <row r="471" spans="1:8" s="25" customFormat="1" ht="15.75">
      <c r="A471" s="47"/>
      <c r="B471" s="45" t="s">
        <v>348</v>
      </c>
      <c r="C471" s="5">
        <v>200</v>
      </c>
      <c r="D471" s="20">
        <v>200000</v>
      </c>
      <c r="E471" s="48">
        <v>341</v>
      </c>
      <c r="F471" s="50">
        <v>4222</v>
      </c>
      <c r="G471" s="27"/>
      <c r="H471" s="30"/>
    </row>
    <row r="472" spans="1:12" ht="15.75">
      <c r="A472" s="55"/>
      <c r="B472" s="56"/>
      <c r="C472" s="22"/>
      <c r="D472" s="20"/>
      <c r="E472" s="6"/>
      <c r="F472" s="63"/>
      <c r="G472" s="64"/>
      <c r="H472" s="30"/>
      <c r="I472" s="25"/>
      <c r="J472" s="25"/>
      <c r="K472" s="25"/>
      <c r="L472" s="25"/>
    </row>
    <row r="473" spans="1:256" s="77" customFormat="1" ht="15.75">
      <c r="A473" s="47"/>
      <c r="B473" s="4" t="s">
        <v>458</v>
      </c>
      <c r="C473" s="4">
        <f>+SUM(C474:C494)</f>
        <v>237325.16047000003</v>
      </c>
      <c r="D473" s="4">
        <f>+SUM(D474:D494)</f>
        <v>237325160.47000003</v>
      </c>
      <c r="E473" s="50"/>
      <c r="F473" s="50"/>
      <c r="G473" s="27"/>
      <c r="H473" s="30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  <c r="IV473" s="25"/>
    </row>
    <row r="474" spans="1:256" s="77" customFormat="1" ht="15.75">
      <c r="A474" s="47" t="s">
        <v>199</v>
      </c>
      <c r="B474" s="3" t="s">
        <v>448</v>
      </c>
      <c r="C474" s="24">
        <v>13878.82913</v>
      </c>
      <c r="D474" s="24">
        <v>13878829.13</v>
      </c>
      <c r="E474" s="50">
        <v>86505</v>
      </c>
      <c r="F474" s="49">
        <v>4223</v>
      </c>
      <c r="G474" s="27"/>
      <c r="H474" s="30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  <c r="IV474" s="25"/>
    </row>
    <row r="475" spans="1:256" s="77" customFormat="1" ht="15.75">
      <c r="A475" s="47" t="s">
        <v>199</v>
      </c>
      <c r="B475" s="3" t="s">
        <v>449</v>
      </c>
      <c r="C475" s="24">
        <v>1224.60257</v>
      </c>
      <c r="D475" s="24">
        <v>1224602.57</v>
      </c>
      <c r="E475" s="50">
        <v>86501</v>
      </c>
      <c r="F475" s="49">
        <v>4223</v>
      </c>
      <c r="G475" s="27"/>
      <c r="H475" s="30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  <c r="IV475" s="25"/>
    </row>
    <row r="476" spans="1:256" s="77" customFormat="1" ht="15.75">
      <c r="A476" s="47" t="s">
        <v>199</v>
      </c>
      <c r="B476" s="3" t="s">
        <v>450</v>
      </c>
      <c r="C476" s="24">
        <v>4316.58046</v>
      </c>
      <c r="D476" s="24">
        <v>4316580.46</v>
      </c>
      <c r="E476" s="50">
        <v>86505</v>
      </c>
      <c r="F476" s="49">
        <v>4223</v>
      </c>
      <c r="G476" s="27"/>
      <c r="H476" s="30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  <c r="IV476" s="25"/>
    </row>
    <row r="477" spans="1:256" s="77" customFormat="1" ht="15.75">
      <c r="A477" s="47" t="s">
        <v>199</v>
      </c>
      <c r="B477" s="3" t="s">
        <v>450</v>
      </c>
      <c r="C477" s="24">
        <v>380.87475</v>
      </c>
      <c r="D477" s="24">
        <v>380874.75</v>
      </c>
      <c r="E477" s="50">
        <v>86501</v>
      </c>
      <c r="F477" s="49">
        <v>4223</v>
      </c>
      <c r="G477" s="27"/>
      <c r="H477" s="30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  <c r="IV477" s="25"/>
    </row>
    <row r="478" spans="1:256" s="77" customFormat="1" ht="15.75">
      <c r="A478" s="47" t="s">
        <v>235</v>
      </c>
      <c r="B478" s="3" t="s">
        <v>451</v>
      </c>
      <c r="C478" s="24">
        <v>19103.95543</v>
      </c>
      <c r="D478" s="24">
        <v>19103955.43</v>
      </c>
      <c r="E478" s="50">
        <v>86505</v>
      </c>
      <c r="F478" s="49" t="s">
        <v>246</v>
      </c>
      <c r="G478" s="27"/>
      <c r="H478" s="30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  <c r="IV478" s="25"/>
    </row>
    <row r="479" spans="1:256" s="77" customFormat="1" ht="15.75">
      <c r="A479" s="47" t="s">
        <v>235</v>
      </c>
      <c r="B479" s="3" t="s">
        <v>451</v>
      </c>
      <c r="C479" s="24">
        <v>1685.64313</v>
      </c>
      <c r="D479" s="24">
        <v>1685643.13</v>
      </c>
      <c r="E479" s="50">
        <v>86501</v>
      </c>
      <c r="F479" s="49" t="s">
        <v>246</v>
      </c>
      <c r="G479" s="27"/>
      <c r="H479" s="30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  <c r="IV479" s="25"/>
    </row>
    <row r="480" spans="1:256" s="77" customFormat="1" ht="15.75">
      <c r="A480" s="47" t="s">
        <v>282</v>
      </c>
      <c r="B480" s="3" t="s">
        <v>452</v>
      </c>
      <c r="C480" s="3">
        <v>10136.61828</v>
      </c>
      <c r="D480" s="24">
        <v>10136618.28</v>
      </c>
      <c r="E480" s="50">
        <v>86505</v>
      </c>
      <c r="F480" s="50" t="s">
        <v>246</v>
      </c>
      <c r="G480" s="27"/>
      <c r="H480" s="30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  <c r="IV480" s="25"/>
    </row>
    <row r="481" spans="1:256" s="77" customFormat="1" ht="15.75">
      <c r="A481" s="47" t="s">
        <v>282</v>
      </c>
      <c r="B481" s="3" t="s">
        <v>453</v>
      </c>
      <c r="C481" s="3">
        <v>894.4075</v>
      </c>
      <c r="D481" s="24">
        <v>894407.5</v>
      </c>
      <c r="E481" s="50">
        <v>86501</v>
      </c>
      <c r="F481" s="50" t="s">
        <v>246</v>
      </c>
      <c r="G481" s="27"/>
      <c r="H481" s="30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  <c r="IV481" s="25"/>
    </row>
    <row r="482" spans="1:256" s="77" customFormat="1" ht="15.75">
      <c r="A482" s="47" t="s">
        <v>321</v>
      </c>
      <c r="B482" s="45" t="s">
        <v>320</v>
      </c>
      <c r="C482" s="3">
        <v>61073.24496</v>
      </c>
      <c r="D482" s="24">
        <v>61073244.96</v>
      </c>
      <c r="E482" s="50">
        <v>86505</v>
      </c>
      <c r="F482" s="50" t="s">
        <v>246</v>
      </c>
      <c r="G482" s="27"/>
      <c r="H482" s="30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  <c r="IV482" s="25"/>
    </row>
    <row r="483" spans="1:256" s="77" customFormat="1" ht="15.75">
      <c r="A483" s="47">
        <v>41122</v>
      </c>
      <c r="B483" s="3" t="s">
        <v>454</v>
      </c>
      <c r="C483" s="3">
        <v>24739.52862</v>
      </c>
      <c r="D483" s="24">
        <v>24739528.62</v>
      </c>
      <c r="E483" s="50">
        <v>86505</v>
      </c>
      <c r="F483" s="50">
        <v>4223</v>
      </c>
      <c r="G483" s="27"/>
      <c r="H483" s="30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  <c r="IV483" s="25"/>
    </row>
    <row r="484" spans="1:256" s="77" customFormat="1" ht="15.75">
      <c r="A484" s="47">
        <v>41122</v>
      </c>
      <c r="B484" s="3" t="s">
        <v>454</v>
      </c>
      <c r="C484" s="3">
        <v>2182.89959</v>
      </c>
      <c r="D484" s="24">
        <v>2182899.59</v>
      </c>
      <c r="E484" s="50">
        <v>86501</v>
      </c>
      <c r="F484" s="50">
        <v>4223</v>
      </c>
      <c r="G484" s="27"/>
      <c r="H484" s="30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  <c r="IV484" s="25"/>
    </row>
    <row r="485" spans="1:256" s="77" customFormat="1" ht="15.75">
      <c r="A485" s="47" t="s">
        <v>335</v>
      </c>
      <c r="B485" s="3" t="s">
        <v>453</v>
      </c>
      <c r="C485" s="3">
        <v>101.56987</v>
      </c>
      <c r="D485" s="24">
        <v>101569.87</v>
      </c>
      <c r="E485" s="50">
        <v>86505</v>
      </c>
      <c r="F485" s="50" t="s">
        <v>246</v>
      </c>
      <c r="G485" s="27"/>
      <c r="H485" s="30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25"/>
      <c r="HR485" s="25"/>
      <c r="HS485" s="25"/>
      <c r="HT485" s="25"/>
      <c r="HU485" s="25"/>
      <c r="HV485" s="25"/>
      <c r="HW485" s="25"/>
      <c r="HX485" s="25"/>
      <c r="HY485" s="25"/>
      <c r="HZ485" s="25"/>
      <c r="IA485" s="25"/>
      <c r="IB485" s="25"/>
      <c r="IC485" s="25"/>
      <c r="ID485" s="25"/>
      <c r="IE485" s="25"/>
      <c r="IF485" s="25"/>
      <c r="IG485" s="25"/>
      <c r="IH485" s="25"/>
      <c r="II485" s="25"/>
      <c r="IJ485" s="25"/>
      <c r="IK485" s="25"/>
      <c r="IL485" s="25"/>
      <c r="IM485" s="25"/>
      <c r="IN485" s="25"/>
      <c r="IO485" s="25"/>
      <c r="IP485" s="25"/>
      <c r="IQ485" s="25"/>
      <c r="IR485" s="25"/>
      <c r="IS485" s="25"/>
      <c r="IT485" s="25"/>
      <c r="IU485" s="25"/>
      <c r="IV485" s="25"/>
    </row>
    <row r="486" spans="1:256" s="77" customFormat="1" ht="15.75">
      <c r="A486" s="47" t="s">
        <v>335</v>
      </c>
      <c r="B486" s="3" t="s">
        <v>453</v>
      </c>
      <c r="C486" s="3">
        <v>8.96205</v>
      </c>
      <c r="D486" s="24">
        <v>8962.05</v>
      </c>
      <c r="E486" s="50">
        <v>86501</v>
      </c>
      <c r="F486" s="50" t="s">
        <v>246</v>
      </c>
      <c r="G486" s="27"/>
      <c r="H486" s="30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  <c r="IV486" s="25"/>
    </row>
    <row r="487" spans="1:256" s="77" customFormat="1" ht="15.75">
      <c r="A487" s="47">
        <v>41179</v>
      </c>
      <c r="B487" s="45" t="s">
        <v>371</v>
      </c>
      <c r="C487" s="3">
        <v>38030.54007</v>
      </c>
      <c r="D487" s="24">
        <v>38030540.07</v>
      </c>
      <c r="E487" s="50">
        <v>86505</v>
      </c>
      <c r="F487" s="50">
        <v>4223</v>
      </c>
      <c r="G487" s="27"/>
      <c r="H487" s="30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  <c r="IV487" s="25"/>
    </row>
    <row r="488" spans="1:256" s="77" customFormat="1" ht="15.75">
      <c r="A488" s="47">
        <v>41214</v>
      </c>
      <c r="B488" s="45" t="s">
        <v>3</v>
      </c>
      <c r="C488" s="3">
        <v>22064.10641</v>
      </c>
      <c r="D488" s="24">
        <v>22064106.41</v>
      </c>
      <c r="E488" s="50">
        <v>86505</v>
      </c>
      <c r="F488" s="50">
        <v>4223</v>
      </c>
      <c r="G488" s="27"/>
      <c r="H488" s="30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  <c r="IV488" s="25"/>
    </row>
    <row r="489" spans="1:256" s="77" customFormat="1" ht="15.75">
      <c r="A489" s="47">
        <v>41214</v>
      </c>
      <c r="B489" s="45" t="s">
        <v>3</v>
      </c>
      <c r="C489" s="3">
        <v>1946.83292</v>
      </c>
      <c r="D489" s="24">
        <v>1946832.92</v>
      </c>
      <c r="E489" s="50">
        <v>86501</v>
      </c>
      <c r="F489" s="50">
        <v>4223</v>
      </c>
      <c r="G489" s="27"/>
      <c r="H489" s="30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  <c r="IV489" s="25"/>
    </row>
    <row r="490" spans="1:256" s="77" customFormat="1" ht="15.75">
      <c r="A490" s="47">
        <v>41234</v>
      </c>
      <c r="B490" s="45" t="s">
        <v>455</v>
      </c>
      <c r="C490" s="3">
        <v>21768.2048</v>
      </c>
      <c r="D490" s="24">
        <v>21768204.8</v>
      </c>
      <c r="E490" s="50">
        <v>86505</v>
      </c>
      <c r="F490" s="50">
        <v>4223</v>
      </c>
      <c r="G490" s="27"/>
      <c r="H490" s="30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  <c r="IV490" s="25"/>
    </row>
    <row r="491" spans="1:256" s="77" customFormat="1" ht="15.75">
      <c r="A491" s="47">
        <v>41234</v>
      </c>
      <c r="B491" s="45" t="s">
        <v>455</v>
      </c>
      <c r="C491" s="3">
        <v>1920.55365</v>
      </c>
      <c r="D491" s="24">
        <v>1920553.65</v>
      </c>
      <c r="E491" s="50">
        <v>86501</v>
      </c>
      <c r="F491" s="50">
        <v>4223</v>
      </c>
      <c r="G491" s="27"/>
      <c r="H491" s="30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  <c r="IV491" s="25"/>
    </row>
    <row r="492" spans="1:256" s="77" customFormat="1" ht="15.75">
      <c r="A492" s="47">
        <v>41250</v>
      </c>
      <c r="B492" s="45" t="s">
        <v>23</v>
      </c>
      <c r="C492" s="3">
        <v>5612.8903</v>
      </c>
      <c r="D492" s="24">
        <v>5612890.3</v>
      </c>
      <c r="E492" s="50">
        <v>86505</v>
      </c>
      <c r="F492" s="50">
        <v>4223</v>
      </c>
      <c r="G492" s="27"/>
      <c r="H492" s="30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  <c r="IV492" s="25"/>
    </row>
    <row r="493" spans="1:256" s="77" customFormat="1" ht="15.75">
      <c r="A493" s="47">
        <v>41261</v>
      </c>
      <c r="B493" s="45" t="s">
        <v>456</v>
      </c>
      <c r="C493" s="3">
        <v>5747.20928</v>
      </c>
      <c r="D493" s="24">
        <v>5747209.28</v>
      </c>
      <c r="E493" s="50">
        <v>86505</v>
      </c>
      <c r="F493" s="50">
        <v>4223</v>
      </c>
      <c r="G493" s="27"/>
      <c r="H493" s="30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  <c r="IV493" s="25"/>
    </row>
    <row r="494" spans="1:256" s="77" customFormat="1" ht="15.75">
      <c r="A494" s="47">
        <v>41261</v>
      </c>
      <c r="B494" s="45" t="s">
        <v>450</v>
      </c>
      <c r="C494" s="3">
        <v>507.1067</v>
      </c>
      <c r="D494" s="24">
        <v>507106.7</v>
      </c>
      <c r="E494" s="50">
        <v>86501</v>
      </c>
      <c r="F494" s="50">
        <v>4223</v>
      </c>
      <c r="G494" s="27"/>
      <c r="H494" s="30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  <c r="IV494" s="25"/>
    </row>
    <row r="495" spans="1:256" s="77" customFormat="1" ht="15.75">
      <c r="A495" s="47"/>
      <c r="B495" s="45"/>
      <c r="C495" s="3"/>
      <c r="D495" s="24"/>
      <c r="E495" s="50"/>
      <c r="F495" s="50"/>
      <c r="G495" s="27"/>
      <c r="H495" s="30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  <c r="IV495" s="25"/>
    </row>
    <row r="496" spans="1:256" s="77" customFormat="1" ht="15.75">
      <c r="A496" s="47"/>
      <c r="B496" s="4" t="s">
        <v>38</v>
      </c>
      <c r="C496" s="4">
        <f>+C497</f>
        <v>102</v>
      </c>
      <c r="D496" s="4">
        <f>+D497</f>
        <v>101011.31</v>
      </c>
      <c r="E496" s="50"/>
      <c r="F496" s="50"/>
      <c r="G496" s="27"/>
      <c r="H496" s="30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  <c r="IV496" s="25"/>
    </row>
    <row r="497" spans="1:256" s="77" customFormat="1" ht="15.75">
      <c r="A497" s="47">
        <v>41260</v>
      </c>
      <c r="B497" s="45" t="s">
        <v>39</v>
      </c>
      <c r="C497" s="3">
        <v>102</v>
      </c>
      <c r="D497" s="24">
        <v>101011.31</v>
      </c>
      <c r="E497" s="50"/>
      <c r="F497" s="50">
        <v>4229</v>
      </c>
      <c r="G497" s="27"/>
      <c r="H497" s="30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  <c r="IV497" s="25"/>
    </row>
    <row r="498" spans="1:256" s="77" customFormat="1" ht="15.75">
      <c r="A498" s="47"/>
      <c r="B498" s="45"/>
      <c r="C498" s="3"/>
      <c r="D498" s="24"/>
      <c r="E498" s="50"/>
      <c r="F498" s="50"/>
      <c r="G498" s="27"/>
      <c r="H498" s="30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  <c r="IV498" s="25"/>
    </row>
    <row r="499" spans="1:256" s="77" customFormat="1" ht="15.75">
      <c r="A499" s="47"/>
      <c r="B499" s="4" t="s">
        <v>440</v>
      </c>
      <c r="C499" s="4">
        <f>+C500+C501</f>
        <v>1211</v>
      </c>
      <c r="D499" s="4">
        <f>+D500+D501</f>
        <v>1211228.42</v>
      </c>
      <c r="E499" s="50"/>
      <c r="F499" s="50"/>
      <c r="G499" s="27"/>
      <c r="H499" s="30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  <c r="IV499" s="25"/>
    </row>
    <row r="500" spans="1:256" s="77" customFormat="1" ht="15.75">
      <c r="A500" s="47"/>
      <c r="B500" s="45" t="s">
        <v>361</v>
      </c>
      <c r="C500" s="5">
        <v>161</v>
      </c>
      <c r="D500" s="5">
        <v>161000</v>
      </c>
      <c r="E500" s="48"/>
      <c r="F500" s="50">
        <v>4232</v>
      </c>
      <c r="G500" s="27"/>
      <c r="H500" s="30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  <c r="IV500" s="25"/>
    </row>
    <row r="501" spans="1:256" s="77" customFormat="1" ht="15.75">
      <c r="A501" s="47"/>
      <c r="B501" s="45" t="s">
        <v>441</v>
      </c>
      <c r="C501" s="5">
        <v>1050</v>
      </c>
      <c r="D501" s="5">
        <v>1050228.42</v>
      </c>
      <c r="E501" s="44"/>
      <c r="F501" s="50">
        <v>4232</v>
      </c>
      <c r="G501" s="27"/>
      <c r="H501" s="30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  <c r="IV501" s="25"/>
    </row>
    <row r="502" spans="1:256" s="77" customFormat="1" ht="15.75">
      <c r="A502" s="47"/>
      <c r="B502" s="45"/>
      <c r="C502" s="3"/>
      <c r="D502" s="24"/>
      <c r="E502" s="50"/>
      <c r="F502" s="50"/>
      <c r="G502" s="27"/>
      <c r="H502" s="30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  <c r="IV502" s="25"/>
    </row>
    <row r="503" spans="1:256" s="77" customFormat="1" ht="15.75">
      <c r="A503" s="47"/>
      <c r="B503" s="66" t="s">
        <v>155</v>
      </c>
      <c r="C503" s="7">
        <f>+C400+C413+C429+C457+C443+C449+C473+C496+C499</f>
        <v>538524.9272</v>
      </c>
      <c r="D503" s="7">
        <f>+D400+D413+D429+D457+D443+D449+D473+D496+D499</f>
        <v>538314812.93</v>
      </c>
      <c r="E503" s="8"/>
      <c r="F503" s="48"/>
      <c r="G503" s="27"/>
      <c r="H503" s="30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  <c r="IV503" s="25"/>
    </row>
    <row r="504" spans="1:256" s="77" customFormat="1" ht="16.5" thickBot="1">
      <c r="A504" s="67"/>
      <c r="B504" s="68"/>
      <c r="C504" s="9"/>
      <c r="D504" s="9"/>
      <c r="E504" s="10"/>
      <c r="F504" s="10"/>
      <c r="G504" s="27"/>
      <c r="H504" s="30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  <c r="IV504" s="25"/>
    </row>
    <row r="505" spans="1:8" s="25" customFormat="1" ht="10.5" customHeight="1">
      <c r="A505" s="79"/>
      <c r="E505" s="87"/>
      <c r="F505" s="87"/>
      <c r="G505" s="27"/>
      <c r="H505" s="30"/>
    </row>
    <row r="506" spans="1:8" s="25" customFormat="1" ht="10.5" customHeight="1" thickBot="1">
      <c r="A506" s="80"/>
      <c r="B506" s="35"/>
      <c r="C506" s="35"/>
      <c r="D506" s="35"/>
      <c r="E506" s="88"/>
      <c r="F506" s="88"/>
      <c r="G506" s="27"/>
      <c r="H506" s="30"/>
    </row>
    <row r="507" spans="1:8" s="25" customFormat="1" ht="15.75">
      <c r="A507" s="81"/>
      <c r="B507" s="82"/>
      <c r="C507" s="82"/>
      <c r="D507" s="13"/>
      <c r="E507" s="89"/>
      <c r="F507" s="87"/>
      <c r="G507" s="27"/>
      <c r="H507" s="30"/>
    </row>
    <row r="508" spans="1:13" s="25" customFormat="1" ht="16.5" thickBot="1">
      <c r="A508" s="81"/>
      <c r="B508" s="15" t="s">
        <v>197</v>
      </c>
      <c r="C508" s="15" t="s">
        <v>78</v>
      </c>
      <c r="D508" s="15" t="s">
        <v>79</v>
      </c>
      <c r="E508" s="89"/>
      <c r="F508" s="87"/>
      <c r="G508" s="27"/>
      <c r="H508" s="30"/>
      <c r="M508" s="25">
        <f>+K508+L508</f>
        <v>0</v>
      </c>
    </row>
    <row r="509" spans="1:8" s="25" customFormat="1" ht="17.25" customHeight="1">
      <c r="A509" s="83"/>
      <c r="B509" s="84" t="s">
        <v>156</v>
      </c>
      <c r="C509" s="84">
        <f>+C394</f>
        <v>216077.01342</v>
      </c>
      <c r="D509" s="2">
        <f>+D394</f>
        <v>214662197.14999995</v>
      </c>
      <c r="E509" s="90"/>
      <c r="F509" s="87"/>
      <c r="G509" s="27"/>
      <c r="H509" s="30"/>
    </row>
    <row r="510" spans="1:8" s="25" customFormat="1" ht="17.25" customHeight="1">
      <c r="A510" s="83"/>
      <c r="B510" s="84" t="s">
        <v>157</v>
      </c>
      <c r="C510" s="84">
        <f>+C503</f>
        <v>538524.9272</v>
      </c>
      <c r="D510" s="2">
        <f>+D503</f>
        <v>538314812.93</v>
      </c>
      <c r="E510" s="91"/>
      <c r="F510" s="87"/>
      <c r="G510" s="27"/>
      <c r="H510" s="30"/>
    </row>
    <row r="511" spans="1:8" s="25" customFormat="1" ht="12.75" customHeight="1">
      <c r="A511" s="83"/>
      <c r="B511" s="84"/>
      <c r="C511" s="84"/>
      <c r="D511" s="2"/>
      <c r="E511" s="91"/>
      <c r="F511" s="87"/>
      <c r="G511" s="27"/>
      <c r="H511" s="30"/>
    </row>
    <row r="512" spans="1:8" s="25" customFormat="1" ht="17.25" customHeight="1">
      <c r="A512" s="83"/>
      <c r="B512" s="85" t="s">
        <v>158</v>
      </c>
      <c r="C512" s="85">
        <f>+C509+C510</f>
        <v>754601.94062</v>
      </c>
      <c r="D512" s="7">
        <f>SUM(D509:D510)</f>
        <v>752977010.0799999</v>
      </c>
      <c r="E512" s="91"/>
      <c r="G512" s="27"/>
      <c r="H512" s="30"/>
    </row>
    <row r="513" spans="1:29" s="25" customFormat="1" ht="12" customHeight="1" thickBot="1">
      <c r="A513" s="83"/>
      <c r="B513" s="86"/>
      <c r="C513" s="86"/>
      <c r="D513" s="9"/>
      <c r="E513" s="90"/>
      <c r="G513" s="27"/>
      <c r="H513" s="30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</row>
    <row r="514" spans="1:29" s="25" customFormat="1" ht="15.75">
      <c r="A514" s="79"/>
      <c r="E514" s="87"/>
      <c r="G514" s="27"/>
      <c r="H514" s="30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</row>
    <row r="515" spans="3:12" ht="15.75">
      <c r="C515" s="59"/>
      <c r="D515" s="25"/>
      <c r="I515" s="25"/>
      <c r="J515" s="25"/>
      <c r="K515" s="25"/>
      <c r="L515" s="25"/>
    </row>
    <row r="516" spans="3:12" ht="15.75">
      <c r="C516" s="59"/>
      <c r="D516" s="25"/>
      <c r="I516" s="25"/>
      <c r="J516" s="25"/>
      <c r="K516" s="25"/>
      <c r="L516" s="25"/>
    </row>
    <row r="517" spans="3:12" ht="15.75">
      <c r="C517" s="59"/>
      <c r="D517" s="25"/>
      <c r="I517" s="25"/>
      <c r="J517" s="25"/>
      <c r="K517" s="25"/>
      <c r="L517" s="25"/>
    </row>
    <row r="518" spans="3:12" ht="15.75">
      <c r="C518" s="59"/>
      <c r="D518" s="25"/>
      <c r="I518" s="25"/>
      <c r="J518" s="25"/>
      <c r="K518" s="25"/>
      <c r="L518" s="25"/>
    </row>
    <row r="519" spans="3:12" ht="15.75">
      <c r="C519" s="59"/>
      <c r="D519" s="25"/>
      <c r="I519" s="25"/>
      <c r="J519" s="25"/>
      <c r="K519" s="25"/>
      <c r="L519" s="25"/>
    </row>
    <row r="520" spans="3:12" ht="15.75">
      <c r="C520" s="59"/>
      <c r="D520" s="25"/>
      <c r="I520" s="25"/>
      <c r="J520" s="25"/>
      <c r="K520" s="25"/>
      <c r="L520" s="25"/>
    </row>
    <row r="521" spans="3:12" ht="15.75">
      <c r="C521" s="59"/>
      <c r="D521" s="25"/>
      <c r="I521" s="25"/>
      <c r="J521" s="25"/>
      <c r="K521" s="25"/>
      <c r="L521" s="25"/>
    </row>
    <row r="522" spans="3:12" ht="15.75">
      <c r="C522" s="59"/>
      <c r="D522" s="25"/>
      <c r="I522" s="25"/>
      <c r="J522" s="25"/>
      <c r="K522" s="25"/>
      <c r="L522" s="25"/>
    </row>
    <row r="523" spans="3:12" ht="15.75">
      <c r="C523" s="59"/>
      <c r="D523" s="25"/>
      <c r="I523" s="25"/>
      <c r="J523" s="25"/>
      <c r="K523" s="25"/>
      <c r="L523" s="25"/>
    </row>
    <row r="524" spans="3:12" ht="15.75">
      <c r="C524" s="59"/>
      <c r="D524" s="25"/>
      <c r="I524" s="25"/>
      <c r="J524" s="25"/>
      <c r="K524" s="25"/>
      <c r="L524" s="25"/>
    </row>
    <row r="525" spans="3:12" ht="15.75">
      <c r="C525" s="59"/>
      <c r="D525" s="25"/>
      <c r="I525" s="25"/>
      <c r="J525" s="25"/>
      <c r="K525" s="25"/>
      <c r="L525" s="25"/>
    </row>
    <row r="526" spans="3:12" ht="15.75">
      <c r="C526" s="59"/>
      <c r="D526" s="25"/>
      <c r="I526" s="25"/>
      <c r="J526" s="25"/>
      <c r="K526" s="25"/>
      <c r="L526" s="25"/>
    </row>
    <row r="527" spans="3:12" ht="15.75">
      <c r="C527" s="59"/>
      <c r="D527" s="25"/>
      <c r="I527" s="25"/>
      <c r="J527" s="25"/>
      <c r="K527" s="25"/>
      <c r="L527" s="25"/>
    </row>
    <row r="528" spans="3:12" ht="15.75">
      <c r="C528" s="59"/>
      <c r="D528" s="25"/>
      <c r="I528" s="25"/>
      <c r="J528" s="25"/>
      <c r="K528" s="25"/>
      <c r="L528" s="25"/>
    </row>
    <row r="529" spans="3:12" ht="15.75">
      <c r="C529" s="59"/>
      <c r="D529" s="25"/>
      <c r="I529" s="25"/>
      <c r="J529" s="25"/>
      <c r="K529" s="25"/>
      <c r="L529" s="25"/>
    </row>
    <row r="530" spans="3:12" ht="15.75">
      <c r="C530" s="59"/>
      <c r="D530" s="25"/>
      <c r="I530" s="25"/>
      <c r="J530" s="25"/>
      <c r="K530" s="25"/>
      <c r="L530" s="25"/>
    </row>
    <row r="531" spans="3:12" ht="15.75">
      <c r="C531" s="59"/>
      <c r="D531" s="25"/>
      <c r="I531" s="25"/>
      <c r="J531" s="25"/>
      <c r="K531" s="25"/>
      <c r="L531" s="25"/>
    </row>
    <row r="532" spans="3:12" ht="15.75">
      <c r="C532" s="59"/>
      <c r="D532" s="25"/>
      <c r="I532" s="25"/>
      <c r="J532" s="25"/>
      <c r="K532" s="25"/>
      <c r="L532" s="25"/>
    </row>
    <row r="533" spans="3:12" ht="15.75">
      <c r="C533" s="59"/>
      <c r="D533" s="25"/>
      <c r="I533" s="25"/>
      <c r="J533" s="25"/>
      <c r="K533" s="25"/>
      <c r="L533" s="25"/>
    </row>
    <row r="534" spans="3:12" ht="15.75">
      <c r="C534" s="59"/>
      <c r="D534" s="25"/>
      <c r="I534" s="25"/>
      <c r="J534" s="25"/>
      <c r="K534" s="25"/>
      <c r="L534" s="25"/>
    </row>
    <row r="535" spans="3:12" ht="15.75">
      <c r="C535" s="59"/>
      <c r="D535" s="25"/>
      <c r="I535" s="25"/>
      <c r="J535" s="25"/>
      <c r="K535" s="25"/>
      <c r="L535" s="25"/>
    </row>
    <row r="536" spans="3:12" ht="15.75">
      <c r="C536" s="59"/>
      <c r="D536" s="25"/>
      <c r="I536" s="25"/>
      <c r="J536" s="25"/>
      <c r="K536" s="25"/>
      <c r="L536" s="25"/>
    </row>
    <row r="537" spans="3:12" ht="15.75">
      <c r="C537" s="59"/>
      <c r="D537" s="25"/>
      <c r="I537" s="25"/>
      <c r="J537" s="25"/>
      <c r="K537" s="25"/>
      <c r="L537" s="25"/>
    </row>
    <row r="538" spans="3:12" ht="15.75">
      <c r="C538" s="59"/>
      <c r="D538" s="25"/>
      <c r="I538" s="25"/>
      <c r="J538" s="25"/>
      <c r="K538" s="25"/>
      <c r="L538" s="25"/>
    </row>
    <row r="539" spans="3:12" ht="15.75">
      <c r="C539" s="59"/>
      <c r="D539" s="25"/>
      <c r="I539" s="25"/>
      <c r="J539" s="25"/>
      <c r="K539" s="25"/>
      <c r="L539" s="25"/>
    </row>
    <row r="540" spans="3:12" ht="15.75">
      <c r="C540" s="59"/>
      <c r="D540" s="25"/>
      <c r="I540" s="25"/>
      <c r="J540" s="25"/>
      <c r="K540" s="25"/>
      <c r="L540" s="25"/>
    </row>
    <row r="541" spans="3:12" ht="15.75">
      <c r="C541" s="59"/>
      <c r="D541" s="25"/>
      <c r="I541" s="25"/>
      <c r="J541" s="25"/>
      <c r="K541" s="25"/>
      <c r="L541" s="25"/>
    </row>
    <row r="542" spans="3:12" ht="15.75">
      <c r="C542" s="59"/>
      <c r="D542" s="25"/>
      <c r="I542" s="25"/>
      <c r="J542" s="25"/>
      <c r="K542" s="25"/>
      <c r="L542" s="25"/>
    </row>
    <row r="543" spans="3:12" ht="15.75">
      <c r="C543" s="59"/>
      <c r="D543" s="25"/>
      <c r="I543" s="25"/>
      <c r="J543" s="25"/>
      <c r="K543" s="25"/>
      <c r="L543" s="25"/>
    </row>
    <row r="544" spans="3:12" ht="15.75">
      <c r="C544" s="59"/>
      <c r="D544" s="25"/>
      <c r="I544" s="25"/>
      <c r="J544" s="25"/>
      <c r="K544" s="25"/>
      <c r="L544" s="25"/>
    </row>
    <row r="545" spans="3:12" ht="15.75">
      <c r="C545" s="59"/>
      <c r="D545" s="25"/>
      <c r="I545" s="25"/>
      <c r="J545" s="25"/>
      <c r="K545" s="25"/>
      <c r="L545" s="25"/>
    </row>
    <row r="546" spans="3:12" ht="15.75">
      <c r="C546" s="59"/>
      <c r="D546" s="25"/>
      <c r="I546" s="25"/>
      <c r="J546" s="25"/>
      <c r="K546" s="25"/>
      <c r="L546" s="25"/>
    </row>
    <row r="547" spans="3:12" ht="15.75">
      <c r="C547" s="59"/>
      <c r="D547" s="25"/>
      <c r="I547" s="25"/>
      <c r="J547" s="25"/>
      <c r="K547" s="25"/>
      <c r="L547" s="25"/>
    </row>
    <row r="548" spans="3:12" ht="15.75">
      <c r="C548" s="59"/>
      <c r="D548" s="25"/>
      <c r="I548" s="25"/>
      <c r="J548" s="25"/>
      <c r="K548" s="25"/>
      <c r="L548" s="25"/>
    </row>
    <row r="549" spans="3:12" ht="15.75">
      <c r="C549" s="59"/>
      <c r="D549" s="25"/>
      <c r="I549" s="25"/>
      <c r="J549" s="25"/>
      <c r="K549" s="25"/>
      <c r="L549" s="25"/>
    </row>
    <row r="550" spans="3:12" ht="15.75">
      <c r="C550" s="59"/>
      <c r="D550" s="25"/>
      <c r="I550" s="25"/>
      <c r="J550" s="25"/>
      <c r="K550" s="25"/>
      <c r="L550" s="25"/>
    </row>
    <row r="551" spans="3:12" ht="15.75">
      <c r="C551" s="59"/>
      <c r="D551" s="25"/>
      <c r="I551" s="25"/>
      <c r="J551" s="25"/>
      <c r="K551" s="25"/>
      <c r="L551" s="25"/>
    </row>
    <row r="552" spans="3:12" ht="15.75">
      <c r="C552" s="59"/>
      <c r="D552" s="25"/>
      <c r="I552" s="25"/>
      <c r="J552" s="25"/>
      <c r="K552" s="25"/>
      <c r="L552" s="25"/>
    </row>
    <row r="553" spans="3:12" ht="15.75">
      <c r="C553" s="59"/>
      <c r="D553" s="25"/>
      <c r="I553" s="25"/>
      <c r="J553" s="25"/>
      <c r="K553" s="25"/>
      <c r="L553" s="25"/>
    </row>
    <row r="554" spans="3:12" ht="15.75">
      <c r="C554" s="59"/>
      <c r="D554" s="25"/>
      <c r="I554" s="25"/>
      <c r="J554" s="25"/>
      <c r="K554" s="25"/>
      <c r="L554" s="25"/>
    </row>
    <row r="555" spans="3:12" ht="15.75">
      <c r="C555" s="59"/>
      <c r="D555" s="25"/>
      <c r="I555" s="25"/>
      <c r="J555" s="25"/>
      <c r="K555" s="25"/>
      <c r="L555" s="25"/>
    </row>
    <row r="556" spans="3:12" ht="15.75">
      <c r="C556" s="59"/>
      <c r="D556" s="25"/>
      <c r="I556" s="25"/>
      <c r="J556" s="25"/>
      <c r="K556" s="25"/>
      <c r="L556" s="25"/>
    </row>
    <row r="557" spans="3:12" ht="15.75">
      <c r="C557" s="59"/>
      <c r="D557" s="25"/>
      <c r="I557" s="25"/>
      <c r="J557" s="25"/>
      <c r="K557" s="25"/>
      <c r="L557" s="25"/>
    </row>
    <row r="558" spans="3:12" ht="15.75">
      <c r="C558" s="59"/>
      <c r="D558" s="25"/>
      <c r="I558" s="25"/>
      <c r="J558" s="25"/>
      <c r="K558" s="25"/>
      <c r="L558" s="25"/>
    </row>
    <row r="559" spans="3:12" ht="15.75">
      <c r="C559" s="59"/>
      <c r="D559" s="25"/>
      <c r="I559" s="25"/>
      <c r="J559" s="25"/>
      <c r="K559" s="25"/>
      <c r="L559" s="25"/>
    </row>
    <row r="560" spans="3:12" ht="15.75">
      <c r="C560" s="59"/>
      <c r="D560" s="25"/>
      <c r="I560" s="25"/>
      <c r="J560" s="25"/>
      <c r="K560" s="25"/>
      <c r="L560" s="25"/>
    </row>
    <row r="561" spans="3:12" ht="15.75">
      <c r="C561" s="59"/>
      <c r="D561" s="25"/>
      <c r="I561" s="25"/>
      <c r="J561" s="25"/>
      <c r="K561" s="25"/>
      <c r="L561" s="25"/>
    </row>
    <row r="562" spans="3:12" ht="15.75">
      <c r="C562" s="59"/>
      <c r="D562" s="25"/>
      <c r="I562" s="25"/>
      <c r="J562" s="25"/>
      <c r="K562" s="25"/>
      <c r="L562" s="25"/>
    </row>
    <row r="563" spans="3:12" ht="15.75">
      <c r="C563" s="59"/>
      <c r="D563" s="25"/>
      <c r="I563" s="25"/>
      <c r="J563" s="25"/>
      <c r="K563" s="25"/>
      <c r="L563" s="25"/>
    </row>
    <row r="564" spans="3:12" ht="15.75">
      <c r="C564" s="59"/>
      <c r="D564" s="25"/>
      <c r="I564" s="25"/>
      <c r="J564" s="25"/>
      <c r="K564" s="25"/>
      <c r="L564" s="25"/>
    </row>
    <row r="565" spans="3:12" ht="15.75">
      <c r="C565" s="59"/>
      <c r="D565" s="25"/>
      <c r="I565" s="25"/>
      <c r="J565" s="25"/>
      <c r="K565" s="25"/>
      <c r="L565" s="25"/>
    </row>
    <row r="566" spans="3:12" ht="15.75">
      <c r="C566" s="59"/>
      <c r="D566" s="25"/>
      <c r="I566" s="25"/>
      <c r="J566" s="25"/>
      <c r="K566" s="25"/>
      <c r="L566" s="25"/>
    </row>
    <row r="567" spans="3:12" ht="15.75">
      <c r="C567" s="59"/>
      <c r="D567" s="25"/>
      <c r="I567" s="25"/>
      <c r="J567" s="25"/>
      <c r="K567" s="25"/>
      <c r="L567" s="25"/>
    </row>
    <row r="568" spans="3:12" ht="15.75">
      <c r="C568" s="59"/>
      <c r="D568" s="25"/>
      <c r="I568" s="25"/>
      <c r="J568" s="25"/>
      <c r="K568" s="25"/>
      <c r="L568" s="25"/>
    </row>
    <row r="569" spans="3:12" ht="15.75">
      <c r="C569" s="59"/>
      <c r="D569" s="25"/>
      <c r="I569" s="25"/>
      <c r="J569" s="25"/>
      <c r="K569" s="25"/>
      <c r="L569" s="25"/>
    </row>
    <row r="570" spans="3:12" ht="15.75">
      <c r="C570" s="59"/>
      <c r="D570" s="25"/>
      <c r="I570" s="25"/>
      <c r="J570" s="25"/>
      <c r="K570" s="25"/>
      <c r="L570" s="25"/>
    </row>
    <row r="571" spans="3:12" ht="15.75">
      <c r="C571" s="59"/>
      <c r="D571" s="25"/>
      <c r="I571" s="25"/>
      <c r="J571" s="25"/>
      <c r="K571" s="25"/>
      <c r="L571" s="25"/>
    </row>
    <row r="572" spans="3:12" ht="15.75">
      <c r="C572" s="59"/>
      <c r="D572" s="25"/>
      <c r="I572" s="25"/>
      <c r="J572" s="25"/>
      <c r="K572" s="25"/>
      <c r="L572" s="25"/>
    </row>
    <row r="573" spans="3:12" ht="15.75">
      <c r="C573" s="59"/>
      <c r="D573" s="25"/>
      <c r="I573" s="25"/>
      <c r="J573" s="25"/>
      <c r="K573" s="25"/>
      <c r="L573" s="25"/>
    </row>
    <row r="574" spans="3:12" ht="15.75">
      <c r="C574" s="59"/>
      <c r="D574" s="25"/>
      <c r="I574" s="25"/>
      <c r="J574" s="25"/>
      <c r="K574" s="25"/>
      <c r="L574" s="25"/>
    </row>
    <row r="575" spans="3:12" ht="15.75">
      <c r="C575" s="59"/>
      <c r="D575" s="25"/>
      <c r="I575" s="25"/>
      <c r="J575" s="25"/>
      <c r="K575" s="25"/>
      <c r="L575" s="25"/>
    </row>
    <row r="576" spans="3:12" ht="15.75">
      <c r="C576" s="59"/>
      <c r="D576" s="25"/>
      <c r="I576" s="25"/>
      <c r="J576" s="25"/>
      <c r="K576" s="25"/>
      <c r="L576" s="25"/>
    </row>
    <row r="577" spans="3:12" ht="15.75">
      <c r="C577" s="59"/>
      <c r="D577" s="25"/>
      <c r="I577" s="25"/>
      <c r="J577" s="25"/>
      <c r="K577" s="25"/>
      <c r="L577" s="25"/>
    </row>
    <row r="578" spans="3:12" ht="15.75">
      <c r="C578" s="59"/>
      <c r="D578" s="25"/>
      <c r="I578" s="25"/>
      <c r="J578" s="25"/>
      <c r="K578" s="25"/>
      <c r="L578" s="25"/>
    </row>
    <row r="579" spans="3:12" ht="15.75">
      <c r="C579" s="59"/>
      <c r="D579" s="25"/>
      <c r="I579" s="25"/>
      <c r="J579" s="25"/>
      <c r="K579" s="25"/>
      <c r="L579" s="25"/>
    </row>
    <row r="580" spans="3:12" ht="15.75">
      <c r="C580" s="59"/>
      <c r="D580" s="25"/>
      <c r="I580" s="25"/>
      <c r="J580" s="25"/>
      <c r="K580" s="25"/>
      <c r="L580" s="25"/>
    </row>
    <row r="581" spans="3:12" ht="15.75">
      <c r="C581" s="59"/>
      <c r="D581" s="25"/>
      <c r="I581" s="25"/>
      <c r="J581" s="25"/>
      <c r="K581" s="25"/>
      <c r="L581" s="25"/>
    </row>
    <row r="582" spans="3:12" ht="15.75">
      <c r="C582" s="59"/>
      <c r="D582" s="25"/>
      <c r="I582" s="25"/>
      <c r="J582" s="25"/>
      <c r="K582" s="25"/>
      <c r="L582" s="25"/>
    </row>
    <row r="583" spans="3:12" ht="15.75">
      <c r="C583" s="59"/>
      <c r="D583" s="25"/>
      <c r="I583" s="25"/>
      <c r="J583" s="25"/>
      <c r="K583" s="25"/>
      <c r="L583" s="25"/>
    </row>
    <row r="584" spans="3:12" ht="15.75">
      <c r="C584" s="59"/>
      <c r="D584" s="25"/>
      <c r="I584" s="25"/>
      <c r="J584" s="25"/>
      <c r="K584" s="25"/>
      <c r="L584" s="25"/>
    </row>
    <row r="585" spans="3:12" ht="15.75">
      <c r="C585" s="59"/>
      <c r="D585" s="25"/>
      <c r="I585" s="25"/>
      <c r="J585" s="25"/>
      <c r="K585" s="25"/>
      <c r="L585" s="25"/>
    </row>
    <row r="586" spans="3:12" ht="15.75">
      <c r="C586" s="59"/>
      <c r="D586" s="25"/>
      <c r="I586" s="25"/>
      <c r="J586" s="25"/>
      <c r="K586" s="25"/>
      <c r="L586" s="25"/>
    </row>
    <row r="587" spans="3:12" ht="15.75">
      <c r="C587" s="59"/>
      <c r="D587" s="25"/>
      <c r="I587" s="25"/>
      <c r="J587" s="25"/>
      <c r="K587" s="25"/>
      <c r="L587" s="25"/>
    </row>
    <row r="588" spans="3:12" ht="15.75">
      <c r="C588" s="59"/>
      <c r="D588" s="25"/>
      <c r="I588" s="25"/>
      <c r="J588" s="25"/>
      <c r="K588" s="25"/>
      <c r="L588" s="25"/>
    </row>
    <row r="589" spans="3:12" ht="15.75">
      <c r="C589" s="59"/>
      <c r="D589" s="25"/>
      <c r="I589" s="25"/>
      <c r="J589" s="25"/>
      <c r="K589" s="25"/>
      <c r="L589" s="25"/>
    </row>
    <row r="590" spans="3:12" ht="15.75">
      <c r="C590" s="59"/>
      <c r="D590" s="25"/>
      <c r="I590" s="25"/>
      <c r="J590" s="25"/>
      <c r="K590" s="25"/>
      <c r="L590" s="25"/>
    </row>
    <row r="591" spans="3:12" ht="15.75">
      <c r="C591" s="59"/>
      <c r="D591" s="25"/>
      <c r="I591" s="25"/>
      <c r="J591" s="25"/>
      <c r="K591" s="25"/>
      <c r="L591" s="25"/>
    </row>
    <row r="592" spans="3:12" ht="15.75">
      <c r="C592" s="59"/>
      <c r="D592" s="25"/>
      <c r="I592" s="25"/>
      <c r="J592" s="25"/>
      <c r="K592" s="25"/>
      <c r="L592" s="25"/>
    </row>
    <row r="593" spans="3:12" ht="15.75">
      <c r="C593" s="59"/>
      <c r="D593" s="25"/>
      <c r="I593" s="25"/>
      <c r="J593" s="25"/>
      <c r="K593" s="25"/>
      <c r="L593" s="25"/>
    </row>
    <row r="594" spans="3:12" ht="15.75">
      <c r="C594" s="59"/>
      <c r="D594" s="25"/>
      <c r="I594" s="25"/>
      <c r="J594" s="25"/>
      <c r="K594" s="25"/>
      <c r="L594" s="25"/>
    </row>
    <row r="595" spans="3:12" ht="15.75">
      <c r="C595" s="59"/>
      <c r="D595" s="25"/>
      <c r="I595" s="25"/>
      <c r="J595" s="25"/>
      <c r="K595" s="25"/>
      <c r="L595" s="25"/>
    </row>
    <row r="596" spans="3:12" ht="15.75">
      <c r="C596" s="59"/>
      <c r="D596" s="25"/>
      <c r="I596" s="25"/>
      <c r="J596" s="25"/>
      <c r="K596" s="25"/>
      <c r="L596" s="25"/>
    </row>
    <row r="597" spans="3:12" ht="15.75">
      <c r="C597" s="59"/>
      <c r="D597" s="25"/>
      <c r="I597" s="25"/>
      <c r="J597" s="25"/>
      <c r="K597" s="25"/>
      <c r="L597" s="25"/>
    </row>
    <row r="598" spans="3:12" ht="15.75">
      <c r="C598" s="59"/>
      <c r="D598" s="25"/>
      <c r="I598" s="25"/>
      <c r="J598" s="25"/>
      <c r="K598" s="25"/>
      <c r="L598" s="25"/>
    </row>
    <row r="599" spans="3:12" ht="15.75">
      <c r="C599" s="59"/>
      <c r="D599" s="25"/>
      <c r="I599" s="25"/>
      <c r="J599" s="25"/>
      <c r="K599" s="25"/>
      <c r="L599" s="25"/>
    </row>
    <row r="600" spans="3:12" ht="15.75">
      <c r="C600" s="59"/>
      <c r="D600" s="25"/>
      <c r="I600" s="25"/>
      <c r="J600" s="25"/>
      <c r="K600" s="25"/>
      <c r="L600" s="25"/>
    </row>
    <row r="601" spans="3:12" ht="15.75">
      <c r="C601" s="59"/>
      <c r="D601" s="25"/>
      <c r="I601" s="25"/>
      <c r="J601" s="25"/>
      <c r="K601" s="25"/>
      <c r="L601" s="25"/>
    </row>
    <row r="602" spans="3:12" ht="15.75">
      <c r="C602" s="59"/>
      <c r="D602" s="25"/>
      <c r="I602" s="25"/>
      <c r="J602" s="25"/>
      <c r="K602" s="25"/>
      <c r="L602" s="25"/>
    </row>
    <row r="603" spans="3:12" ht="15.75">
      <c r="C603" s="59"/>
      <c r="D603" s="25"/>
      <c r="I603" s="25"/>
      <c r="J603" s="25"/>
      <c r="K603" s="25"/>
      <c r="L603" s="25"/>
    </row>
    <row r="604" spans="3:12" ht="15.75">
      <c r="C604" s="59"/>
      <c r="D604" s="25"/>
      <c r="I604" s="25"/>
      <c r="J604" s="25"/>
      <c r="K604" s="25"/>
      <c r="L604" s="25"/>
    </row>
    <row r="605" spans="3:12" ht="15.75">
      <c r="C605" s="59"/>
      <c r="D605" s="25"/>
      <c r="I605" s="25"/>
      <c r="J605" s="25"/>
      <c r="K605" s="25"/>
      <c r="L605" s="25"/>
    </row>
    <row r="606" spans="3:12" ht="15.75">
      <c r="C606" s="59"/>
      <c r="D606" s="25"/>
      <c r="I606" s="25"/>
      <c r="J606" s="25"/>
      <c r="K606" s="25"/>
      <c r="L606" s="25"/>
    </row>
    <row r="607" spans="3:12" ht="15.75">
      <c r="C607" s="59"/>
      <c r="D607" s="25"/>
      <c r="I607" s="25"/>
      <c r="J607" s="25"/>
      <c r="K607" s="25"/>
      <c r="L607" s="25"/>
    </row>
    <row r="608" spans="3:12" ht="15.75">
      <c r="C608" s="59"/>
      <c r="D608" s="25"/>
      <c r="I608" s="25"/>
      <c r="J608" s="25"/>
      <c r="K608" s="25"/>
      <c r="L608" s="25"/>
    </row>
    <row r="609" spans="3:12" ht="15.75">
      <c r="C609" s="59"/>
      <c r="D609" s="25"/>
      <c r="I609" s="25"/>
      <c r="J609" s="25"/>
      <c r="K609" s="25"/>
      <c r="L609" s="25"/>
    </row>
    <row r="610" spans="3:12" ht="15.75">
      <c r="C610" s="59"/>
      <c r="D610" s="25"/>
      <c r="I610" s="25"/>
      <c r="J610" s="25"/>
      <c r="K610" s="25"/>
      <c r="L610" s="25"/>
    </row>
    <row r="611" spans="3:12" ht="15.75">
      <c r="C611" s="59"/>
      <c r="D611" s="25"/>
      <c r="I611" s="25"/>
      <c r="J611" s="25"/>
      <c r="K611" s="25"/>
      <c r="L611" s="25"/>
    </row>
    <row r="612" spans="3:12" ht="15.75">
      <c r="C612" s="59"/>
      <c r="D612" s="25"/>
      <c r="I612" s="25"/>
      <c r="J612" s="25"/>
      <c r="K612" s="25"/>
      <c r="L612" s="25"/>
    </row>
    <row r="613" spans="3:12" ht="15.75">
      <c r="C613" s="59"/>
      <c r="D613" s="25"/>
      <c r="I613" s="25"/>
      <c r="J613" s="25"/>
      <c r="K613" s="25"/>
      <c r="L613" s="25"/>
    </row>
    <row r="614" spans="3:12" ht="15.75">
      <c r="C614" s="59"/>
      <c r="D614" s="25"/>
      <c r="I614" s="25"/>
      <c r="J614" s="25"/>
      <c r="K614" s="25"/>
      <c r="L614" s="25"/>
    </row>
    <row r="615" spans="3:12" ht="15.75">
      <c r="C615" s="59"/>
      <c r="D615" s="25"/>
      <c r="I615" s="25"/>
      <c r="J615" s="25"/>
      <c r="K615" s="25"/>
      <c r="L615" s="25"/>
    </row>
    <row r="616" spans="3:12" ht="15.75">
      <c r="C616" s="59"/>
      <c r="D616" s="25"/>
      <c r="I616" s="25"/>
      <c r="J616" s="25"/>
      <c r="K616" s="25"/>
      <c r="L616" s="25"/>
    </row>
    <row r="617" spans="3:12" ht="15.75">
      <c r="C617" s="59"/>
      <c r="D617" s="25"/>
      <c r="I617" s="25"/>
      <c r="J617" s="25"/>
      <c r="K617" s="25"/>
      <c r="L617" s="25"/>
    </row>
    <row r="618" spans="3:12" ht="15.75">
      <c r="C618" s="59"/>
      <c r="D618" s="25"/>
      <c r="I618" s="25"/>
      <c r="J618" s="25"/>
      <c r="K618" s="25"/>
      <c r="L618" s="25"/>
    </row>
    <row r="619" spans="3:12" ht="15.75">
      <c r="C619" s="59"/>
      <c r="D619" s="25"/>
      <c r="I619" s="25"/>
      <c r="J619" s="25"/>
      <c r="K619" s="25"/>
      <c r="L619" s="25"/>
    </row>
    <row r="620" spans="3:12" ht="15.75">
      <c r="C620" s="59"/>
      <c r="D620" s="25"/>
      <c r="I620" s="25"/>
      <c r="J620" s="25"/>
      <c r="K620" s="25"/>
      <c r="L620" s="25"/>
    </row>
    <row r="621" spans="3:12" ht="15.75">
      <c r="C621" s="59"/>
      <c r="D621" s="25"/>
      <c r="I621" s="25"/>
      <c r="J621" s="25"/>
      <c r="K621" s="25"/>
      <c r="L621" s="25"/>
    </row>
    <row r="622" spans="3:12" ht="15.75">
      <c r="C622" s="59"/>
      <c r="D622" s="25"/>
      <c r="I622" s="25"/>
      <c r="J622" s="25"/>
      <c r="K622" s="25"/>
      <c r="L622" s="25"/>
    </row>
    <row r="623" spans="3:12" ht="15.75">
      <c r="C623" s="59"/>
      <c r="D623" s="25"/>
      <c r="I623" s="25"/>
      <c r="J623" s="25"/>
      <c r="K623" s="25"/>
      <c r="L623" s="25"/>
    </row>
    <row r="624" spans="3:12" ht="15.75">
      <c r="C624" s="59"/>
      <c r="D624" s="25"/>
      <c r="I624" s="25"/>
      <c r="J624" s="25"/>
      <c r="K624" s="25"/>
      <c r="L624" s="25"/>
    </row>
    <row r="625" spans="3:12" ht="15.75">
      <c r="C625" s="59"/>
      <c r="D625" s="25"/>
      <c r="I625" s="25"/>
      <c r="J625" s="25"/>
      <c r="K625" s="25"/>
      <c r="L625" s="25"/>
    </row>
    <row r="626" spans="3:12" ht="15.75">
      <c r="C626" s="59"/>
      <c r="D626" s="25"/>
      <c r="I626" s="25"/>
      <c r="J626" s="25"/>
      <c r="K626" s="25"/>
      <c r="L626" s="25"/>
    </row>
    <row r="627" spans="3:12" ht="15.75">
      <c r="C627" s="59"/>
      <c r="D627" s="25"/>
      <c r="I627" s="25"/>
      <c r="J627" s="25"/>
      <c r="K627" s="25"/>
      <c r="L627" s="25"/>
    </row>
    <row r="628" spans="3:12" ht="15.75">
      <c r="C628" s="59"/>
      <c r="D628" s="25"/>
      <c r="I628" s="25"/>
      <c r="J628" s="25"/>
      <c r="K628" s="25"/>
      <c r="L628" s="25"/>
    </row>
    <row r="629" spans="3:12" ht="15.75">
      <c r="C629" s="59"/>
      <c r="D629" s="25"/>
      <c r="I629" s="25"/>
      <c r="J629" s="25"/>
      <c r="K629" s="25"/>
      <c r="L629" s="25"/>
    </row>
    <row r="630" spans="3:12" ht="15.75">
      <c r="C630" s="59"/>
      <c r="D630" s="25"/>
      <c r="I630" s="25"/>
      <c r="J630" s="25"/>
      <c r="K630" s="25"/>
      <c r="L630" s="25"/>
    </row>
    <row r="631" spans="3:12" ht="15.75">
      <c r="C631" s="59"/>
      <c r="D631" s="25"/>
      <c r="I631" s="25"/>
      <c r="J631" s="25"/>
      <c r="K631" s="25"/>
      <c r="L631" s="25"/>
    </row>
    <row r="632" spans="3:12" ht="15.75">
      <c r="C632" s="59"/>
      <c r="D632" s="25"/>
      <c r="I632" s="25"/>
      <c r="J632" s="25"/>
      <c r="K632" s="25"/>
      <c r="L632" s="25"/>
    </row>
    <row r="633" spans="3:12" ht="15.75">
      <c r="C633" s="59"/>
      <c r="D633" s="25"/>
      <c r="I633" s="25"/>
      <c r="J633" s="25"/>
      <c r="K633" s="25"/>
      <c r="L633" s="25"/>
    </row>
    <row r="634" spans="3:12" ht="15.75">
      <c r="C634" s="59"/>
      <c r="D634" s="25"/>
      <c r="I634" s="25"/>
      <c r="J634" s="25"/>
      <c r="K634" s="25"/>
      <c r="L634" s="25"/>
    </row>
    <row r="635" spans="3:12" ht="15.75">
      <c r="C635" s="59"/>
      <c r="D635" s="25"/>
      <c r="I635" s="25"/>
      <c r="J635" s="25"/>
      <c r="K635" s="25"/>
      <c r="L635" s="25"/>
    </row>
    <row r="636" spans="3:12" ht="15.75">
      <c r="C636" s="59"/>
      <c r="D636" s="25"/>
      <c r="I636" s="25"/>
      <c r="J636" s="25"/>
      <c r="K636" s="25"/>
      <c r="L636" s="25"/>
    </row>
    <row r="637" spans="3:12" ht="15.75">
      <c r="C637" s="59"/>
      <c r="D637" s="25"/>
      <c r="I637" s="25"/>
      <c r="J637" s="25"/>
      <c r="K637" s="25"/>
      <c r="L637" s="25"/>
    </row>
    <row r="638" spans="3:12" ht="15.75">
      <c r="C638" s="59"/>
      <c r="D638" s="25"/>
      <c r="I638" s="25"/>
      <c r="J638" s="25"/>
      <c r="K638" s="25"/>
      <c r="L638" s="25"/>
    </row>
    <row r="639" spans="3:12" ht="15.75">
      <c r="C639" s="59"/>
      <c r="D639" s="25"/>
      <c r="I639" s="25"/>
      <c r="J639" s="25"/>
      <c r="K639" s="25"/>
      <c r="L639" s="25"/>
    </row>
    <row r="640" spans="3:12" ht="15.75">
      <c r="C640" s="59"/>
      <c r="D640" s="25"/>
      <c r="I640" s="25"/>
      <c r="J640" s="25"/>
      <c r="K640" s="25"/>
      <c r="L640" s="25"/>
    </row>
    <row r="641" spans="3:12" ht="15.75">
      <c r="C641" s="59"/>
      <c r="D641" s="25"/>
      <c r="I641" s="25"/>
      <c r="J641" s="25"/>
      <c r="K641" s="25"/>
      <c r="L641" s="25"/>
    </row>
    <row r="642" spans="3:12" ht="15.75">
      <c r="C642" s="59"/>
      <c r="D642" s="25"/>
      <c r="I642" s="25"/>
      <c r="J642" s="25"/>
      <c r="K642" s="25"/>
      <c r="L642" s="25"/>
    </row>
    <row r="643" spans="3:12" ht="15.75">
      <c r="C643" s="59"/>
      <c r="D643" s="25"/>
      <c r="I643" s="25"/>
      <c r="J643" s="25"/>
      <c r="K643" s="25"/>
      <c r="L643" s="25"/>
    </row>
    <row r="644" spans="3:12" ht="15.75">
      <c r="C644" s="59"/>
      <c r="D644" s="25"/>
      <c r="I644" s="25"/>
      <c r="J644" s="25"/>
      <c r="K644" s="25"/>
      <c r="L644" s="25"/>
    </row>
    <row r="645" spans="3:12" ht="15.75">
      <c r="C645" s="59"/>
      <c r="D645" s="25"/>
      <c r="I645" s="25"/>
      <c r="J645" s="25"/>
      <c r="K645" s="25"/>
      <c r="L645" s="25"/>
    </row>
    <row r="646" spans="3:12" ht="15.75">
      <c r="C646" s="59"/>
      <c r="D646" s="25"/>
      <c r="I646" s="25"/>
      <c r="J646" s="25"/>
      <c r="K646" s="25"/>
      <c r="L646" s="25"/>
    </row>
    <row r="647" spans="3:12" ht="15.75">
      <c r="C647" s="59"/>
      <c r="D647" s="25"/>
      <c r="I647" s="25"/>
      <c r="J647" s="25"/>
      <c r="K647" s="25"/>
      <c r="L647" s="25"/>
    </row>
    <row r="648" spans="3:12" ht="15.75">
      <c r="C648" s="59"/>
      <c r="D648" s="25"/>
      <c r="I648" s="25"/>
      <c r="J648" s="25"/>
      <c r="K648" s="25"/>
      <c r="L648" s="25"/>
    </row>
    <row r="649" spans="3:12" ht="15.75">
      <c r="C649" s="59"/>
      <c r="D649" s="25"/>
      <c r="I649" s="25"/>
      <c r="J649" s="25"/>
      <c r="K649" s="25"/>
      <c r="L649" s="25"/>
    </row>
    <row r="650" spans="3:12" ht="15.75">
      <c r="C650" s="59"/>
      <c r="D650" s="25"/>
      <c r="I650" s="25"/>
      <c r="J650" s="25"/>
      <c r="K650" s="25"/>
      <c r="L650" s="25"/>
    </row>
    <row r="651" spans="3:12" ht="15.75">
      <c r="C651" s="59"/>
      <c r="D651" s="25"/>
      <c r="I651" s="25"/>
      <c r="J651" s="25"/>
      <c r="K651" s="25"/>
      <c r="L651" s="25"/>
    </row>
    <row r="652" spans="3:12" ht="15.75">
      <c r="C652" s="59"/>
      <c r="D652" s="25"/>
      <c r="I652" s="25"/>
      <c r="J652" s="25"/>
      <c r="K652" s="25"/>
      <c r="L652" s="25"/>
    </row>
    <row r="653" spans="3:12" ht="15.75">
      <c r="C653" s="59"/>
      <c r="D653" s="25"/>
      <c r="I653" s="25"/>
      <c r="J653" s="25"/>
      <c r="K653" s="25"/>
      <c r="L653" s="25"/>
    </row>
    <row r="654" spans="3:12" ht="15.75">
      <c r="C654" s="59"/>
      <c r="D654" s="25"/>
      <c r="I654" s="25"/>
      <c r="J654" s="25"/>
      <c r="K654" s="25"/>
      <c r="L654" s="25"/>
    </row>
    <row r="655" spans="3:12" ht="15.75">
      <c r="C655" s="59"/>
      <c r="D655" s="25"/>
      <c r="I655" s="25"/>
      <c r="J655" s="25"/>
      <c r="K655" s="25"/>
      <c r="L655" s="25"/>
    </row>
    <row r="656" spans="3:12" ht="15.75">
      <c r="C656" s="59"/>
      <c r="D656" s="25"/>
      <c r="I656" s="25"/>
      <c r="J656" s="25"/>
      <c r="K656" s="25"/>
      <c r="L656" s="25"/>
    </row>
    <row r="657" spans="3:12" ht="15.75">
      <c r="C657" s="59"/>
      <c r="D657" s="25"/>
      <c r="I657" s="25"/>
      <c r="J657" s="25"/>
      <c r="K657" s="25"/>
      <c r="L657" s="25"/>
    </row>
    <row r="658" spans="3:12" ht="15.75">
      <c r="C658" s="59"/>
      <c r="D658" s="25"/>
      <c r="I658" s="25"/>
      <c r="J658" s="25"/>
      <c r="K658" s="25"/>
      <c r="L658" s="25"/>
    </row>
    <row r="659" spans="3:12" ht="15.75">
      <c r="C659" s="59"/>
      <c r="D659" s="25"/>
      <c r="I659" s="25"/>
      <c r="J659" s="25"/>
      <c r="K659" s="25"/>
      <c r="L659" s="25"/>
    </row>
    <row r="660" spans="3:12" ht="15.75">
      <c r="C660" s="59"/>
      <c r="D660" s="25"/>
      <c r="I660" s="25"/>
      <c r="J660" s="25"/>
      <c r="K660" s="25"/>
      <c r="L660" s="25"/>
    </row>
    <row r="661" spans="3:12" ht="15.75">
      <c r="C661" s="59"/>
      <c r="D661" s="25"/>
      <c r="I661" s="25"/>
      <c r="J661" s="25"/>
      <c r="K661" s="25"/>
      <c r="L661" s="25"/>
    </row>
    <row r="662" spans="3:12" ht="15.75">
      <c r="C662" s="59"/>
      <c r="D662" s="25"/>
      <c r="I662" s="25"/>
      <c r="J662" s="25"/>
      <c r="K662" s="25"/>
      <c r="L662" s="25"/>
    </row>
    <row r="663" spans="3:12" ht="15.75">
      <c r="C663" s="59"/>
      <c r="D663" s="25"/>
      <c r="I663" s="25"/>
      <c r="J663" s="25"/>
      <c r="K663" s="25"/>
      <c r="L663" s="25"/>
    </row>
    <row r="664" spans="3:12" ht="15.75">
      <c r="C664" s="59"/>
      <c r="D664" s="25"/>
      <c r="I664" s="25"/>
      <c r="J664" s="25"/>
      <c r="K664" s="25"/>
      <c r="L664" s="25"/>
    </row>
    <row r="665" spans="3:12" ht="15.75">
      <c r="C665" s="59"/>
      <c r="D665" s="25"/>
      <c r="I665" s="25"/>
      <c r="J665" s="25"/>
      <c r="K665" s="25"/>
      <c r="L665" s="25"/>
    </row>
    <row r="666" spans="3:12" ht="15.75">
      <c r="C666" s="59"/>
      <c r="D666" s="25"/>
      <c r="I666" s="25"/>
      <c r="J666" s="25"/>
      <c r="K666" s="25"/>
      <c r="L666" s="25"/>
    </row>
    <row r="667" spans="3:12" ht="15.75">
      <c r="C667" s="59"/>
      <c r="D667" s="25"/>
      <c r="I667" s="25"/>
      <c r="J667" s="25"/>
      <c r="K667" s="25"/>
      <c r="L667" s="25"/>
    </row>
    <row r="668" spans="3:12" ht="15.75">
      <c r="C668" s="59"/>
      <c r="D668" s="25"/>
      <c r="I668" s="25"/>
      <c r="J668" s="25"/>
      <c r="K668" s="25"/>
      <c r="L668" s="25"/>
    </row>
    <row r="669" spans="3:12" ht="15.75">
      <c r="C669" s="59"/>
      <c r="D669" s="25"/>
      <c r="I669" s="25"/>
      <c r="J669" s="25"/>
      <c r="K669" s="25"/>
      <c r="L669" s="25"/>
    </row>
    <row r="670" spans="3:12" ht="15.75">
      <c r="C670" s="59"/>
      <c r="D670" s="25"/>
      <c r="I670" s="25"/>
      <c r="J670" s="25"/>
      <c r="K670" s="25"/>
      <c r="L670" s="25"/>
    </row>
    <row r="671" spans="3:12" ht="15.75">
      <c r="C671" s="59"/>
      <c r="D671" s="25"/>
      <c r="I671" s="25"/>
      <c r="J671" s="25"/>
      <c r="K671" s="25"/>
      <c r="L671" s="25"/>
    </row>
    <row r="672" spans="3:12" ht="15.75">
      <c r="C672" s="59"/>
      <c r="D672" s="25"/>
      <c r="I672" s="25"/>
      <c r="J672" s="25"/>
      <c r="K672" s="25"/>
      <c r="L672" s="25"/>
    </row>
    <row r="673" spans="3:12" ht="15.75">
      <c r="C673" s="59"/>
      <c r="D673" s="25"/>
      <c r="I673" s="25"/>
      <c r="J673" s="25"/>
      <c r="K673" s="25"/>
      <c r="L673" s="25"/>
    </row>
    <row r="674" spans="3:12" ht="15.75">
      <c r="C674" s="59"/>
      <c r="D674" s="25"/>
      <c r="I674" s="25"/>
      <c r="J674" s="25"/>
      <c r="K674" s="25"/>
      <c r="L674" s="25"/>
    </row>
    <row r="675" spans="3:12" ht="15.75">
      <c r="C675" s="59"/>
      <c r="D675" s="25"/>
      <c r="I675" s="25"/>
      <c r="J675" s="25"/>
      <c r="K675" s="25"/>
      <c r="L675" s="25"/>
    </row>
    <row r="676" spans="3:12" ht="15.75">
      <c r="C676" s="59"/>
      <c r="D676" s="25"/>
      <c r="I676" s="25"/>
      <c r="J676" s="25"/>
      <c r="K676" s="25"/>
      <c r="L676" s="25"/>
    </row>
    <row r="677" spans="3:12" ht="15.75">
      <c r="C677" s="59"/>
      <c r="D677" s="25"/>
      <c r="I677" s="25"/>
      <c r="J677" s="25"/>
      <c r="K677" s="25"/>
      <c r="L677" s="25"/>
    </row>
    <row r="678" spans="3:12" ht="15.75">
      <c r="C678" s="59"/>
      <c r="D678" s="25"/>
      <c r="I678" s="25"/>
      <c r="J678" s="25"/>
      <c r="K678" s="25"/>
      <c r="L678" s="25"/>
    </row>
    <row r="679" spans="3:12" ht="15.75">
      <c r="C679" s="59"/>
      <c r="D679" s="25"/>
      <c r="I679" s="25"/>
      <c r="J679" s="25"/>
      <c r="K679" s="25"/>
      <c r="L679" s="25"/>
    </row>
    <row r="680" spans="3:12" ht="15.75">
      <c r="C680" s="59"/>
      <c r="D680" s="25"/>
      <c r="I680" s="25"/>
      <c r="J680" s="25"/>
      <c r="K680" s="25"/>
      <c r="L680" s="25"/>
    </row>
    <row r="681" spans="3:12" ht="15.75">
      <c r="C681" s="59"/>
      <c r="D681" s="25"/>
      <c r="I681" s="25"/>
      <c r="J681" s="25"/>
      <c r="K681" s="25"/>
      <c r="L681" s="25"/>
    </row>
    <row r="682" spans="3:12" ht="15.75">
      <c r="C682" s="59"/>
      <c r="D682" s="25"/>
      <c r="I682" s="25"/>
      <c r="J682" s="25"/>
      <c r="K682" s="25"/>
      <c r="L682" s="25"/>
    </row>
    <row r="683" spans="3:12" ht="15.75">
      <c r="C683" s="59"/>
      <c r="D683" s="25"/>
      <c r="I683" s="25"/>
      <c r="J683" s="25"/>
      <c r="K683" s="25"/>
      <c r="L683" s="25"/>
    </row>
    <row r="684" spans="3:12" ht="15.75">
      <c r="C684" s="59"/>
      <c r="D684" s="25"/>
      <c r="I684" s="25"/>
      <c r="J684" s="25"/>
      <c r="K684" s="25"/>
      <c r="L684" s="25"/>
    </row>
    <row r="685" spans="3:12" ht="15.75">
      <c r="C685" s="59"/>
      <c r="D685" s="25"/>
      <c r="I685" s="25"/>
      <c r="J685" s="25"/>
      <c r="K685" s="25"/>
      <c r="L685" s="25"/>
    </row>
    <row r="686" spans="3:4" ht="15.75">
      <c r="C686" s="59"/>
      <c r="D686" s="25"/>
    </row>
    <row r="687" spans="3:4" ht="15.75">
      <c r="C687" s="59"/>
      <c r="D687" s="25"/>
    </row>
    <row r="688" spans="3:4" ht="15.75">
      <c r="C688" s="59"/>
      <c r="D688" s="25"/>
    </row>
    <row r="689" spans="3:4" ht="15.75">
      <c r="C689" s="59"/>
      <c r="D689" s="25"/>
    </row>
    <row r="690" spans="3:4" ht="15.75">
      <c r="C690" s="59"/>
      <c r="D690" s="25"/>
    </row>
    <row r="691" spans="3:4" ht="15.75">
      <c r="C691" s="59"/>
      <c r="D691" s="25"/>
    </row>
    <row r="692" spans="3:4" ht="15.75">
      <c r="C692" s="59"/>
      <c r="D692" s="25"/>
    </row>
    <row r="693" spans="3:4" ht="15.75">
      <c r="C693" s="59"/>
      <c r="D693" s="25"/>
    </row>
    <row r="694" spans="3:4" ht="15.75">
      <c r="C694" s="59"/>
      <c r="D694" s="25"/>
    </row>
    <row r="695" spans="3:4" ht="15.75">
      <c r="C695" s="59"/>
      <c r="D695" s="25"/>
    </row>
    <row r="696" spans="3:4" ht="15.75">
      <c r="C696" s="59"/>
      <c r="D696" s="25"/>
    </row>
    <row r="697" spans="3:4" ht="15.75">
      <c r="C697" s="59"/>
      <c r="D697" s="25"/>
    </row>
    <row r="698" spans="3:4" ht="15.75">
      <c r="C698" s="59"/>
      <c r="D698" s="25"/>
    </row>
    <row r="699" spans="3:4" ht="15.75">
      <c r="C699" s="59"/>
      <c r="D699" s="25"/>
    </row>
    <row r="700" spans="3:4" ht="15.75">
      <c r="C700" s="59"/>
      <c r="D700" s="25"/>
    </row>
    <row r="701" spans="3:4" ht="15.75">
      <c r="C701" s="59"/>
      <c r="D701" s="25"/>
    </row>
    <row r="702" spans="3:4" ht="15.75">
      <c r="C702" s="59"/>
      <c r="D702" s="25"/>
    </row>
    <row r="703" spans="3:4" ht="15.75">
      <c r="C703" s="59"/>
      <c r="D703" s="25"/>
    </row>
    <row r="704" spans="3:4" ht="15.75">
      <c r="C704" s="59"/>
      <c r="D704" s="25"/>
    </row>
    <row r="705" spans="3:4" ht="15.75">
      <c r="C705" s="59"/>
      <c r="D705" s="25"/>
    </row>
    <row r="706" spans="3:4" ht="15.75">
      <c r="C706" s="59"/>
      <c r="D706" s="25"/>
    </row>
    <row r="707" spans="3:4" ht="15.75">
      <c r="C707" s="59"/>
      <c r="D707" s="25"/>
    </row>
    <row r="708" spans="3:4" ht="15.75">
      <c r="C708" s="59"/>
      <c r="D708" s="25"/>
    </row>
    <row r="709" spans="3:4" ht="15.75">
      <c r="C709" s="59"/>
      <c r="D709" s="25"/>
    </row>
    <row r="710" spans="3:4" ht="15.75">
      <c r="C710" s="59"/>
      <c r="D710" s="25"/>
    </row>
    <row r="711" spans="3:4" ht="15.75">
      <c r="C711" s="59"/>
      <c r="D711" s="25"/>
    </row>
    <row r="712" spans="3:4" ht="15.75">
      <c r="C712" s="59"/>
      <c r="D712" s="25"/>
    </row>
    <row r="713" spans="3:4" ht="15.75">
      <c r="C713" s="59"/>
      <c r="D713" s="25"/>
    </row>
    <row r="714" spans="3:4" ht="15.75">
      <c r="C714" s="59"/>
      <c r="D714" s="25"/>
    </row>
    <row r="715" spans="3:4" ht="15.75">
      <c r="C715" s="59"/>
      <c r="D715" s="25"/>
    </row>
    <row r="716" spans="3:4" ht="15.75">
      <c r="C716" s="59"/>
      <c r="D716" s="25"/>
    </row>
    <row r="717" spans="3:4" ht="15.75">
      <c r="C717" s="59"/>
      <c r="D717" s="25"/>
    </row>
    <row r="718" spans="3:4" ht="15.75">
      <c r="C718" s="59"/>
      <c r="D718" s="25"/>
    </row>
    <row r="719" spans="3:4" ht="15.75">
      <c r="C719" s="59"/>
      <c r="D719" s="25"/>
    </row>
    <row r="720" spans="3:4" ht="15.75">
      <c r="C720" s="59"/>
      <c r="D720" s="25"/>
    </row>
    <row r="721" spans="3:4" ht="15.75">
      <c r="C721" s="59"/>
      <c r="D721" s="25"/>
    </row>
    <row r="722" spans="3:4" ht="15.75">
      <c r="C722" s="59"/>
      <c r="D722" s="25"/>
    </row>
    <row r="723" spans="3:4" ht="15.75">
      <c r="C723" s="59"/>
      <c r="D723" s="25"/>
    </row>
    <row r="724" spans="3:4" ht="15.75">
      <c r="C724" s="59"/>
      <c r="D724" s="25"/>
    </row>
    <row r="725" spans="3:4" ht="15.75">
      <c r="C725" s="59"/>
      <c r="D725" s="25"/>
    </row>
    <row r="726" spans="3:4" ht="15.75">
      <c r="C726" s="59"/>
      <c r="D726" s="25"/>
    </row>
    <row r="727" spans="3:4" ht="15.75">
      <c r="C727" s="59"/>
      <c r="D727" s="25"/>
    </row>
    <row r="728" spans="3:4" ht="15.75">
      <c r="C728" s="59"/>
      <c r="D728" s="25"/>
    </row>
    <row r="729" spans="3:4" ht="15.75">
      <c r="C729" s="59"/>
      <c r="D729" s="25"/>
    </row>
    <row r="730" spans="3:4" ht="15.75">
      <c r="C730" s="59"/>
      <c r="D730" s="25"/>
    </row>
    <row r="731" spans="3:4" ht="15.75">
      <c r="C731" s="59"/>
      <c r="D731" s="25"/>
    </row>
    <row r="732" spans="3:4" ht="15.75">
      <c r="C732" s="59"/>
      <c r="D732" s="25"/>
    </row>
    <row r="733" spans="3:4" ht="15.75">
      <c r="C733" s="59"/>
      <c r="D733" s="25"/>
    </row>
    <row r="734" spans="3:4" ht="15.75">
      <c r="C734" s="59"/>
      <c r="D734" s="25"/>
    </row>
    <row r="735" spans="3:4" ht="15.75">
      <c r="C735" s="59"/>
      <c r="D735" s="25"/>
    </row>
    <row r="736" spans="3:4" ht="15.75">
      <c r="C736" s="59"/>
      <c r="D736" s="25"/>
    </row>
    <row r="737" spans="3:4" ht="15.75">
      <c r="C737" s="59"/>
      <c r="D737" s="25"/>
    </row>
    <row r="738" spans="3:4" ht="15.75">
      <c r="C738" s="59"/>
      <c r="D738" s="25"/>
    </row>
    <row r="739" spans="3:4" ht="15.75">
      <c r="C739" s="59"/>
      <c r="D739" s="25"/>
    </row>
    <row r="740" spans="3:4" ht="15.75">
      <c r="C740" s="59"/>
      <c r="D740" s="25"/>
    </row>
    <row r="741" spans="3:4" ht="15.75">
      <c r="C741" s="59"/>
      <c r="D741" s="25"/>
    </row>
    <row r="742" spans="3:4" ht="15.75">
      <c r="C742" s="59"/>
      <c r="D742" s="25"/>
    </row>
    <row r="743" spans="3:4" ht="15.75">
      <c r="C743" s="59"/>
      <c r="D743" s="25"/>
    </row>
    <row r="744" spans="3:4" ht="15.75">
      <c r="C744" s="59"/>
      <c r="D744" s="25"/>
    </row>
    <row r="745" spans="3:4" ht="15.75">
      <c r="C745" s="59"/>
      <c r="D745" s="25"/>
    </row>
    <row r="746" spans="3:4" ht="15.75">
      <c r="C746" s="59"/>
      <c r="D746" s="25"/>
    </row>
    <row r="747" spans="3:4" ht="15.75">
      <c r="C747" s="59"/>
      <c r="D747" s="25"/>
    </row>
    <row r="748" spans="3:4" ht="15.75">
      <c r="C748" s="59"/>
      <c r="D748" s="25"/>
    </row>
    <row r="749" spans="3:4" ht="15.75">
      <c r="C749" s="59"/>
      <c r="D749" s="25"/>
    </row>
    <row r="750" spans="3:4" ht="15.75">
      <c r="C750" s="59"/>
      <c r="D750" s="25"/>
    </row>
    <row r="751" spans="3:4" ht="15.75">
      <c r="C751" s="59"/>
      <c r="D751" s="25"/>
    </row>
    <row r="752" spans="3:4" ht="15.75">
      <c r="C752" s="59"/>
      <c r="D752" s="25"/>
    </row>
    <row r="753" spans="3:4" ht="15.75">
      <c r="C753" s="59"/>
      <c r="D753" s="25"/>
    </row>
    <row r="754" spans="3:4" ht="15.75">
      <c r="C754" s="59"/>
      <c r="D754" s="25"/>
    </row>
    <row r="755" spans="3:4" ht="15.75">
      <c r="C755" s="59"/>
      <c r="D755" s="25"/>
    </row>
    <row r="756" spans="3:4" ht="15.75">
      <c r="C756" s="59"/>
      <c r="D756" s="25"/>
    </row>
    <row r="757" spans="3:4" ht="15.75">
      <c r="C757" s="59"/>
      <c r="D757" s="25"/>
    </row>
    <row r="758" spans="3:4" ht="15.75">
      <c r="C758" s="59"/>
      <c r="D758" s="25"/>
    </row>
    <row r="759" spans="3:4" ht="15.75">
      <c r="C759" s="59"/>
      <c r="D759" s="25"/>
    </row>
    <row r="760" spans="3:4" ht="15.75">
      <c r="C760" s="59"/>
      <c r="D760" s="25"/>
    </row>
    <row r="761" spans="3:4" ht="15.75">
      <c r="C761" s="59"/>
      <c r="D761" s="25"/>
    </row>
    <row r="762" spans="3:4" ht="15.75">
      <c r="C762" s="59"/>
      <c r="D762" s="25"/>
    </row>
    <row r="763" spans="3:4" ht="15.75">
      <c r="C763" s="59"/>
      <c r="D763" s="25"/>
    </row>
    <row r="764" spans="3:4" ht="15.75">
      <c r="C764" s="59"/>
      <c r="D764" s="25"/>
    </row>
    <row r="765" spans="3:4" ht="15.75">
      <c r="C765" s="59"/>
      <c r="D765" s="25"/>
    </row>
    <row r="766" spans="3:4" ht="15.75">
      <c r="C766" s="59"/>
      <c r="D766" s="25"/>
    </row>
    <row r="767" spans="3:4" ht="15.75">
      <c r="C767" s="59"/>
      <c r="D767" s="25"/>
    </row>
    <row r="768" spans="3:4" ht="15.75">
      <c r="C768" s="59"/>
      <c r="D768" s="25"/>
    </row>
    <row r="769" spans="3:4" ht="15.75">
      <c r="C769" s="59"/>
      <c r="D769" s="25"/>
    </row>
    <row r="770" spans="3:4" ht="15.75">
      <c r="C770" s="59"/>
      <c r="D770" s="25"/>
    </row>
    <row r="771" spans="3:4" ht="15.75">
      <c r="C771" s="59"/>
      <c r="D771" s="25"/>
    </row>
    <row r="772" spans="3:4" ht="15.75">
      <c r="C772" s="59"/>
      <c r="D772" s="25"/>
    </row>
    <row r="773" spans="3:4" ht="15.75">
      <c r="C773" s="59"/>
      <c r="D773" s="25"/>
    </row>
    <row r="774" spans="3:4" ht="15.75">
      <c r="C774" s="59"/>
      <c r="D774" s="25"/>
    </row>
    <row r="775" spans="3:4" ht="15.75">
      <c r="C775" s="59"/>
      <c r="D775" s="25"/>
    </row>
    <row r="776" spans="3:4" ht="15.75">
      <c r="C776" s="59"/>
      <c r="D776" s="25"/>
    </row>
    <row r="777" spans="3:4" ht="15.75">
      <c r="C777" s="59"/>
      <c r="D777" s="25"/>
    </row>
    <row r="778" spans="3:4" ht="15.75">
      <c r="C778" s="59"/>
      <c r="D778" s="25"/>
    </row>
    <row r="779" spans="3:4" ht="15.75">
      <c r="C779" s="59"/>
      <c r="D779" s="25"/>
    </row>
    <row r="780" spans="3:4" ht="15.75">
      <c r="C780" s="59"/>
      <c r="D780" s="25"/>
    </row>
    <row r="781" spans="3:4" ht="15.75">
      <c r="C781" s="59"/>
      <c r="D781" s="25"/>
    </row>
    <row r="782" spans="3:4" ht="15.75">
      <c r="C782" s="59"/>
      <c r="D782" s="25"/>
    </row>
    <row r="783" spans="3:4" ht="15.75">
      <c r="C783" s="59"/>
      <c r="D783" s="25"/>
    </row>
    <row r="784" spans="3:4" ht="15.75">
      <c r="C784" s="59"/>
      <c r="D784" s="25"/>
    </row>
    <row r="785" spans="3:4" ht="15.75">
      <c r="C785" s="59"/>
      <c r="D785" s="25"/>
    </row>
    <row r="786" spans="3:4" ht="15.75">
      <c r="C786" s="59"/>
      <c r="D786" s="25"/>
    </row>
    <row r="787" spans="3:4" ht="15.75">
      <c r="C787" s="59"/>
      <c r="D787" s="25"/>
    </row>
    <row r="788" spans="3:4" ht="15.75">
      <c r="C788" s="59"/>
      <c r="D788" s="25"/>
    </row>
    <row r="789" spans="3:4" ht="15.75">
      <c r="C789" s="59"/>
      <c r="D789" s="25"/>
    </row>
    <row r="790" spans="3:4" ht="15.75">
      <c r="C790" s="59"/>
      <c r="D790" s="25"/>
    </row>
    <row r="791" spans="3:4" ht="15.75">
      <c r="C791" s="59"/>
      <c r="D791" s="25"/>
    </row>
    <row r="792" spans="3:4" ht="15.75">
      <c r="C792" s="59"/>
      <c r="D792" s="25"/>
    </row>
    <row r="793" spans="3:4" ht="15.75">
      <c r="C793" s="59"/>
      <c r="D793" s="25"/>
    </row>
    <row r="794" spans="3:4" ht="15.75">
      <c r="C794" s="59"/>
      <c r="D794" s="25"/>
    </row>
    <row r="795" spans="3:4" ht="15.75">
      <c r="C795" s="59"/>
      <c r="D795" s="25"/>
    </row>
    <row r="796" spans="3:4" ht="15.75">
      <c r="C796" s="59"/>
      <c r="D796" s="25"/>
    </row>
    <row r="797" spans="3:4" ht="15.75">
      <c r="C797" s="59"/>
      <c r="D797" s="25"/>
    </row>
    <row r="798" spans="3:4" ht="15.75">
      <c r="C798" s="59"/>
      <c r="D798" s="25"/>
    </row>
    <row r="799" spans="3:4" ht="15.75">
      <c r="C799" s="59"/>
      <c r="D799" s="25"/>
    </row>
    <row r="800" spans="3:4" ht="15.75">
      <c r="C800" s="59"/>
      <c r="D800" s="25"/>
    </row>
    <row r="801" spans="3:4" ht="15.75">
      <c r="C801" s="59"/>
      <c r="D801" s="25"/>
    </row>
    <row r="802" spans="3:4" ht="15.75">
      <c r="C802" s="59"/>
      <c r="D802" s="25"/>
    </row>
    <row r="803" spans="3:4" ht="15.75">
      <c r="C803" s="59"/>
      <c r="D803" s="25"/>
    </row>
    <row r="804" spans="3:4" ht="15.75">
      <c r="C804" s="59"/>
      <c r="D804" s="25"/>
    </row>
    <row r="805" spans="3:4" ht="15.75">
      <c r="C805" s="59"/>
      <c r="D805" s="25"/>
    </row>
    <row r="806" spans="3:4" ht="15.75">
      <c r="C806" s="59"/>
      <c r="D806" s="25"/>
    </row>
    <row r="807" spans="3:4" ht="15.75">
      <c r="C807" s="59"/>
      <c r="D807" s="25"/>
    </row>
    <row r="808" spans="3:4" ht="15.75">
      <c r="C808" s="59"/>
      <c r="D808" s="25"/>
    </row>
    <row r="809" spans="3:4" ht="15.75">
      <c r="C809" s="59"/>
      <c r="D809" s="25"/>
    </row>
    <row r="810" spans="3:4" ht="15.75">
      <c r="C810" s="59"/>
      <c r="D810" s="25"/>
    </row>
    <row r="811" spans="3:4" ht="15.75">
      <c r="C811" s="59"/>
      <c r="D811" s="25"/>
    </row>
    <row r="812" spans="3:4" ht="15.75">
      <c r="C812" s="59"/>
      <c r="D812" s="25"/>
    </row>
    <row r="813" spans="3:4" ht="15.75">
      <c r="C813" s="59"/>
      <c r="D813" s="25"/>
    </row>
    <row r="814" spans="3:4" ht="15.75">
      <c r="C814" s="59"/>
      <c r="D814" s="25"/>
    </row>
    <row r="815" spans="3:4" ht="15.75">
      <c r="C815" s="59"/>
      <c r="D815" s="25"/>
    </row>
    <row r="816" spans="3:4" ht="15.75">
      <c r="C816" s="59"/>
      <c r="D816" s="25"/>
    </row>
    <row r="817" spans="3:4" ht="15.75">
      <c r="C817" s="59"/>
      <c r="D817" s="25"/>
    </row>
    <row r="818" spans="3:4" ht="15.75">
      <c r="C818" s="59"/>
      <c r="D818" s="25"/>
    </row>
    <row r="819" spans="3:4" ht="15.75">
      <c r="C819" s="59"/>
      <c r="D819" s="25"/>
    </row>
    <row r="820" spans="3:4" ht="15.75">
      <c r="C820" s="59"/>
      <c r="D820" s="25"/>
    </row>
    <row r="821" spans="3:4" ht="15.75">
      <c r="C821" s="59"/>
      <c r="D821" s="25"/>
    </row>
    <row r="822" spans="3:4" ht="15.75">
      <c r="C822" s="59"/>
      <c r="D822" s="25"/>
    </row>
    <row r="823" spans="3:4" ht="15.75">
      <c r="C823" s="59"/>
      <c r="D823" s="25"/>
    </row>
    <row r="824" spans="3:4" ht="15.75">
      <c r="C824" s="59"/>
      <c r="D824" s="25"/>
    </row>
    <row r="825" spans="3:4" ht="15.75">
      <c r="C825" s="59"/>
      <c r="D825" s="25"/>
    </row>
    <row r="826" spans="3:4" ht="15.75">
      <c r="C826" s="59"/>
      <c r="D826" s="25"/>
    </row>
    <row r="827" spans="3:4" ht="15.75">
      <c r="C827" s="59"/>
      <c r="D827" s="25"/>
    </row>
    <row r="828" spans="3:4" ht="15.75">
      <c r="C828" s="59"/>
      <c r="D828" s="25"/>
    </row>
    <row r="829" spans="3:4" ht="15.75">
      <c r="C829" s="59"/>
      <c r="D829" s="25"/>
    </row>
    <row r="830" spans="3:4" ht="15.75">
      <c r="C830" s="59"/>
      <c r="D830" s="25"/>
    </row>
    <row r="831" spans="3:4" ht="15.75">
      <c r="C831" s="59"/>
      <c r="D831" s="25"/>
    </row>
    <row r="832" spans="3:4" ht="15.75">
      <c r="C832" s="59"/>
      <c r="D832" s="25"/>
    </row>
    <row r="833" spans="3:4" ht="15.75">
      <c r="C833" s="59"/>
      <c r="D833" s="25"/>
    </row>
    <row r="834" spans="3:4" ht="15.75">
      <c r="C834" s="59"/>
      <c r="D834" s="25"/>
    </row>
    <row r="835" spans="3:4" ht="15.75">
      <c r="C835" s="59"/>
      <c r="D835" s="25"/>
    </row>
    <row r="836" spans="3:4" ht="15.75">
      <c r="C836" s="59"/>
      <c r="D836" s="25"/>
    </row>
    <row r="837" spans="3:4" ht="15.75">
      <c r="C837" s="59"/>
      <c r="D837" s="25"/>
    </row>
    <row r="838" spans="3:4" ht="15.75">
      <c r="C838" s="59"/>
      <c r="D838" s="25"/>
    </row>
    <row r="839" spans="3:4" ht="15.75">
      <c r="C839" s="59"/>
      <c r="D839" s="25"/>
    </row>
    <row r="840" spans="3:4" ht="15.75">
      <c r="C840" s="59"/>
      <c r="D840" s="25"/>
    </row>
    <row r="841" spans="3:4" ht="15.75">
      <c r="C841" s="59"/>
      <c r="D841" s="25"/>
    </row>
    <row r="842" spans="3:4" ht="15.75">
      <c r="C842" s="59"/>
      <c r="D842" s="25"/>
    </row>
    <row r="843" spans="3:4" ht="15.75">
      <c r="C843" s="59"/>
      <c r="D843" s="25"/>
    </row>
    <row r="844" spans="3:4" ht="15.75">
      <c r="C844" s="59"/>
      <c r="D844" s="25"/>
    </row>
    <row r="845" spans="3:4" ht="15.75">
      <c r="C845" s="59"/>
      <c r="D845" s="25"/>
    </row>
    <row r="846" spans="3:4" ht="15.75">
      <c r="C846" s="59"/>
      <c r="D846" s="25"/>
    </row>
    <row r="847" spans="3:4" ht="15.75">
      <c r="C847" s="59"/>
      <c r="D847" s="25"/>
    </row>
    <row r="848" spans="3:4" ht="15.75">
      <c r="C848" s="59"/>
      <c r="D848" s="25"/>
    </row>
    <row r="849" spans="3:4" ht="15.75">
      <c r="C849" s="59"/>
      <c r="D849" s="25"/>
    </row>
    <row r="850" spans="3:4" ht="15.75">
      <c r="C850" s="59"/>
      <c r="D850" s="25"/>
    </row>
    <row r="851" spans="3:4" ht="15.75">
      <c r="C851" s="59"/>
      <c r="D851" s="25"/>
    </row>
    <row r="852" spans="3:4" ht="15.75">
      <c r="C852" s="59"/>
      <c r="D852" s="25"/>
    </row>
    <row r="853" spans="3:4" ht="15.75">
      <c r="C853" s="59"/>
      <c r="D853" s="25"/>
    </row>
    <row r="854" spans="3:4" ht="15.75">
      <c r="C854" s="59"/>
      <c r="D854" s="25"/>
    </row>
    <row r="855" spans="3:4" ht="15.75">
      <c r="C855" s="59"/>
      <c r="D855" s="25"/>
    </row>
    <row r="856" spans="3:4" ht="15.75">
      <c r="C856" s="59"/>
      <c r="D856" s="25"/>
    </row>
    <row r="857" spans="3:4" ht="15.75">
      <c r="C857" s="59"/>
      <c r="D857" s="25"/>
    </row>
    <row r="858" spans="3:4" ht="15.75">
      <c r="C858" s="59"/>
      <c r="D858" s="25"/>
    </row>
    <row r="859" spans="3:4" ht="15.75">
      <c r="C859" s="59"/>
      <c r="D859" s="25"/>
    </row>
    <row r="860" spans="3:4" ht="15.75">
      <c r="C860" s="59"/>
      <c r="D860" s="25"/>
    </row>
    <row r="861" spans="3:4" ht="15.75">
      <c r="C861" s="59"/>
      <c r="D861" s="25"/>
    </row>
    <row r="862" spans="3:4" ht="15.75">
      <c r="C862" s="59"/>
      <c r="D862" s="25"/>
    </row>
    <row r="863" spans="3:4" ht="15.75">
      <c r="C863" s="59"/>
      <c r="D863" s="25"/>
    </row>
    <row r="864" spans="3:4" ht="15.75">
      <c r="C864" s="59"/>
      <c r="D864" s="25"/>
    </row>
    <row r="865" spans="3:4" ht="15.75">
      <c r="C865" s="59"/>
      <c r="D865" s="25"/>
    </row>
    <row r="866" spans="3:4" ht="15.75">
      <c r="C866" s="59"/>
      <c r="D866" s="25"/>
    </row>
    <row r="867" spans="3:4" ht="15.75">
      <c r="C867" s="59"/>
      <c r="D867" s="25"/>
    </row>
    <row r="868" spans="3:4" ht="15.75">
      <c r="C868" s="59"/>
      <c r="D868" s="25"/>
    </row>
    <row r="869" spans="3:4" ht="15.75">
      <c r="C869" s="59"/>
      <c r="D869" s="25"/>
    </row>
    <row r="870" spans="3:4" ht="15.75">
      <c r="C870" s="59"/>
      <c r="D870" s="25"/>
    </row>
    <row r="871" spans="3:4" ht="15.75">
      <c r="C871" s="59"/>
      <c r="D871" s="25"/>
    </row>
    <row r="872" spans="3:4" ht="15.75">
      <c r="C872" s="59"/>
      <c r="D872" s="25"/>
    </row>
    <row r="873" spans="3:4" ht="15.75">
      <c r="C873" s="59"/>
      <c r="D873" s="25"/>
    </row>
    <row r="874" spans="3:4" ht="15.75">
      <c r="C874" s="59"/>
      <c r="D874" s="25"/>
    </row>
    <row r="875" spans="3:4" ht="15.75">
      <c r="C875" s="59"/>
      <c r="D875" s="25"/>
    </row>
    <row r="876" spans="3:4" ht="15.75">
      <c r="C876" s="59"/>
      <c r="D876" s="25"/>
    </row>
    <row r="877" spans="3:4" ht="15.75">
      <c r="C877" s="59"/>
      <c r="D877" s="25"/>
    </row>
    <row r="878" spans="3:4" ht="15.75">
      <c r="C878" s="59"/>
      <c r="D878" s="25"/>
    </row>
    <row r="879" spans="3:4" ht="15.75">
      <c r="C879" s="59"/>
      <c r="D879" s="25"/>
    </row>
    <row r="880" spans="3:4" ht="15.75">
      <c r="C880" s="59"/>
      <c r="D880" s="25"/>
    </row>
    <row r="881" spans="3:4" ht="15.75">
      <c r="C881" s="59"/>
      <c r="D881" s="25"/>
    </row>
    <row r="882" spans="3:4" ht="15.75">
      <c r="C882" s="59"/>
      <c r="D882" s="25"/>
    </row>
    <row r="883" spans="3:4" ht="15.75">
      <c r="C883" s="59"/>
      <c r="D883" s="25"/>
    </row>
    <row r="884" spans="3:4" ht="15.75">
      <c r="C884" s="59"/>
      <c r="D884" s="25"/>
    </row>
    <row r="885" spans="3:4" ht="15.75">
      <c r="C885" s="59"/>
      <c r="D885" s="25"/>
    </row>
    <row r="886" spans="3:4" ht="15.75">
      <c r="C886" s="59"/>
      <c r="D886" s="25"/>
    </row>
    <row r="887" spans="3:4" ht="15.75">
      <c r="C887" s="59"/>
      <c r="D887" s="25"/>
    </row>
    <row r="888" spans="3:4" ht="15.75">
      <c r="C888" s="59"/>
      <c r="D888" s="25"/>
    </row>
    <row r="889" spans="3:4" ht="15.75">
      <c r="C889" s="59"/>
      <c r="D889" s="25"/>
    </row>
    <row r="890" spans="3:4" ht="15.75">
      <c r="C890" s="59"/>
      <c r="D890" s="25"/>
    </row>
    <row r="891" spans="3:4" ht="15.75">
      <c r="C891" s="59"/>
      <c r="D891" s="25"/>
    </row>
    <row r="892" spans="3:4" ht="15.75">
      <c r="C892" s="59"/>
      <c r="D892" s="25"/>
    </row>
    <row r="893" spans="3:4" ht="15.75">
      <c r="C893" s="59"/>
      <c r="D893" s="25"/>
    </row>
    <row r="894" spans="3:4" ht="15.75">
      <c r="C894" s="59"/>
      <c r="D894" s="25"/>
    </row>
    <row r="895" spans="3:4" ht="15.75">
      <c r="C895" s="59"/>
      <c r="D895" s="25"/>
    </row>
    <row r="896" spans="3:4" ht="15.75">
      <c r="C896" s="59"/>
      <c r="D896" s="25"/>
    </row>
    <row r="897" spans="3:4" ht="15.75">
      <c r="C897" s="59"/>
      <c r="D897" s="25"/>
    </row>
    <row r="898" spans="3:4" ht="15.75">
      <c r="C898" s="59"/>
      <c r="D898" s="25"/>
    </row>
    <row r="899" spans="3:4" ht="15.75">
      <c r="C899" s="59"/>
      <c r="D899" s="25"/>
    </row>
    <row r="900" spans="3:4" ht="15.75">
      <c r="C900" s="59"/>
      <c r="D900" s="25"/>
    </row>
    <row r="901" spans="3:4" ht="15.75">
      <c r="C901" s="59"/>
      <c r="D901" s="25"/>
    </row>
    <row r="902" spans="3:4" ht="15.75">
      <c r="C902" s="59"/>
      <c r="D902" s="25"/>
    </row>
    <row r="903" spans="3:4" ht="15.75">
      <c r="C903" s="59"/>
      <c r="D903" s="25"/>
    </row>
    <row r="904" spans="3:4" ht="15.75">
      <c r="C904" s="59"/>
      <c r="D904" s="25"/>
    </row>
    <row r="905" spans="3:4" ht="15.75">
      <c r="C905" s="59"/>
      <c r="D905" s="25"/>
    </row>
    <row r="906" spans="3:4" ht="15.75">
      <c r="C906" s="59"/>
      <c r="D906" s="25"/>
    </row>
    <row r="907" spans="3:4" ht="15.75">
      <c r="C907" s="59"/>
      <c r="D907" s="25"/>
    </row>
    <row r="908" spans="3:4" ht="15.75">
      <c r="C908" s="59"/>
      <c r="D908" s="25"/>
    </row>
    <row r="909" spans="3:4" ht="15.75">
      <c r="C909" s="59"/>
      <c r="D909" s="25"/>
    </row>
    <row r="910" spans="3:4" ht="15.75">
      <c r="C910" s="59"/>
      <c r="D910" s="25"/>
    </row>
    <row r="911" spans="3:4" ht="15.75">
      <c r="C911" s="59"/>
      <c r="D911" s="25"/>
    </row>
    <row r="912" spans="3:4" ht="15.75">
      <c r="C912" s="59"/>
      <c r="D912" s="25"/>
    </row>
    <row r="913" spans="3:4" ht="15.75">
      <c r="C913" s="59"/>
      <c r="D913" s="25"/>
    </row>
    <row r="914" spans="3:4" ht="15.75">
      <c r="C914" s="59"/>
      <c r="D914" s="25"/>
    </row>
    <row r="915" spans="3:4" ht="15.75">
      <c r="C915" s="59"/>
      <c r="D915" s="25"/>
    </row>
    <row r="916" spans="3:4" ht="15.75">
      <c r="C916" s="59"/>
      <c r="D916" s="25"/>
    </row>
    <row r="917" spans="3:4" ht="15.75">
      <c r="C917" s="59"/>
      <c r="D917" s="25"/>
    </row>
    <row r="918" spans="3:4" ht="15.75">
      <c r="C918" s="59"/>
      <c r="D918" s="25"/>
    </row>
    <row r="919" spans="3:4" ht="15.75">
      <c r="C919" s="59"/>
      <c r="D919" s="25"/>
    </row>
    <row r="920" spans="3:4" ht="15.75">
      <c r="C920" s="59"/>
      <c r="D920" s="25"/>
    </row>
    <row r="921" spans="3:4" ht="15.75">
      <c r="C921" s="59"/>
      <c r="D921" s="25"/>
    </row>
    <row r="922" spans="3:4" ht="15.75">
      <c r="C922" s="59"/>
      <c r="D922" s="25"/>
    </row>
    <row r="923" spans="3:4" ht="15.75">
      <c r="C923" s="59"/>
      <c r="D923" s="25"/>
    </row>
    <row r="924" spans="3:4" ht="15.75">
      <c r="C924" s="59"/>
      <c r="D924" s="25"/>
    </row>
    <row r="925" spans="3:4" ht="15.75">
      <c r="C925" s="59"/>
      <c r="D925" s="25"/>
    </row>
    <row r="926" spans="3:4" ht="15.75">
      <c r="C926" s="59"/>
      <c r="D926" s="25"/>
    </row>
    <row r="927" spans="3:4" ht="15.75">
      <c r="C927" s="59"/>
      <c r="D927" s="25"/>
    </row>
    <row r="928" spans="3:4" ht="15.75">
      <c r="C928" s="59"/>
      <c r="D928" s="25"/>
    </row>
    <row r="929" spans="3:4" ht="15.75">
      <c r="C929" s="59"/>
      <c r="D929" s="25"/>
    </row>
    <row r="930" spans="3:4" ht="15.75">
      <c r="C930" s="59"/>
      <c r="D930" s="25"/>
    </row>
    <row r="931" spans="3:4" ht="15.75">
      <c r="C931" s="59"/>
      <c r="D931" s="25"/>
    </row>
    <row r="932" spans="3:4" ht="15.75">
      <c r="C932" s="59"/>
      <c r="D932" s="25"/>
    </row>
    <row r="933" spans="3:4" ht="15.75">
      <c r="C933" s="59"/>
      <c r="D933" s="25"/>
    </row>
    <row r="934" spans="3:4" ht="15.75">
      <c r="C934" s="59"/>
      <c r="D934" s="25"/>
    </row>
    <row r="935" spans="3:4" ht="15.75">
      <c r="C935" s="59"/>
      <c r="D935" s="25"/>
    </row>
    <row r="936" spans="3:4" ht="15.75">
      <c r="C936" s="59"/>
      <c r="D936" s="25"/>
    </row>
    <row r="937" spans="3:4" ht="15.75">
      <c r="C937" s="59"/>
      <c r="D937" s="25"/>
    </row>
    <row r="938" spans="3:4" ht="15.75">
      <c r="C938" s="59"/>
      <c r="D938" s="25"/>
    </row>
    <row r="939" spans="3:4" ht="15.75">
      <c r="C939" s="59"/>
      <c r="D939" s="25"/>
    </row>
    <row r="940" spans="3:4" ht="15.75">
      <c r="C940" s="59"/>
      <c r="D940" s="25"/>
    </row>
    <row r="941" spans="3:4" ht="15.75">
      <c r="C941" s="59"/>
      <c r="D941" s="25"/>
    </row>
    <row r="942" spans="3:4" ht="15.75">
      <c r="C942" s="59"/>
      <c r="D942" s="25"/>
    </row>
    <row r="943" spans="3:4" ht="15.75">
      <c r="C943" s="59"/>
      <c r="D943" s="25"/>
    </row>
    <row r="944" spans="3:4" ht="15.75">
      <c r="C944" s="59"/>
      <c r="D944" s="25"/>
    </row>
    <row r="945" spans="3:4" ht="15.75">
      <c r="C945" s="59"/>
      <c r="D945" s="25"/>
    </row>
    <row r="946" spans="3:4" ht="15.75">
      <c r="C946" s="59"/>
      <c r="D946" s="25"/>
    </row>
    <row r="947" spans="3:4" ht="15.75">
      <c r="C947" s="59"/>
      <c r="D947" s="25"/>
    </row>
    <row r="948" spans="3:4" ht="15.75">
      <c r="C948" s="59"/>
      <c r="D948" s="25"/>
    </row>
    <row r="949" spans="3:4" ht="15.75">
      <c r="C949" s="59"/>
      <c r="D949" s="25"/>
    </row>
    <row r="950" spans="3:4" ht="15.75">
      <c r="C950" s="59"/>
      <c r="D950" s="25"/>
    </row>
    <row r="951" spans="3:4" ht="15.75">
      <c r="C951" s="59"/>
      <c r="D951" s="25"/>
    </row>
    <row r="952" spans="3:4" ht="15.75">
      <c r="C952" s="59"/>
      <c r="D952" s="25"/>
    </row>
    <row r="953" spans="3:4" ht="15.75">
      <c r="C953" s="59"/>
      <c r="D953" s="25"/>
    </row>
    <row r="954" spans="3:4" ht="15.75">
      <c r="C954" s="59"/>
      <c r="D954" s="25"/>
    </row>
    <row r="955" spans="3:4" ht="15.75">
      <c r="C955" s="59"/>
      <c r="D955" s="25"/>
    </row>
    <row r="956" spans="3:4" ht="15.75">
      <c r="C956" s="59"/>
      <c r="D956" s="25"/>
    </row>
    <row r="957" spans="3:4" ht="15.75">
      <c r="C957" s="59"/>
      <c r="D957" s="25"/>
    </row>
    <row r="958" spans="3:4" ht="15.75">
      <c r="C958" s="59"/>
      <c r="D958" s="25"/>
    </row>
    <row r="959" spans="3:4" ht="15.75">
      <c r="C959" s="59"/>
      <c r="D959" s="25"/>
    </row>
    <row r="960" spans="3:4" ht="15.75">
      <c r="C960" s="59"/>
      <c r="D960" s="25"/>
    </row>
    <row r="961" spans="3:4" ht="15.75">
      <c r="C961" s="59"/>
      <c r="D961" s="25"/>
    </row>
    <row r="962" spans="3:4" ht="15.75">
      <c r="C962" s="59"/>
      <c r="D962" s="25"/>
    </row>
    <row r="963" spans="3:4" ht="15.75">
      <c r="C963" s="59"/>
      <c r="D963" s="25"/>
    </row>
    <row r="964" spans="3:4" ht="15.75">
      <c r="C964" s="59"/>
      <c r="D964" s="25"/>
    </row>
    <row r="965" spans="3:4" ht="15.75">
      <c r="C965" s="59"/>
      <c r="D965" s="25"/>
    </row>
    <row r="966" spans="3:4" ht="15.75">
      <c r="C966" s="59"/>
      <c r="D966" s="25"/>
    </row>
    <row r="967" spans="3:4" ht="15.75">
      <c r="C967" s="59"/>
      <c r="D967" s="25"/>
    </row>
    <row r="968" spans="3:4" ht="15.75">
      <c r="C968" s="59"/>
      <c r="D968" s="25"/>
    </row>
    <row r="969" spans="3:4" ht="15.75">
      <c r="C969" s="59"/>
      <c r="D969" s="25"/>
    </row>
    <row r="970" spans="3:4" ht="15.75">
      <c r="C970" s="59"/>
      <c r="D970" s="25"/>
    </row>
    <row r="971" spans="3:4" ht="15.75">
      <c r="C971" s="59"/>
      <c r="D971" s="25"/>
    </row>
    <row r="972" spans="3:4" ht="15.75">
      <c r="C972" s="59"/>
      <c r="D972" s="25"/>
    </row>
    <row r="973" spans="3:4" ht="15.75">
      <c r="C973" s="59"/>
      <c r="D973" s="25"/>
    </row>
    <row r="974" spans="3:4" ht="15.75">
      <c r="C974" s="59"/>
      <c r="D974" s="25"/>
    </row>
    <row r="975" spans="3:4" ht="15.75">
      <c r="C975" s="59"/>
      <c r="D975" s="25"/>
    </row>
    <row r="976" spans="3:4" ht="15.75">
      <c r="C976" s="59"/>
      <c r="D976" s="25"/>
    </row>
    <row r="977" spans="3:4" ht="15.75">
      <c r="C977" s="59"/>
      <c r="D977" s="25"/>
    </row>
    <row r="978" spans="3:4" ht="15.75">
      <c r="C978" s="59"/>
      <c r="D978" s="25"/>
    </row>
    <row r="979" spans="3:4" ht="15.75">
      <c r="C979" s="59"/>
      <c r="D979" s="25"/>
    </row>
    <row r="980" spans="3:4" ht="15.75">
      <c r="C980" s="59"/>
      <c r="D980" s="25"/>
    </row>
    <row r="981" spans="3:4" ht="15.75">
      <c r="C981" s="59"/>
      <c r="D981" s="25"/>
    </row>
    <row r="982" spans="3:4" ht="15.75">
      <c r="C982" s="59"/>
      <c r="D982" s="25"/>
    </row>
    <row r="983" spans="3:4" ht="15.75">
      <c r="C983" s="59"/>
      <c r="D983" s="25"/>
    </row>
    <row r="984" spans="3:4" ht="15.75">
      <c r="C984" s="59"/>
      <c r="D984" s="25"/>
    </row>
    <row r="985" spans="3:4" ht="15.75">
      <c r="C985" s="59"/>
      <c r="D985" s="25"/>
    </row>
    <row r="986" spans="3:4" ht="15.75">
      <c r="C986" s="59"/>
      <c r="D986" s="25"/>
    </row>
    <row r="987" spans="3:4" ht="15.75">
      <c r="C987" s="59"/>
      <c r="D987" s="25"/>
    </row>
    <row r="988" spans="3:4" ht="15.75">
      <c r="C988" s="59"/>
      <c r="D988" s="25"/>
    </row>
    <row r="989" spans="3:4" ht="15.75">
      <c r="C989" s="59"/>
      <c r="D989" s="25"/>
    </row>
    <row r="990" spans="3:4" ht="15.75">
      <c r="C990" s="59"/>
      <c r="D990" s="25"/>
    </row>
    <row r="991" spans="3:4" ht="15.75">
      <c r="C991" s="59"/>
      <c r="D991" s="25"/>
    </row>
    <row r="992" spans="3:4" ht="15.75">
      <c r="C992" s="59"/>
      <c r="D992" s="25"/>
    </row>
    <row r="993" spans="3:4" ht="15.75">
      <c r="C993" s="59"/>
      <c r="D993" s="25"/>
    </row>
    <row r="994" spans="3:4" ht="15.75">
      <c r="C994" s="59"/>
      <c r="D994" s="25"/>
    </row>
    <row r="995" spans="3:4" ht="15.75">
      <c r="C995" s="59"/>
      <c r="D995" s="25"/>
    </row>
    <row r="996" spans="3:4" ht="15.75">
      <c r="C996" s="59"/>
      <c r="D996" s="25"/>
    </row>
    <row r="997" spans="3:4" ht="15.75">
      <c r="C997" s="59"/>
      <c r="D997" s="25"/>
    </row>
    <row r="998" spans="3:4" ht="15.75">
      <c r="C998" s="59"/>
      <c r="D998" s="25"/>
    </row>
    <row r="999" spans="3:4" ht="15.75">
      <c r="C999" s="59"/>
      <c r="D999" s="25"/>
    </row>
    <row r="1000" spans="3:4" ht="15.75">
      <c r="C1000" s="59"/>
      <c r="D1000" s="25"/>
    </row>
    <row r="1001" spans="3:4" ht="15.75">
      <c r="C1001" s="59"/>
      <c r="D1001" s="25"/>
    </row>
    <row r="1002" spans="3:4" ht="15.75">
      <c r="C1002" s="59"/>
      <c r="D1002" s="25"/>
    </row>
    <row r="1003" spans="3:4" ht="15.75">
      <c r="C1003" s="59"/>
      <c r="D1003" s="25"/>
    </row>
    <row r="1004" spans="3:4" ht="15.75">
      <c r="C1004" s="59"/>
      <c r="D1004" s="25"/>
    </row>
    <row r="1005" spans="3:4" ht="15.75">
      <c r="C1005" s="59"/>
      <c r="D1005" s="25"/>
    </row>
    <row r="1006" spans="3:4" ht="15.75">
      <c r="C1006" s="59"/>
      <c r="D1006" s="25"/>
    </row>
    <row r="1007" spans="3:4" ht="15.75">
      <c r="C1007" s="59"/>
      <c r="D1007" s="25"/>
    </row>
    <row r="1008" spans="3:4" ht="15.75">
      <c r="C1008" s="59"/>
      <c r="D1008" s="25"/>
    </row>
    <row r="1009" spans="3:4" ht="15.75">
      <c r="C1009" s="59"/>
      <c r="D1009" s="25"/>
    </row>
    <row r="1010" spans="3:4" ht="15.75">
      <c r="C1010" s="59"/>
      <c r="D1010" s="25"/>
    </row>
    <row r="1011" spans="3:4" ht="15.75">
      <c r="C1011" s="59"/>
      <c r="D1011" s="25"/>
    </row>
    <row r="1012" spans="3:4" ht="15.75">
      <c r="C1012" s="59"/>
      <c r="D1012" s="25"/>
    </row>
    <row r="1013" spans="3:4" ht="15.75">
      <c r="C1013" s="59"/>
      <c r="D1013" s="25"/>
    </row>
    <row r="1014" spans="3:4" ht="15.75">
      <c r="C1014" s="59"/>
      <c r="D1014" s="25"/>
    </row>
    <row r="1015" spans="3:4" ht="15.75">
      <c r="C1015" s="59"/>
      <c r="D1015" s="25"/>
    </row>
    <row r="1016" spans="3:4" ht="15.75">
      <c r="C1016" s="59"/>
      <c r="D1016" s="25"/>
    </row>
    <row r="1017" spans="3:4" ht="15.75">
      <c r="C1017" s="59"/>
      <c r="D1017" s="25"/>
    </row>
    <row r="1018" spans="3:4" ht="15.75">
      <c r="C1018" s="59"/>
      <c r="D1018" s="25"/>
    </row>
    <row r="1019" spans="3:4" ht="15.75">
      <c r="C1019" s="59"/>
      <c r="D1019" s="25"/>
    </row>
    <row r="1020" spans="3:4" ht="15.75">
      <c r="C1020" s="59"/>
      <c r="D1020" s="25"/>
    </row>
    <row r="1021" spans="3:4" ht="15.75">
      <c r="C1021" s="59"/>
      <c r="D1021" s="25"/>
    </row>
    <row r="1022" spans="3:4" ht="15.75">
      <c r="C1022" s="59"/>
      <c r="D1022" s="25"/>
    </row>
    <row r="1023" spans="3:4" ht="15.75">
      <c r="C1023" s="59"/>
      <c r="D1023" s="25"/>
    </row>
    <row r="1024" spans="3:4" ht="15.75">
      <c r="C1024" s="59"/>
      <c r="D1024" s="25"/>
    </row>
    <row r="1025" spans="3:4" ht="15.75">
      <c r="C1025" s="59"/>
      <c r="D1025" s="25"/>
    </row>
    <row r="1026" spans="3:4" ht="15.75">
      <c r="C1026" s="59"/>
      <c r="D1026" s="25"/>
    </row>
    <row r="1027" spans="3:4" ht="15.75">
      <c r="C1027" s="59"/>
      <c r="D1027" s="25"/>
    </row>
    <row r="1028" spans="3:4" ht="15.75">
      <c r="C1028" s="59"/>
      <c r="D1028" s="25"/>
    </row>
    <row r="1029" spans="3:4" ht="15.75">
      <c r="C1029" s="59"/>
      <c r="D1029" s="25"/>
    </row>
    <row r="1030" spans="3:4" ht="15.75">
      <c r="C1030" s="59"/>
      <c r="D1030" s="25"/>
    </row>
    <row r="1031" spans="3:4" ht="15.75">
      <c r="C1031" s="59"/>
      <c r="D1031" s="25"/>
    </row>
    <row r="1032" spans="3:4" ht="15.75">
      <c r="C1032" s="59"/>
      <c r="D1032" s="25"/>
    </row>
    <row r="1033" spans="3:4" ht="15.75">
      <c r="C1033" s="59"/>
      <c r="D1033" s="25"/>
    </row>
    <row r="1034" spans="3:4" ht="15.75">
      <c r="C1034" s="59"/>
      <c r="D1034" s="25"/>
    </row>
    <row r="1035" spans="3:4" ht="15.75">
      <c r="C1035" s="59"/>
      <c r="D1035" s="25"/>
    </row>
    <row r="1036" spans="3:4" ht="15.75">
      <c r="C1036" s="59"/>
      <c r="D1036" s="25"/>
    </row>
    <row r="1037" spans="3:4" ht="15.75">
      <c r="C1037" s="59"/>
      <c r="D1037" s="25"/>
    </row>
    <row r="1038" spans="3:4" ht="15.75">
      <c r="C1038" s="59"/>
      <c r="D1038" s="25"/>
    </row>
    <row r="1039" spans="3:4" ht="15.75">
      <c r="C1039" s="59"/>
      <c r="D1039" s="25"/>
    </row>
    <row r="1040" spans="3:4" ht="15.75">
      <c r="C1040" s="59"/>
      <c r="D1040" s="25"/>
    </row>
    <row r="1041" spans="3:4" ht="15.75">
      <c r="C1041" s="59"/>
      <c r="D1041" s="25"/>
    </row>
    <row r="1042" spans="3:4" ht="15.75">
      <c r="C1042" s="59"/>
      <c r="D1042" s="25"/>
    </row>
    <row r="1043" spans="3:4" ht="15.75">
      <c r="C1043" s="59"/>
      <c r="D1043" s="25"/>
    </row>
    <row r="1044" spans="3:4" ht="15.75">
      <c r="C1044" s="59"/>
      <c r="D1044" s="25"/>
    </row>
    <row r="1045" spans="3:4" ht="15.75">
      <c r="C1045" s="59"/>
      <c r="D1045" s="25"/>
    </row>
    <row r="1046" spans="3:4" ht="15.75">
      <c r="C1046" s="59"/>
      <c r="D1046" s="25"/>
    </row>
    <row r="1047" spans="3:4" ht="15.75">
      <c r="C1047" s="59"/>
      <c r="D1047" s="25"/>
    </row>
    <row r="1048" spans="3:4" ht="15.75">
      <c r="C1048" s="59"/>
      <c r="D1048" s="25"/>
    </row>
    <row r="1049" spans="3:4" ht="15.75">
      <c r="C1049" s="59"/>
      <c r="D1049" s="25"/>
    </row>
    <row r="1050" spans="3:4" ht="15.75">
      <c r="C1050" s="59"/>
      <c r="D1050" s="25"/>
    </row>
    <row r="1051" spans="3:4" ht="15.75">
      <c r="C1051" s="59"/>
      <c r="D1051" s="25"/>
    </row>
    <row r="1052" spans="3:4" ht="15.75">
      <c r="C1052" s="59"/>
      <c r="D1052" s="25"/>
    </row>
    <row r="1053" spans="3:4" ht="15.75">
      <c r="C1053" s="59"/>
      <c r="D1053" s="25"/>
    </row>
    <row r="1054" spans="3:4" ht="15.75">
      <c r="C1054" s="59"/>
      <c r="D1054" s="25"/>
    </row>
    <row r="1055" spans="3:4" ht="15.75">
      <c r="C1055" s="59"/>
      <c r="D1055" s="25"/>
    </row>
    <row r="1056" spans="3:4" ht="15.75">
      <c r="C1056" s="59"/>
      <c r="D1056" s="25"/>
    </row>
    <row r="1057" spans="3:4" ht="15.75">
      <c r="C1057" s="59"/>
      <c r="D1057" s="25"/>
    </row>
    <row r="1058" spans="3:4" ht="15.75">
      <c r="C1058" s="59"/>
      <c r="D1058" s="25"/>
    </row>
    <row r="1059" spans="3:4" ht="15.75">
      <c r="C1059" s="59"/>
      <c r="D1059" s="25"/>
    </row>
    <row r="1060" spans="3:4" ht="15.75">
      <c r="C1060" s="59"/>
      <c r="D1060" s="25"/>
    </row>
    <row r="1061" spans="3:4" ht="15.75">
      <c r="C1061" s="59"/>
      <c r="D1061" s="25"/>
    </row>
    <row r="1062" spans="3:4" ht="15.75">
      <c r="C1062" s="59"/>
      <c r="D1062" s="25"/>
    </row>
    <row r="1063" spans="3:4" ht="15.75">
      <c r="C1063" s="59"/>
      <c r="D1063" s="25"/>
    </row>
    <row r="1064" spans="3:4" ht="15.75">
      <c r="C1064" s="59"/>
      <c r="D1064" s="25"/>
    </row>
    <row r="1065" spans="3:4" ht="15.75">
      <c r="C1065" s="59"/>
      <c r="D1065" s="25"/>
    </row>
    <row r="1066" spans="3:4" ht="15.75">
      <c r="C1066" s="59"/>
      <c r="D1066" s="25"/>
    </row>
    <row r="1067" spans="3:4" ht="15.75">
      <c r="C1067" s="59"/>
      <c r="D1067" s="25"/>
    </row>
    <row r="1068" spans="3:4" ht="15.75">
      <c r="C1068" s="59"/>
      <c r="D1068" s="25"/>
    </row>
    <row r="1069" spans="3:4" ht="15.75">
      <c r="C1069" s="59"/>
      <c r="D1069" s="25"/>
    </row>
    <row r="1070" spans="3:4" ht="15.75">
      <c r="C1070" s="59"/>
      <c r="D1070" s="25"/>
    </row>
    <row r="1071" spans="3:4" ht="15.75">
      <c r="C1071" s="59"/>
      <c r="D1071" s="25"/>
    </row>
    <row r="1072" spans="3:4" ht="15.75">
      <c r="C1072" s="59"/>
      <c r="D1072" s="25"/>
    </row>
    <row r="1073" spans="3:4" ht="15.75">
      <c r="C1073" s="59"/>
      <c r="D1073" s="25"/>
    </row>
    <row r="1074" spans="3:4" ht="15.75">
      <c r="C1074" s="59"/>
      <c r="D1074" s="25"/>
    </row>
    <row r="1075" spans="3:4" ht="15.75">
      <c r="C1075" s="59"/>
      <c r="D1075" s="25"/>
    </row>
    <row r="1076" spans="3:4" ht="15.75">
      <c r="C1076" s="59"/>
      <c r="D1076" s="25"/>
    </row>
    <row r="1077" spans="3:4" ht="15.75">
      <c r="C1077" s="59"/>
      <c r="D1077" s="25"/>
    </row>
    <row r="1078" spans="3:4" ht="15.75">
      <c r="C1078" s="59"/>
      <c r="D1078" s="25"/>
    </row>
    <row r="1079" spans="3:4" ht="15.75">
      <c r="C1079" s="59"/>
      <c r="D1079" s="25"/>
    </row>
    <row r="1080" spans="3:4" ht="15.75">
      <c r="C1080" s="59"/>
      <c r="D1080" s="25"/>
    </row>
    <row r="1081" spans="3:4" ht="15.75">
      <c r="C1081" s="59"/>
      <c r="D1081" s="25"/>
    </row>
    <row r="1082" spans="3:4" ht="15.75">
      <c r="C1082" s="59"/>
      <c r="D1082" s="25"/>
    </row>
    <row r="1083" spans="3:4" ht="15.75">
      <c r="C1083" s="59"/>
      <c r="D1083" s="25"/>
    </row>
    <row r="1084" spans="3:4" ht="15.75">
      <c r="C1084" s="59"/>
      <c r="D1084" s="25"/>
    </row>
    <row r="1085" spans="3:4" ht="15.75">
      <c r="C1085" s="59"/>
      <c r="D1085" s="25"/>
    </row>
    <row r="1086" spans="3:4" ht="15.75">
      <c r="C1086" s="59"/>
      <c r="D1086" s="25"/>
    </row>
    <row r="1087" spans="3:4" ht="15.75">
      <c r="C1087" s="59"/>
      <c r="D1087" s="25"/>
    </row>
    <row r="1088" spans="3:4" ht="15.75">
      <c r="C1088" s="59"/>
      <c r="D1088" s="25"/>
    </row>
    <row r="1089" spans="3:4" ht="15.75">
      <c r="C1089" s="59"/>
      <c r="D1089" s="25"/>
    </row>
    <row r="1090" spans="3:4" ht="15.75">
      <c r="C1090" s="59"/>
      <c r="D1090" s="25"/>
    </row>
    <row r="1091" spans="3:4" ht="15.75">
      <c r="C1091" s="59"/>
      <c r="D1091" s="25"/>
    </row>
    <row r="1092" spans="3:4" ht="15.75">
      <c r="C1092" s="59"/>
      <c r="D1092" s="25"/>
    </row>
    <row r="1093" spans="3:4" ht="15.75">
      <c r="C1093" s="59"/>
      <c r="D1093" s="25"/>
    </row>
    <row r="1094" spans="3:4" ht="15.75">
      <c r="C1094" s="59"/>
      <c r="D1094" s="25"/>
    </row>
    <row r="1095" spans="3:4" ht="15.75">
      <c r="C1095" s="59"/>
      <c r="D1095" s="25"/>
    </row>
    <row r="1096" spans="3:4" ht="15.75">
      <c r="C1096" s="59"/>
      <c r="D1096" s="25"/>
    </row>
    <row r="1097" spans="3:4" ht="15.75">
      <c r="C1097" s="59"/>
      <c r="D1097" s="25"/>
    </row>
    <row r="1098" spans="3:4" ht="15.75">
      <c r="C1098" s="59"/>
      <c r="D1098" s="25"/>
    </row>
    <row r="1099" spans="3:4" ht="15.75">
      <c r="C1099" s="59"/>
      <c r="D1099" s="25"/>
    </row>
    <row r="1100" spans="3:4" ht="15.75">
      <c r="C1100" s="59"/>
      <c r="D1100" s="25"/>
    </row>
    <row r="1101" spans="3:4" ht="15.75">
      <c r="C1101" s="59"/>
      <c r="D1101" s="25"/>
    </row>
    <row r="1102" spans="3:4" ht="15.75">
      <c r="C1102" s="59"/>
      <c r="D1102" s="25"/>
    </row>
    <row r="1103" spans="3:4" ht="15.75">
      <c r="C1103" s="59"/>
      <c r="D1103" s="25"/>
    </row>
    <row r="1104" spans="3:4" ht="15.75">
      <c r="C1104" s="59"/>
      <c r="D1104" s="25"/>
    </row>
    <row r="1105" spans="3:4" ht="15.75">
      <c r="C1105" s="59"/>
      <c r="D1105" s="25"/>
    </row>
    <row r="1106" spans="3:4" ht="15.75">
      <c r="C1106" s="59"/>
      <c r="D1106" s="25"/>
    </row>
    <row r="1107" spans="3:4" ht="15.75">
      <c r="C1107" s="59"/>
      <c r="D1107" s="25"/>
    </row>
    <row r="1108" spans="3:4" ht="15.75">
      <c r="C1108" s="59"/>
      <c r="D1108" s="25"/>
    </row>
    <row r="1109" spans="3:4" ht="15.75">
      <c r="C1109" s="59"/>
      <c r="D1109" s="25"/>
    </row>
    <row r="1110" spans="3:4" ht="15.75">
      <c r="C1110" s="59"/>
      <c r="D1110" s="25"/>
    </row>
    <row r="1111" spans="3:4" ht="15.75">
      <c r="C1111" s="59"/>
      <c r="D1111" s="25"/>
    </row>
    <row r="1112" spans="3:4" ht="15.75">
      <c r="C1112" s="59"/>
      <c r="D1112" s="25"/>
    </row>
    <row r="1113" spans="3:4" ht="15.75">
      <c r="C1113" s="59"/>
      <c r="D1113" s="25"/>
    </row>
    <row r="1114" spans="3:4" ht="15.75">
      <c r="C1114" s="59"/>
      <c r="D1114" s="25"/>
    </row>
    <row r="1115" spans="3:4" ht="15.75">
      <c r="C1115" s="59"/>
      <c r="D1115" s="25"/>
    </row>
    <row r="1116" spans="3:4" ht="15.75">
      <c r="C1116" s="59"/>
      <c r="D1116" s="25"/>
    </row>
    <row r="1117" spans="3:4" ht="15.75">
      <c r="C1117" s="59"/>
      <c r="D1117" s="25"/>
    </row>
    <row r="1118" spans="3:4" ht="15.75">
      <c r="C1118" s="59"/>
      <c r="D1118" s="25"/>
    </row>
    <row r="1119" spans="3:4" ht="15.75">
      <c r="C1119" s="59"/>
      <c r="D1119" s="25"/>
    </row>
    <row r="1120" spans="3:4" ht="15.75">
      <c r="C1120" s="59"/>
      <c r="D1120" s="25"/>
    </row>
    <row r="1121" spans="3:4" ht="15.75">
      <c r="C1121" s="59"/>
      <c r="D1121" s="25"/>
    </row>
    <row r="1122" spans="3:4" ht="15.75">
      <c r="C1122" s="59"/>
      <c r="D1122" s="25"/>
    </row>
    <row r="1123" spans="3:4" ht="15.75">
      <c r="C1123" s="59"/>
      <c r="D1123" s="25"/>
    </row>
    <row r="1124" spans="3:4" ht="15.75">
      <c r="C1124" s="59"/>
      <c r="D1124" s="25"/>
    </row>
    <row r="1125" spans="3:4" ht="15.75">
      <c r="C1125" s="59"/>
      <c r="D1125" s="25"/>
    </row>
    <row r="1126" spans="3:4" ht="15.75">
      <c r="C1126" s="59"/>
      <c r="D1126" s="25"/>
    </row>
    <row r="1127" spans="3:4" ht="15.75">
      <c r="C1127" s="59"/>
      <c r="D1127" s="25"/>
    </row>
    <row r="1128" spans="3:4" ht="15.75">
      <c r="C1128" s="59"/>
      <c r="D1128" s="25"/>
    </row>
    <row r="1129" spans="3:4" ht="15.75">
      <c r="C1129" s="59"/>
      <c r="D1129" s="25"/>
    </row>
    <row r="1130" spans="3:4" ht="15.75">
      <c r="C1130" s="59"/>
      <c r="D1130" s="25"/>
    </row>
    <row r="1131" spans="3:4" ht="15.75">
      <c r="C1131" s="59"/>
      <c r="D1131" s="25"/>
    </row>
    <row r="1132" spans="3:4" ht="15.75">
      <c r="C1132" s="59"/>
      <c r="D1132" s="25"/>
    </row>
    <row r="1133" spans="3:4" ht="15.75">
      <c r="C1133" s="59"/>
      <c r="D1133" s="25"/>
    </row>
    <row r="1134" spans="3:4" ht="15.75">
      <c r="C1134" s="59"/>
      <c r="D1134" s="25"/>
    </row>
    <row r="1135" spans="3:4" ht="15.75">
      <c r="C1135" s="59"/>
      <c r="D1135" s="25"/>
    </row>
    <row r="1136" spans="3:4" ht="15.75">
      <c r="C1136" s="59"/>
      <c r="D1136" s="25"/>
    </row>
    <row r="1137" spans="3:4" ht="15.75">
      <c r="C1137" s="59"/>
      <c r="D1137" s="25"/>
    </row>
    <row r="1138" spans="3:4" ht="15.75">
      <c r="C1138" s="59"/>
      <c r="D1138" s="25"/>
    </row>
    <row r="1139" spans="3:4" ht="15.75">
      <c r="C1139" s="59"/>
      <c r="D1139" s="25"/>
    </row>
    <row r="1140" spans="3:4" ht="15.75">
      <c r="C1140" s="59"/>
      <c r="D1140" s="25"/>
    </row>
    <row r="1141" spans="3:4" ht="15.75">
      <c r="C1141" s="59"/>
      <c r="D1141" s="25"/>
    </row>
    <row r="1142" spans="3:4" ht="15.75">
      <c r="C1142" s="59"/>
      <c r="D1142" s="25"/>
    </row>
    <row r="1143" spans="3:4" ht="15.75">
      <c r="C1143" s="59"/>
      <c r="D1143" s="25"/>
    </row>
    <row r="1144" spans="3:4" ht="15.75">
      <c r="C1144" s="59"/>
      <c r="D1144" s="25"/>
    </row>
    <row r="1145" spans="3:4" ht="15.75">
      <c r="C1145" s="59"/>
      <c r="D1145" s="25"/>
    </row>
    <row r="1146" spans="3:4" ht="15.75">
      <c r="C1146" s="59"/>
      <c r="D1146" s="25"/>
    </row>
    <row r="1147" spans="3:4" ht="15.75">
      <c r="C1147" s="59"/>
      <c r="D1147" s="25"/>
    </row>
    <row r="1148" spans="3:4" ht="15.75">
      <c r="C1148" s="59"/>
      <c r="D1148" s="25"/>
    </row>
    <row r="1149" spans="3:4" ht="15.75">
      <c r="C1149" s="59"/>
      <c r="D1149" s="25"/>
    </row>
    <row r="1150" spans="3:4" ht="15.75">
      <c r="C1150" s="59"/>
      <c r="D1150" s="25"/>
    </row>
    <row r="1151" spans="3:4" ht="15.75">
      <c r="C1151" s="59"/>
      <c r="D1151" s="25"/>
    </row>
    <row r="1152" spans="3:4" ht="15.75">
      <c r="C1152" s="59"/>
      <c r="D1152" s="25"/>
    </row>
    <row r="1153" spans="3:4" ht="15.75">
      <c r="C1153" s="59"/>
      <c r="D1153" s="25"/>
    </row>
    <row r="1154" spans="3:4" ht="15.75">
      <c r="C1154" s="59"/>
      <c r="D1154" s="25"/>
    </row>
    <row r="1155" spans="3:4" ht="15.75">
      <c r="C1155" s="59"/>
      <c r="D1155" s="25"/>
    </row>
    <row r="1156" spans="3:4" ht="15.75">
      <c r="C1156" s="59"/>
      <c r="D1156" s="25"/>
    </row>
    <row r="1157" spans="3:4" ht="15.75">
      <c r="C1157" s="59"/>
      <c r="D1157" s="25"/>
    </row>
    <row r="1158" spans="3:4" ht="15.75">
      <c r="C1158" s="59"/>
      <c r="D1158" s="25"/>
    </row>
    <row r="1159" spans="3:4" ht="15.75">
      <c r="C1159" s="59"/>
      <c r="D1159" s="25"/>
    </row>
    <row r="1160" spans="3:4" ht="15.75">
      <c r="C1160" s="59"/>
      <c r="D1160" s="25"/>
    </row>
    <row r="1161" spans="3:4" ht="15.75">
      <c r="C1161" s="59"/>
      <c r="D1161" s="25"/>
    </row>
    <row r="1162" spans="3:4" ht="15.75">
      <c r="C1162" s="59"/>
      <c r="D1162" s="25"/>
    </row>
    <row r="1163" spans="3:4" ht="15.75">
      <c r="C1163" s="59"/>
      <c r="D1163" s="25"/>
    </row>
    <row r="1164" spans="3:4" ht="15.75">
      <c r="C1164" s="59"/>
      <c r="D1164" s="25"/>
    </row>
    <row r="1165" spans="3:4" ht="15.75">
      <c r="C1165" s="59"/>
      <c r="D1165" s="25"/>
    </row>
    <row r="1166" spans="3:4" ht="15.75">
      <c r="C1166" s="59"/>
      <c r="D1166" s="25"/>
    </row>
    <row r="1167" spans="3:4" ht="15.75">
      <c r="C1167" s="59"/>
      <c r="D1167" s="25"/>
    </row>
    <row r="1168" spans="3:4" ht="15.75">
      <c r="C1168" s="59"/>
      <c r="D1168" s="25"/>
    </row>
    <row r="1169" spans="3:4" ht="15.75">
      <c r="C1169" s="59"/>
      <c r="D1169" s="25"/>
    </row>
    <row r="1170" spans="3:4" ht="15.75">
      <c r="C1170" s="59"/>
      <c r="D1170" s="25"/>
    </row>
    <row r="1171" spans="3:4" ht="15.75">
      <c r="C1171" s="59"/>
      <c r="D1171" s="25"/>
    </row>
    <row r="1172" spans="3:4" ht="15.75">
      <c r="C1172" s="59"/>
      <c r="D1172" s="25"/>
    </row>
    <row r="1173" spans="3:4" ht="15.75">
      <c r="C1173" s="59"/>
      <c r="D1173" s="25"/>
    </row>
    <row r="1174" spans="3:4" ht="15.75">
      <c r="C1174" s="59"/>
      <c r="D1174" s="25"/>
    </row>
    <row r="1175" spans="3:4" ht="15.75">
      <c r="C1175" s="59"/>
      <c r="D1175" s="25"/>
    </row>
    <row r="1176" spans="3:4" ht="15.75">
      <c r="C1176" s="59"/>
      <c r="D1176" s="25"/>
    </row>
    <row r="1177" spans="3:4" ht="15.75">
      <c r="C1177" s="59"/>
      <c r="D1177" s="25"/>
    </row>
    <row r="1178" spans="3:4" ht="15.75">
      <c r="C1178" s="59"/>
      <c r="D1178" s="25"/>
    </row>
    <row r="1179" spans="3:4" ht="15.75">
      <c r="C1179" s="59"/>
      <c r="D1179" s="25"/>
    </row>
    <row r="1180" spans="3:4" ht="15.75">
      <c r="C1180" s="59"/>
      <c r="D1180" s="25"/>
    </row>
    <row r="1181" spans="3:4" ht="15.75">
      <c r="C1181" s="59"/>
      <c r="D1181" s="25"/>
    </row>
    <row r="1182" spans="3:4" ht="15.75">
      <c r="C1182" s="59"/>
      <c r="D1182" s="25"/>
    </row>
    <row r="1183" spans="3:4" ht="15.75">
      <c r="C1183" s="59"/>
      <c r="D1183" s="25"/>
    </row>
    <row r="1184" spans="3:4" ht="15.75">
      <c r="C1184" s="59"/>
      <c r="D1184" s="25"/>
    </row>
    <row r="1185" spans="3:4" ht="15.75">
      <c r="C1185" s="59"/>
      <c r="D1185" s="25"/>
    </row>
    <row r="1186" spans="3:4" ht="15.75">
      <c r="C1186" s="59"/>
      <c r="D1186" s="25"/>
    </row>
    <row r="1187" spans="3:4" ht="15.75">
      <c r="C1187" s="59"/>
      <c r="D1187" s="25"/>
    </row>
    <row r="1188" spans="3:4" ht="15.75">
      <c r="C1188" s="59"/>
      <c r="D1188" s="25"/>
    </row>
    <row r="1189" spans="3:4" ht="15.75">
      <c r="C1189" s="59"/>
      <c r="D1189" s="25"/>
    </row>
    <row r="1190" spans="3:4" ht="15.75">
      <c r="C1190" s="59"/>
      <c r="D1190" s="25"/>
    </row>
    <row r="1191" spans="3:4" ht="15.75">
      <c r="C1191" s="59"/>
      <c r="D1191" s="25"/>
    </row>
    <row r="1192" spans="3:4" ht="15.75">
      <c r="C1192" s="59"/>
      <c r="D1192" s="25"/>
    </row>
    <row r="1193" spans="3:4" ht="15.75">
      <c r="C1193" s="59"/>
      <c r="D1193" s="25"/>
    </row>
    <row r="1194" spans="3:4" ht="15.75">
      <c r="C1194" s="59"/>
      <c r="D1194" s="25"/>
    </row>
    <row r="1195" spans="3:4" ht="15.75">
      <c r="C1195" s="59"/>
      <c r="D1195" s="25"/>
    </row>
    <row r="1196" spans="3:4" ht="15.75">
      <c r="C1196" s="59"/>
      <c r="D1196" s="25"/>
    </row>
    <row r="1197" spans="3:4" ht="15.75">
      <c r="C1197" s="59"/>
      <c r="D1197" s="25"/>
    </row>
    <row r="1198" spans="3:4" ht="15.75">
      <c r="C1198" s="59"/>
      <c r="D1198" s="25"/>
    </row>
    <row r="1199" spans="3:4" ht="15.75">
      <c r="C1199" s="59"/>
      <c r="D1199" s="25"/>
    </row>
    <row r="1200" spans="3:4" ht="15.75">
      <c r="C1200" s="59"/>
      <c r="D1200" s="25"/>
    </row>
    <row r="1201" spans="3:4" ht="15.75">
      <c r="C1201" s="59"/>
      <c r="D1201" s="25"/>
    </row>
    <row r="1202" spans="3:4" ht="15.75">
      <c r="C1202" s="59"/>
      <c r="D1202" s="25"/>
    </row>
    <row r="1203" spans="3:4" ht="15.75">
      <c r="C1203" s="59"/>
      <c r="D1203" s="25"/>
    </row>
    <row r="1204" spans="3:4" ht="15.75">
      <c r="C1204" s="59"/>
      <c r="D1204" s="25"/>
    </row>
    <row r="1205" spans="3:4" ht="15.75">
      <c r="C1205" s="59"/>
      <c r="D1205" s="25"/>
    </row>
    <row r="1206" spans="3:4" ht="15.75">
      <c r="C1206" s="59"/>
      <c r="D1206" s="25"/>
    </row>
    <row r="1207" spans="3:4" ht="15.75">
      <c r="C1207" s="59"/>
      <c r="D1207" s="25"/>
    </row>
    <row r="1208" spans="3:4" ht="15.75">
      <c r="C1208" s="59"/>
      <c r="D1208" s="25"/>
    </row>
    <row r="1209" spans="3:4" ht="15.75">
      <c r="C1209" s="59"/>
      <c r="D1209" s="25"/>
    </row>
    <row r="1210" spans="3:4" ht="15.75">
      <c r="C1210" s="59"/>
      <c r="D1210" s="25"/>
    </row>
    <row r="1211" spans="3:4" ht="15.75">
      <c r="C1211" s="59"/>
      <c r="D1211" s="25"/>
    </row>
    <row r="1212" spans="3:4" ht="15.75">
      <c r="C1212" s="59"/>
      <c r="D1212" s="25"/>
    </row>
    <row r="1213" spans="3:4" ht="15.75">
      <c r="C1213" s="59"/>
      <c r="D1213" s="25"/>
    </row>
    <row r="1214" spans="3:4" ht="15.75">
      <c r="C1214" s="59"/>
      <c r="D1214" s="25"/>
    </row>
    <row r="1215" spans="3:4" ht="15.75">
      <c r="C1215" s="59"/>
      <c r="D1215" s="25"/>
    </row>
    <row r="1216" spans="3:4" ht="15.75">
      <c r="C1216" s="59"/>
      <c r="D1216" s="25"/>
    </row>
    <row r="1217" spans="3:4" ht="15.75">
      <c r="C1217" s="59"/>
      <c r="D1217" s="25"/>
    </row>
    <row r="1218" spans="3:4" ht="15.75">
      <c r="C1218" s="59"/>
      <c r="D1218" s="25"/>
    </row>
    <row r="1219" spans="3:4" ht="15.75">
      <c r="C1219" s="59"/>
      <c r="D1219" s="25"/>
    </row>
    <row r="1220" spans="3:4" ht="15.75">
      <c r="C1220" s="59"/>
      <c r="D1220" s="25"/>
    </row>
    <row r="1221" spans="3:4" ht="15.75">
      <c r="C1221" s="59"/>
      <c r="D1221" s="25"/>
    </row>
    <row r="1222" spans="3:4" ht="15.75">
      <c r="C1222" s="59"/>
      <c r="D1222" s="25"/>
    </row>
    <row r="1223" spans="3:4" ht="15.75">
      <c r="C1223" s="59"/>
      <c r="D1223" s="25"/>
    </row>
    <row r="1224" spans="3:4" ht="15.75">
      <c r="C1224" s="59"/>
      <c r="D1224" s="25"/>
    </row>
    <row r="1225" spans="3:4" ht="15.75">
      <c r="C1225" s="59"/>
      <c r="D1225" s="25"/>
    </row>
    <row r="1226" spans="3:4" ht="15.75">
      <c r="C1226" s="59"/>
      <c r="D1226" s="25"/>
    </row>
    <row r="1227" spans="3:4" ht="15.75">
      <c r="C1227" s="59"/>
      <c r="D1227" s="25"/>
    </row>
    <row r="1228" spans="3:4" ht="15.75">
      <c r="C1228" s="59"/>
      <c r="D1228" s="25"/>
    </row>
    <row r="1229" spans="3:4" ht="15.75">
      <c r="C1229" s="59"/>
      <c r="D1229" s="25"/>
    </row>
    <row r="1230" spans="3:4" ht="15.75">
      <c r="C1230" s="59"/>
      <c r="D1230" s="25"/>
    </row>
    <row r="1231" spans="3:4" ht="15.75">
      <c r="C1231" s="59"/>
      <c r="D1231" s="25"/>
    </row>
    <row r="1232" spans="3:4" ht="15.75">
      <c r="C1232" s="59"/>
      <c r="D1232" s="25"/>
    </row>
    <row r="1233" spans="3:4" ht="15.75">
      <c r="C1233" s="59"/>
      <c r="D1233" s="25"/>
    </row>
    <row r="1234" spans="3:4" ht="15.75">
      <c r="C1234" s="59"/>
      <c r="D1234" s="25"/>
    </row>
    <row r="1235" spans="3:4" ht="15.75">
      <c r="C1235" s="59"/>
      <c r="D1235" s="25"/>
    </row>
    <row r="1236" spans="3:4" ht="15.75">
      <c r="C1236" s="59"/>
      <c r="D1236" s="25"/>
    </row>
    <row r="1237" spans="3:4" ht="15.75">
      <c r="C1237" s="59"/>
      <c r="D1237" s="25"/>
    </row>
    <row r="1238" spans="3:4" ht="15.75">
      <c r="C1238" s="59"/>
      <c r="D1238" s="25"/>
    </row>
    <row r="1239" spans="3:4" ht="15.75">
      <c r="C1239" s="59"/>
      <c r="D1239" s="25"/>
    </row>
    <row r="1240" spans="3:4" ht="15.75">
      <c r="C1240" s="59"/>
      <c r="D1240" s="25"/>
    </row>
    <row r="1241" spans="3:4" ht="15.75">
      <c r="C1241" s="59"/>
      <c r="D1241" s="25"/>
    </row>
    <row r="1242" spans="3:4" ht="15.75">
      <c r="C1242" s="59"/>
      <c r="D1242" s="25"/>
    </row>
    <row r="1243" spans="3:4" ht="15.75">
      <c r="C1243" s="59"/>
      <c r="D1243" s="25"/>
    </row>
    <row r="1244" spans="3:4" ht="15.75">
      <c r="C1244" s="59"/>
      <c r="D1244" s="25"/>
    </row>
    <row r="1245" spans="3:4" ht="15.75">
      <c r="C1245" s="59"/>
      <c r="D1245" s="25"/>
    </row>
    <row r="1246" spans="3:4" ht="15.75">
      <c r="C1246" s="59"/>
      <c r="D1246" s="25"/>
    </row>
    <row r="1247" spans="3:4" ht="15.75">
      <c r="C1247" s="59"/>
      <c r="D1247" s="25"/>
    </row>
    <row r="1248" spans="3:4" ht="15.75">
      <c r="C1248" s="59"/>
      <c r="D1248" s="25"/>
    </row>
    <row r="1249" spans="3:4" ht="15.75">
      <c r="C1249" s="59"/>
      <c r="D1249" s="25"/>
    </row>
    <row r="1250" spans="3:4" ht="15.75">
      <c r="C1250" s="59"/>
      <c r="D1250" s="25"/>
    </row>
    <row r="1251" spans="3:4" ht="15.75">
      <c r="C1251" s="59"/>
      <c r="D1251" s="25"/>
    </row>
    <row r="1252" spans="3:4" ht="15.75">
      <c r="C1252" s="59"/>
      <c r="D1252" s="25"/>
    </row>
    <row r="1253" spans="3:4" ht="15.75">
      <c r="C1253" s="59"/>
      <c r="D1253" s="25"/>
    </row>
    <row r="1254" spans="3:4" ht="15.75">
      <c r="C1254" s="59"/>
      <c r="D1254" s="25"/>
    </row>
    <row r="1255" spans="3:4" ht="15.75">
      <c r="C1255" s="59"/>
      <c r="D1255" s="25"/>
    </row>
    <row r="1256" spans="3:4" ht="15.75">
      <c r="C1256" s="59"/>
      <c r="D1256" s="25"/>
    </row>
    <row r="1257" spans="3:4" ht="15.75">
      <c r="C1257" s="59"/>
      <c r="D1257" s="25"/>
    </row>
    <row r="1258" spans="3:4" ht="15.75">
      <c r="C1258" s="59"/>
      <c r="D1258" s="25"/>
    </row>
    <row r="1259" spans="3:4" ht="15.75">
      <c r="C1259" s="59"/>
      <c r="D1259" s="25"/>
    </row>
    <row r="1260" spans="3:4" ht="15.75">
      <c r="C1260" s="59"/>
      <c r="D1260" s="25"/>
    </row>
    <row r="1261" spans="3:4" ht="15.75">
      <c r="C1261" s="59"/>
      <c r="D1261" s="25"/>
    </row>
    <row r="1262" spans="3:4" ht="15.75">
      <c r="C1262" s="59"/>
      <c r="D1262" s="25"/>
    </row>
    <row r="1263" spans="3:4" ht="15.75">
      <c r="C1263" s="59"/>
      <c r="D1263" s="25"/>
    </row>
    <row r="1264" spans="3:4" ht="15.75">
      <c r="C1264" s="59"/>
      <c r="D1264" s="25"/>
    </row>
    <row r="1265" spans="3:4" ht="15.75">
      <c r="C1265" s="59"/>
      <c r="D1265" s="25"/>
    </row>
    <row r="1266" spans="3:4" ht="15.75">
      <c r="C1266" s="59"/>
      <c r="D1266" s="25"/>
    </row>
    <row r="1267" spans="3:4" ht="15.75">
      <c r="C1267" s="59"/>
      <c r="D1267" s="25"/>
    </row>
    <row r="1268" spans="3:4" ht="15.75">
      <c r="C1268" s="59"/>
      <c r="D1268" s="25"/>
    </row>
    <row r="1269" spans="3:4" ht="15.75">
      <c r="C1269" s="59"/>
      <c r="D1269" s="25"/>
    </row>
    <row r="1270" spans="3:4" ht="15.75">
      <c r="C1270" s="59"/>
      <c r="D1270" s="25"/>
    </row>
    <row r="1271" spans="3:4" ht="15.75">
      <c r="C1271" s="59"/>
      <c r="D1271" s="25"/>
    </row>
    <row r="1272" spans="3:4" ht="15.75">
      <c r="C1272" s="59"/>
      <c r="D1272" s="25"/>
    </row>
    <row r="1273" spans="3:4" ht="15.75">
      <c r="C1273" s="59"/>
      <c r="D1273" s="25"/>
    </row>
    <row r="1274" spans="3:4" ht="15.75">
      <c r="C1274" s="59"/>
      <c r="D1274" s="25"/>
    </row>
    <row r="1275" spans="3:4" ht="15.75">
      <c r="C1275" s="59"/>
      <c r="D1275" s="25"/>
    </row>
    <row r="1276" spans="3:4" ht="15.75">
      <c r="C1276" s="59"/>
      <c r="D1276" s="25"/>
    </row>
    <row r="1277" spans="3:4" ht="15.75">
      <c r="C1277" s="59"/>
      <c r="D1277" s="25"/>
    </row>
    <row r="1278" spans="3:4" ht="15.75">
      <c r="C1278" s="59"/>
      <c r="D1278" s="25"/>
    </row>
    <row r="1279" spans="3:4" ht="15.75">
      <c r="C1279" s="59"/>
      <c r="D1279" s="25"/>
    </row>
    <row r="1280" spans="3:4" ht="15.75">
      <c r="C1280" s="59"/>
      <c r="D1280" s="25"/>
    </row>
    <row r="1281" spans="3:4" ht="15.75">
      <c r="C1281" s="59"/>
      <c r="D1281" s="25"/>
    </row>
    <row r="1282" spans="3:4" ht="15.75">
      <c r="C1282" s="59"/>
      <c r="D1282" s="25"/>
    </row>
    <row r="1283" spans="3:4" ht="15.75">
      <c r="C1283" s="59"/>
      <c r="D1283" s="25"/>
    </row>
    <row r="1284" spans="3:4" ht="15.75">
      <c r="C1284" s="59"/>
      <c r="D1284" s="25"/>
    </row>
    <row r="1285" spans="3:4" ht="15.75">
      <c r="C1285" s="59"/>
      <c r="D1285" s="25"/>
    </row>
    <row r="1286" spans="3:4" ht="15.75">
      <c r="C1286" s="59"/>
      <c r="D1286" s="25"/>
    </row>
    <row r="1287" spans="3:4" ht="15.75">
      <c r="C1287" s="59"/>
      <c r="D1287" s="25"/>
    </row>
    <row r="1288" spans="3:4" ht="15.75">
      <c r="C1288" s="59"/>
      <c r="D1288" s="25"/>
    </row>
    <row r="1289" spans="3:4" ht="15.75">
      <c r="C1289" s="59"/>
      <c r="D1289" s="25"/>
    </row>
    <row r="1290" spans="3:4" ht="15.75">
      <c r="C1290" s="59"/>
      <c r="D1290" s="25"/>
    </row>
    <row r="1291" spans="3:4" ht="15.75">
      <c r="C1291" s="59"/>
      <c r="D1291" s="25"/>
    </row>
    <row r="1292" spans="3:4" ht="15.75">
      <c r="C1292" s="59"/>
      <c r="D1292" s="25"/>
    </row>
    <row r="1293" spans="3:4" ht="15.75">
      <c r="C1293" s="59"/>
      <c r="D1293" s="25"/>
    </row>
    <row r="1294" spans="3:4" ht="15.75">
      <c r="C1294" s="59"/>
      <c r="D1294" s="25"/>
    </row>
    <row r="1295" spans="3:4" ht="15.75">
      <c r="C1295" s="59"/>
      <c r="D1295" s="25"/>
    </row>
    <row r="1296" spans="3:4" ht="15.75">
      <c r="C1296" s="59"/>
      <c r="D1296" s="25"/>
    </row>
    <row r="1297" spans="3:4" ht="15.75">
      <c r="C1297" s="59"/>
      <c r="D1297" s="25"/>
    </row>
    <row r="1298" spans="3:4" ht="15.75">
      <c r="C1298" s="59"/>
      <c r="D1298" s="25"/>
    </row>
    <row r="1299" spans="3:4" ht="15.75">
      <c r="C1299" s="59"/>
      <c r="D1299" s="25"/>
    </row>
    <row r="1300" spans="3:4" ht="15.75">
      <c r="C1300" s="59"/>
      <c r="D1300" s="25"/>
    </row>
    <row r="1301" spans="3:4" ht="15.75">
      <c r="C1301" s="59"/>
      <c r="D1301" s="25"/>
    </row>
    <row r="1302" spans="3:4" ht="15.75">
      <c r="C1302" s="59"/>
      <c r="D1302" s="25"/>
    </row>
    <row r="1303" spans="3:4" ht="15.75">
      <c r="C1303" s="59"/>
      <c r="D1303" s="25"/>
    </row>
    <row r="1304" spans="3:4" ht="15.75">
      <c r="C1304" s="59"/>
      <c r="D1304" s="25"/>
    </row>
    <row r="1305" spans="3:4" ht="15.75">
      <c r="C1305" s="59"/>
      <c r="D1305" s="25"/>
    </row>
    <row r="1306" spans="3:4" ht="15.75">
      <c r="C1306" s="59"/>
      <c r="D1306" s="25"/>
    </row>
    <row r="1307" spans="3:4" ht="15.75">
      <c r="C1307" s="59"/>
      <c r="D1307" s="25"/>
    </row>
    <row r="1308" spans="3:4" ht="15.75">
      <c r="C1308" s="59"/>
      <c r="D1308" s="25"/>
    </row>
    <row r="1309" spans="3:4" ht="15.75">
      <c r="C1309" s="59"/>
      <c r="D1309" s="25"/>
    </row>
    <row r="1310" spans="3:4" ht="15.75">
      <c r="C1310" s="59"/>
      <c r="D1310" s="25"/>
    </row>
    <row r="1311" spans="3:4" ht="15.75">
      <c r="C1311" s="59"/>
      <c r="D1311" s="25"/>
    </row>
    <row r="1312" spans="3:4" ht="15.75">
      <c r="C1312" s="59"/>
      <c r="D1312" s="25"/>
    </row>
    <row r="1313" spans="3:4" ht="15.75">
      <c r="C1313" s="59"/>
      <c r="D1313" s="25"/>
    </row>
    <row r="1314" spans="3:4" ht="15.75">
      <c r="C1314" s="59"/>
      <c r="D1314" s="25"/>
    </row>
    <row r="1315" spans="3:4" ht="15.75">
      <c r="C1315" s="59"/>
      <c r="D1315" s="25"/>
    </row>
    <row r="1316" spans="3:4" ht="15.75">
      <c r="C1316" s="59"/>
      <c r="D1316" s="25"/>
    </row>
    <row r="1317" spans="3:4" ht="15.75">
      <c r="C1317" s="59"/>
      <c r="D1317" s="25"/>
    </row>
    <row r="1318" spans="3:4" ht="15.75">
      <c r="C1318" s="59"/>
      <c r="D1318" s="25"/>
    </row>
    <row r="1319" spans="3:4" ht="15.75">
      <c r="C1319" s="59"/>
      <c r="D1319" s="25"/>
    </row>
    <row r="1320" spans="3:4" ht="15.75">
      <c r="C1320" s="59"/>
      <c r="D1320" s="25"/>
    </row>
    <row r="1321" spans="3:4" ht="15.75">
      <c r="C1321" s="59"/>
      <c r="D1321" s="25"/>
    </row>
    <row r="1322" spans="3:4" ht="15.75">
      <c r="C1322" s="59"/>
      <c r="D1322" s="25"/>
    </row>
    <row r="1323" spans="3:4" ht="15.75">
      <c r="C1323" s="59"/>
      <c r="D1323" s="25"/>
    </row>
    <row r="1324" spans="3:4" ht="15.75">
      <c r="C1324" s="59"/>
      <c r="D1324" s="25"/>
    </row>
    <row r="1325" spans="3:4" ht="15.75">
      <c r="C1325" s="59"/>
      <c r="D1325" s="25"/>
    </row>
    <row r="1326" spans="3:4" ht="15.75">
      <c r="C1326" s="59"/>
      <c r="D1326" s="25"/>
    </row>
    <row r="1327" spans="3:4" ht="15.75">
      <c r="C1327" s="59"/>
      <c r="D1327" s="25"/>
    </row>
    <row r="1328" spans="3:4" ht="15.75">
      <c r="C1328" s="59"/>
      <c r="D1328" s="25"/>
    </row>
    <row r="1329" spans="3:4" ht="15.75">
      <c r="C1329" s="59"/>
      <c r="D1329" s="25"/>
    </row>
    <row r="1330" spans="3:4" ht="15.75">
      <c r="C1330" s="59"/>
      <c r="D1330" s="25"/>
    </row>
    <row r="1331" spans="3:4" ht="15.75">
      <c r="C1331" s="59"/>
      <c r="D1331" s="25"/>
    </row>
    <row r="1332" spans="3:4" ht="15.75">
      <c r="C1332" s="59"/>
      <c r="D1332" s="25"/>
    </row>
    <row r="1333" spans="3:4" ht="15.75">
      <c r="C1333" s="59"/>
      <c r="D1333" s="25"/>
    </row>
    <row r="1334" spans="3:4" ht="15.75">
      <c r="C1334" s="59"/>
      <c r="D1334" s="25"/>
    </row>
    <row r="1335" spans="3:4" ht="15.75">
      <c r="C1335" s="59"/>
      <c r="D1335" s="25"/>
    </row>
    <row r="1336" spans="3:4" ht="15.75">
      <c r="C1336" s="59"/>
      <c r="D1336" s="25"/>
    </row>
    <row r="1337" spans="3:4" ht="15.75">
      <c r="C1337" s="59"/>
      <c r="D1337" s="25"/>
    </row>
    <row r="1338" spans="3:4" ht="15.75">
      <c r="C1338" s="59"/>
      <c r="D1338" s="25"/>
    </row>
    <row r="1339" spans="3:4" ht="15.75">
      <c r="C1339" s="59"/>
      <c r="D1339" s="25"/>
    </row>
    <row r="1340" spans="3:4" ht="15.75">
      <c r="C1340" s="59"/>
      <c r="D1340" s="25"/>
    </row>
    <row r="1341" spans="3:4" ht="15.75">
      <c r="C1341" s="59"/>
      <c r="D1341" s="25"/>
    </row>
    <row r="1342" spans="3:4" ht="15.75">
      <c r="C1342" s="59"/>
      <c r="D1342" s="25"/>
    </row>
    <row r="1343" spans="3:4" ht="15.75">
      <c r="C1343" s="59"/>
      <c r="D1343" s="25"/>
    </row>
    <row r="1344" spans="3:4" ht="15.75">
      <c r="C1344" s="59"/>
      <c r="D1344" s="25"/>
    </row>
    <row r="1345" spans="3:4" ht="15.75">
      <c r="C1345" s="59"/>
      <c r="D1345" s="25"/>
    </row>
    <row r="1346" spans="3:4" ht="15.75">
      <c r="C1346" s="59"/>
      <c r="D1346" s="25"/>
    </row>
    <row r="1347" spans="3:4" ht="15.75">
      <c r="C1347" s="59"/>
      <c r="D1347" s="25"/>
    </row>
    <row r="1348" spans="3:4" ht="15.75">
      <c r="C1348" s="59"/>
      <c r="D1348" s="25"/>
    </row>
    <row r="1349" spans="3:4" ht="15.75">
      <c r="C1349" s="59"/>
      <c r="D1349" s="25"/>
    </row>
    <row r="1350" spans="3:4" ht="15.75">
      <c r="C1350" s="59"/>
      <c r="D1350" s="25"/>
    </row>
    <row r="1351" spans="3:4" ht="15.75">
      <c r="C1351" s="59"/>
      <c r="D1351" s="25"/>
    </row>
    <row r="1352" spans="3:4" ht="15.75">
      <c r="C1352" s="59"/>
      <c r="D1352" s="25"/>
    </row>
    <row r="1353" spans="3:4" ht="15.75">
      <c r="C1353" s="59"/>
      <c r="D1353" s="25"/>
    </row>
    <row r="1354" spans="3:4" ht="15.75">
      <c r="C1354" s="59"/>
      <c r="D1354" s="25"/>
    </row>
    <row r="1355" spans="3:4" ht="15.75">
      <c r="C1355" s="59"/>
      <c r="D1355" s="25"/>
    </row>
    <row r="1356" spans="3:4" ht="15.75">
      <c r="C1356" s="59"/>
      <c r="D1356" s="25"/>
    </row>
    <row r="1357" spans="3:4" ht="15.75">
      <c r="C1357" s="59"/>
      <c r="D1357" s="25"/>
    </row>
    <row r="1358" spans="3:4" ht="15.75">
      <c r="C1358" s="59"/>
      <c r="D1358" s="25"/>
    </row>
    <row r="1359" spans="3:4" ht="15.75">
      <c r="C1359" s="59"/>
      <c r="D1359" s="25"/>
    </row>
    <row r="1360" spans="3:4" ht="15.75">
      <c r="C1360" s="59"/>
      <c r="D1360" s="25"/>
    </row>
    <row r="1361" spans="3:4" ht="15.75">
      <c r="C1361" s="59"/>
      <c r="D1361" s="25"/>
    </row>
    <row r="1362" spans="3:4" ht="15.75">
      <c r="C1362" s="59"/>
      <c r="D1362" s="25"/>
    </row>
    <row r="1363" spans="3:4" ht="15.75">
      <c r="C1363" s="59"/>
      <c r="D1363" s="25"/>
    </row>
    <row r="1364" spans="3:4" ht="15.75">
      <c r="C1364" s="59"/>
      <c r="D1364" s="25"/>
    </row>
    <row r="1365" spans="3:4" ht="15.75">
      <c r="C1365" s="59"/>
      <c r="D1365" s="25"/>
    </row>
    <row r="1366" spans="3:4" ht="15.75">
      <c r="C1366" s="59"/>
      <c r="D1366" s="25"/>
    </row>
    <row r="1367" spans="3:4" ht="15.75">
      <c r="C1367" s="59"/>
      <c r="D1367" s="25"/>
    </row>
    <row r="1368" spans="3:4" ht="15.75">
      <c r="C1368" s="59"/>
      <c r="D1368" s="25"/>
    </row>
    <row r="1369" spans="3:4" ht="15.75">
      <c r="C1369" s="59"/>
      <c r="D1369" s="25"/>
    </row>
    <row r="1370" spans="3:4" ht="15.75">
      <c r="C1370" s="59"/>
      <c r="D1370" s="25"/>
    </row>
    <row r="1371" spans="3:4" ht="15.75">
      <c r="C1371" s="59"/>
      <c r="D1371" s="25"/>
    </row>
    <row r="1372" spans="3:4" ht="15.75">
      <c r="C1372" s="59"/>
      <c r="D1372" s="25"/>
    </row>
    <row r="1373" spans="3:4" ht="15.75">
      <c r="C1373" s="59"/>
      <c r="D1373" s="25"/>
    </row>
    <row r="1374" spans="3:4" ht="15.75">
      <c r="C1374" s="59"/>
      <c r="D1374" s="25"/>
    </row>
    <row r="1375" spans="3:4" ht="15.75">
      <c r="C1375" s="59"/>
      <c r="D1375" s="25"/>
    </row>
    <row r="1376" spans="3:4" ht="15.75">
      <c r="C1376" s="59"/>
      <c r="D1376" s="25"/>
    </row>
    <row r="1377" spans="3:4" ht="15.75">
      <c r="C1377" s="59"/>
      <c r="D1377" s="25"/>
    </row>
    <row r="1378" spans="3:4" ht="15.75">
      <c r="C1378" s="59"/>
      <c r="D1378" s="25"/>
    </row>
    <row r="1379" spans="3:4" ht="15.75">
      <c r="C1379" s="59"/>
      <c r="D1379" s="25"/>
    </row>
    <row r="1380" spans="3:4" ht="15.75">
      <c r="C1380" s="59"/>
      <c r="D1380" s="25"/>
    </row>
    <row r="1381" spans="3:4" ht="15.75">
      <c r="C1381" s="59"/>
      <c r="D1381" s="25"/>
    </row>
    <row r="1382" spans="3:4" ht="15.75">
      <c r="C1382" s="59"/>
      <c r="D1382" s="25"/>
    </row>
    <row r="1383" spans="3:4" ht="15.75">
      <c r="C1383" s="59"/>
      <c r="D1383" s="25"/>
    </row>
    <row r="1384" spans="3:4" ht="15.75">
      <c r="C1384" s="59"/>
      <c r="D1384" s="25"/>
    </row>
    <row r="1385" spans="3:4" ht="15.75">
      <c r="C1385" s="59"/>
      <c r="D1385" s="25"/>
    </row>
    <row r="1386" spans="3:4" ht="15.75">
      <c r="C1386" s="59"/>
      <c r="D1386" s="25"/>
    </row>
    <row r="1387" spans="3:4" ht="15.75">
      <c r="C1387" s="59"/>
      <c r="D1387" s="25"/>
    </row>
    <row r="1388" spans="3:4" ht="15.75">
      <c r="C1388" s="59"/>
      <c r="D1388" s="25"/>
    </row>
    <row r="1389" spans="3:4" ht="15.75">
      <c r="C1389" s="59"/>
      <c r="D1389" s="25"/>
    </row>
    <row r="1390" spans="3:4" ht="15.75">
      <c r="C1390" s="59"/>
      <c r="D1390" s="25"/>
    </row>
    <row r="1391" spans="3:4" ht="15.75">
      <c r="C1391" s="59"/>
      <c r="D1391" s="25"/>
    </row>
    <row r="1392" spans="3:4" ht="15.75">
      <c r="C1392" s="59"/>
      <c r="D1392" s="25"/>
    </row>
    <row r="1393" spans="3:4" ht="15.75">
      <c r="C1393" s="59"/>
      <c r="D1393" s="25"/>
    </row>
    <row r="1394" spans="3:4" ht="15.75">
      <c r="C1394" s="59"/>
      <c r="D1394" s="25"/>
    </row>
    <row r="1395" spans="3:4" ht="15.75">
      <c r="C1395" s="59"/>
      <c r="D1395" s="25"/>
    </row>
    <row r="1396" spans="3:4" ht="15.75">
      <c r="C1396" s="59"/>
      <c r="D1396" s="25"/>
    </row>
    <row r="1397" spans="3:4" ht="15.75">
      <c r="C1397" s="59"/>
      <c r="D1397" s="25"/>
    </row>
    <row r="1398" spans="3:4" ht="15.75">
      <c r="C1398" s="59"/>
      <c r="D1398" s="25"/>
    </row>
    <row r="1399" spans="3:4" ht="15.75">
      <c r="C1399" s="59"/>
      <c r="D1399" s="25"/>
    </row>
    <row r="1400" spans="3:4" ht="15.75">
      <c r="C1400" s="59"/>
      <c r="D1400" s="25"/>
    </row>
    <row r="1401" spans="3:4" ht="15.75">
      <c r="C1401" s="59"/>
      <c r="D1401" s="25"/>
    </row>
    <row r="1402" spans="3:4" ht="15.75">
      <c r="C1402" s="59"/>
      <c r="D1402" s="25"/>
    </row>
    <row r="1403" spans="3:4" ht="15.75">
      <c r="C1403" s="59"/>
      <c r="D1403" s="25"/>
    </row>
    <row r="1404" spans="3:4" ht="15.75">
      <c r="C1404" s="59"/>
      <c r="D1404" s="25"/>
    </row>
    <row r="1405" spans="3:4" ht="15.75">
      <c r="C1405" s="59"/>
      <c r="D1405" s="25"/>
    </row>
    <row r="1406" spans="3:4" ht="15.75">
      <c r="C1406" s="59"/>
      <c r="D1406" s="25"/>
    </row>
    <row r="1407" spans="3:4" ht="15.75">
      <c r="C1407" s="59"/>
      <c r="D1407" s="25"/>
    </row>
    <row r="1408" spans="3:4" ht="15.75">
      <c r="C1408" s="59"/>
      <c r="D1408" s="25"/>
    </row>
    <row r="1409" spans="3:4" ht="15.75">
      <c r="C1409" s="59"/>
      <c r="D1409" s="25"/>
    </row>
    <row r="1410" spans="3:4" ht="15.75">
      <c r="C1410" s="59"/>
      <c r="D1410" s="25"/>
    </row>
    <row r="1411" spans="3:4" ht="15.75">
      <c r="C1411" s="59"/>
      <c r="D1411" s="25"/>
    </row>
    <row r="1412" spans="3:4" ht="15.75">
      <c r="C1412" s="59"/>
      <c r="D1412" s="25"/>
    </row>
    <row r="1413" spans="3:4" ht="15.75">
      <c r="C1413" s="59"/>
      <c r="D1413" s="25"/>
    </row>
    <row r="1414" spans="3:4" ht="15.75">
      <c r="C1414" s="59"/>
      <c r="D1414" s="25"/>
    </row>
    <row r="1415" spans="3:4" ht="15.75">
      <c r="C1415" s="59"/>
      <c r="D1415" s="25"/>
    </row>
    <row r="1416" spans="3:4" ht="15.75">
      <c r="C1416" s="59"/>
      <c r="D1416" s="25"/>
    </row>
    <row r="1417" spans="3:4" ht="15.75">
      <c r="C1417" s="59"/>
      <c r="D1417" s="25"/>
    </row>
    <row r="1418" spans="3:4" ht="15.75">
      <c r="C1418" s="59"/>
      <c r="D1418" s="25"/>
    </row>
    <row r="1419" spans="3:4" ht="15.75">
      <c r="C1419" s="59"/>
      <c r="D1419" s="25"/>
    </row>
    <row r="1420" spans="3:4" ht="15.75">
      <c r="C1420" s="59"/>
      <c r="D1420" s="25"/>
    </row>
    <row r="1421" spans="3:4" ht="15.75">
      <c r="C1421" s="59"/>
      <c r="D1421" s="25"/>
    </row>
    <row r="1422" spans="3:4" ht="15.75">
      <c r="C1422" s="59"/>
      <c r="D1422" s="25"/>
    </row>
    <row r="1423" spans="3:4" ht="15.75">
      <c r="C1423" s="59"/>
      <c r="D1423" s="25"/>
    </row>
    <row r="1424" spans="3:4" ht="15.75">
      <c r="C1424" s="59"/>
      <c r="D1424" s="25"/>
    </row>
    <row r="1425" spans="3:4" ht="15.75">
      <c r="C1425" s="59"/>
      <c r="D1425" s="25"/>
    </row>
    <row r="1426" spans="3:4" ht="15.75">
      <c r="C1426" s="59"/>
      <c r="D1426" s="25"/>
    </row>
    <row r="1427" spans="3:4" ht="15.75">
      <c r="C1427" s="59"/>
      <c r="D1427" s="25"/>
    </row>
    <row r="1428" spans="3:4" ht="15.75">
      <c r="C1428" s="59"/>
      <c r="D1428" s="25"/>
    </row>
    <row r="1429" spans="3:4" ht="15.75">
      <c r="C1429" s="59"/>
      <c r="D1429" s="25"/>
    </row>
    <row r="1430" spans="3:4" ht="15.75">
      <c r="C1430" s="59"/>
      <c r="D1430" s="25"/>
    </row>
    <row r="1431" spans="3:4" ht="15.75">
      <c r="C1431" s="59"/>
      <c r="D1431" s="25"/>
    </row>
    <row r="1432" spans="3:4" ht="15.75">
      <c r="C1432" s="59"/>
      <c r="D1432" s="25"/>
    </row>
    <row r="1433" spans="3:4" ht="15.75">
      <c r="C1433" s="59"/>
      <c r="D1433" s="25"/>
    </row>
    <row r="1434" spans="3:4" ht="15.75">
      <c r="C1434" s="59"/>
      <c r="D1434" s="25"/>
    </row>
    <row r="1435" spans="3:4" ht="15.75">
      <c r="C1435" s="59"/>
      <c r="D1435" s="25"/>
    </row>
    <row r="1436" spans="3:4" ht="15.75">
      <c r="C1436" s="59"/>
      <c r="D1436" s="25"/>
    </row>
    <row r="1437" spans="3:4" ht="15.75">
      <c r="C1437" s="59"/>
      <c r="D1437" s="25"/>
    </row>
    <row r="1438" spans="3:4" ht="15.75">
      <c r="C1438" s="59"/>
      <c r="D1438" s="25"/>
    </row>
    <row r="1439" spans="3:4" ht="15.75">
      <c r="C1439" s="59"/>
      <c r="D1439" s="25"/>
    </row>
    <row r="1440" spans="3:4" ht="15.75">
      <c r="C1440" s="59"/>
      <c r="D1440" s="25"/>
    </row>
    <row r="1441" spans="3:4" ht="15.75">
      <c r="C1441" s="59"/>
      <c r="D1441" s="25"/>
    </row>
    <row r="1442" spans="3:4" ht="15.75">
      <c r="C1442" s="59"/>
      <c r="D1442" s="25"/>
    </row>
    <row r="1443" spans="3:4" ht="15.75">
      <c r="C1443" s="59"/>
      <c r="D1443" s="25"/>
    </row>
    <row r="1444" spans="3:4" ht="15.75">
      <c r="C1444" s="59"/>
      <c r="D1444" s="25"/>
    </row>
    <row r="1445" spans="3:4" ht="15.75">
      <c r="C1445" s="59"/>
      <c r="D1445" s="25"/>
    </row>
    <row r="1446" spans="3:4" ht="15.75">
      <c r="C1446" s="59"/>
      <c r="D1446" s="25"/>
    </row>
    <row r="1447" spans="3:4" ht="15.75">
      <c r="C1447" s="59"/>
      <c r="D1447" s="25"/>
    </row>
    <row r="1448" spans="3:4" ht="15.75">
      <c r="C1448" s="59"/>
      <c r="D1448" s="25"/>
    </row>
    <row r="1449" spans="3:4" ht="15.75">
      <c r="C1449" s="59"/>
      <c r="D1449" s="25"/>
    </row>
    <row r="1450" spans="3:4" ht="15.75">
      <c r="C1450" s="59"/>
      <c r="D1450" s="25"/>
    </row>
    <row r="1451" spans="3:4" ht="15.75">
      <c r="C1451" s="59"/>
      <c r="D1451" s="25"/>
    </row>
    <row r="1452" spans="3:4" ht="15.75">
      <c r="C1452" s="59"/>
      <c r="D1452" s="25"/>
    </row>
    <row r="1453" spans="3:4" ht="15.75">
      <c r="C1453" s="59"/>
      <c r="D1453" s="25"/>
    </row>
    <row r="1454" spans="3:4" ht="15.75">
      <c r="C1454" s="59"/>
      <c r="D1454" s="25"/>
    </row>
    <row r="1455" spans="3:4" ht="15.75">
      <c r="C1455" s="59"/>
      <c r="D1455" s="25"/>
    </row>
    <row r="1456" spans="3:4" ht="15.75">
      <c r="C1456" s="59"/>
      <c r="D1456" s="25"/>
    </row>
    <row r="1457" spans="3:4" ht="15.75">
      <c r="C1457" s="59"/>
      <c r="D1457" s="25"/>
    </row>
    <row r="1458" spans="3:4" ht="15.75">
      <c r="C1458" s="59"/>
      <c r="D1458" s="25"/>
    </row>
    <row r="1459" spans="3:4" ht="15.75">
      <c r="C1459" s="59"/>
      <c r="D1459" s="25"/>
    </row>
    <row r="1460" spans="3:4" ht="15.75">
      <c r="C1460" s="59"/>
      <c r="D1460" s="25"/>
    </row>
    <row r="1461" spans="3:4" ht="15.75">
      <c r="C1461" s="59"/>
      <c r="D1461" s="25"/>
    </row>
    <row r="1462" spans="3:4" ht="15.75">
      <c r="C1462" s="59"/>
      <c r="D1462" s="25"/>
    </row>
    <row r="1463" spans="3:4" ht="15.75">
      <c r="C1463" s="59"/>
      <c r="D1463" s="25"/>
    </row>
    <row r="1464" spans="3:4" ht="15.75">
      <c r="C1464" s="59"/>
      <c r="D1464" s="25"/>
    </row>
    <row r="1465" spans="3:4" ht="15.75">
      <c r="C1465" s="59"/>
      <c r="D1465" s="25"/>
    </row>
    <row r="1466" spans="3:4" ht="15.75">
      <c r="C1466" s="59"/>
      <c r="D1466" s="25"/>
    </row>
    <row r="1467" spans="3:4" ht="15.75">
      <c r="C1467" s="59"/>
      <c r="D1467" s="25"/>
    </row>
    <row r="1468" spans="3:4" ht="15.75">
      <c r="C1468" s="59"/>
      <c r="D1468" s="25"/>
    </row>
    <row r="1469" spans="3:4" ht="15.75">
      <c r="C1469" s="59"/>
      <c r="D1469" s="25"/>
    </row>
    <row r="1470" spans="3:4" ht="15.75">
      <c r="C1470" s="59"/>
      <c r="D1470" s="25"/>
    </row>
    <row r="1471" spans="3:4" ht="15.75">
      <c r="C1471" s="59"/>
      <c r="D1471" s="25"/>
    </row>
    <row r="1472" spans="3:4" ht="15.75">
      <c r="C1472" s="59"/>
      <c r="D1472" s="25"/>
    </row>
    <row r="1473" spans="3:4" ht="15.75">
      <c r="C1473" s="59"/>
      <c r="D1473" s="25"/>
    </row>
    <row r="1474" spans="3:4" ht="15.75">
      <c r="C1474" s="59"/>
      <c r="D1474" s="25"/>
    </row>
    <row r="1475" spans="3:4" ht="15.75">
      <c r="C1475" s="59"/>
      <c r="D1475" s="25"/>
    </row>
    <row r="1476" spans="3:4" ht="15.75">
      <c r="C1476" s="59"/>
      <c r="D1476" s="25"/>
    </row>
    <row r="1477" spans="3:4" ht="15.75">
      <c r="C1477" s="59"/>
      <c r="D1477" s="25"/>
    </row>
    <row r="1478" spans="3:4" ht="15.75">
      <c r="C1478" s="59"/>
      <c r="D1478" s="25"/>
    </row>
    <row r="1479" spans="3:4" ht="15.75">
      <c r="C1479" s="59"/>
      <c r="D1479" s="25"/>
    </row>
    <row r="1480" spans="3:4" ht="15.75">
      <c r="C1480" s="59"/>
      <c r="D1480" s="25"/>
    </row>
    <row r="1481" spans="3:4" ht="15.75">
      <c r="C1481" s="59"/>
      <c r="D1481" s="25"/>
    </row>
    <row r="1482" spans="3:4" ht="15.75">
      <c r="C1482" s="59"/>
      <c r="D1482" s="25"/>
    </row>
    <row r="1483" spans="3:4" ht="15.75">
      <c r="C1483" s="59"/>
      <c r="D1483" s="25"/>
    </row>
    <row r="1484" spans="3:4" ht="15.75">
      <c r="C1484" s="59"/>
      <c r="D1484" s="25"/>
    </row>
    <row r="1485" spans="3:4" ht="15.75">
      <c r="C1485" s="59"/>
      <c r="D1485" s="25"/>
    </row>
    <row r="1486" spans="3:4" ht="15.75">
      <c r="C1486" s="59"/>
      <c r="D1486" s="25"/>
    </row>
    <row r="1487" spans="3:4" ht="15.75">
      <c r="C1487" s="59"/>
      <c r="D1487" s="25"/>
    </row>
    <row r="1488" spans="3:4" ht="15.75">
      <c r="C1488" s="59"/>
      <c r="D1488" s="25"/>
    </row>
    <row r="1489" spans="3:4" ht="15.75">
      <c r="C1489" s="59"/>
      <c r="D1489" s="25"/>
    </row>
    <row r="1490" spans="3:4" ht="15.75">
      <c r="C1490" s="59"/>
      <c r="D1490" s="25"/>
    </row>
    <row r="1491" spans="3:4" ht="15.75">
      <c r="C1491" s="59"/>
      <c r="D1491" s="25"/>
    </row>
    <row r="1492" spans="3:4" ht="15.75">
      <c r="C1492" s="59"/>
      <c r="D1492" s="25"/>
    </row>
    <row r="1493" spans="3:4" ht="15.75">
      <c r="C1493" s="59"/>
      <c r="D1493" s="25"/>
    </row>
    <row r="1494" spans="3:4" ht="15.75">
      <c r="C1494" s="59"/>
      <c r="D1494" s="25"/>
    </row>
    <row r="1495" spans="3:4" ht="15.75">
      <c r="C1495" s="59"/>
      <c r="D1495" s="25"/>
    </row>
    <row r="1496" spans="3:4" ht="15.75">
      <c r="C1496" s="59"/>
      <c r="D1496" s="25"/>
    </row>
    <row r="1497" spans="3:4" ht="15.75">
      <c r="C1497" s="59"/>
      <c r="D1497" s="25"/>
    </row>
    <row r="1498" spans="3:4" ht="15.75">
      <c r="C1498" s="59"/>
      <c r="D1498" s="25"/>
    </row>
    <row r="1499" spans="3:4" ht="15.75">
      <c r="C1499" s="59"/>
      <c r="D1499" s="25"/>
    </row>
    <row r="1500" spans="3:4" ht="15.75">
      <c r="C1500" s="59"/>
      <c r="D1500" s="25"/>
    </row>
    <row r="1501" spans="3:4" ht="15.75">
      <c r="C1501" s="59"/>
      <c r="D1501" s="25"/>
    </row>
    <row r="1502" spans="3:4" ht="15.75">
      <c r="C1502" s="59"/>
      <c r="D1502" s="25"/>
    </row>
    <row r="1503" spans="3:4" ht="15.75">
      <c r="C1503" s="59"/>
      <c r="D1503" s="25"/>
    </row>
    <row r="1504" spans="3:4" ht="15.75">
      <c r="C1504" s="59"/>
      <c r="D1504" s="25"/>
    </row>
    <row r="1505" spans="3:4" ht="15.75">
      <c r="C1505" s="59"/>
      <c r="D1505" s="25"/>
    </row>
    <row r="1506" spans="3:4" ht="15.75">
      <c r="C1506" s="59"/>
      <c r="D1506" s="25"/>
    </row>
    <row r="1507" spans="3:4" ht="15.75">
      <c r="C1507" s="59"/>
      <c r="D1507" s="25"/>
    </row>
    <row r="1508" spans="3:4" ht="15.75">
      <c r="C1508" s="59"/>
      <c r="D1508" s="25"/>
    </row>
    <row r="1509" spans="3:4" ht="15.75">
      <c r="C1509" s="59"/>
      <c r="D1509" s="25"/>
    </row>
    <row r="1510" spans="3:4" ht="15.75">
      <c r="C1510" s="59"/>
      <c r="D1510" s="25"/>
    </row>
    <row r="1511" spans="3:4" ht="15.75">
      <c r="C1511" s="59"/>
      <c r="D1511" s="25"/>
    </row>
    <row r="1512" spans="3:4" ht="15.75">
      <c r="C1512" s="59"/>
      <c r="D1512" s="25"/>
    </row>
    <row r="1513" spans="3:4" ht="15.75">
      <c r="C1513" s="59"/>
      <c r="D1513" s="25"/>
    </row>
    <row r="1514" spans="3:4" ht="15.75">
      <c r="C1514" s="59"/>
      <c r="D1514" s="25"/>
    </row>
    <row r="1515" spans="3:4" ht="15.75">
      <c r="C1515" s="59"/>
      <c r="D1515" s="25"/>
    </row>
    <row r="1516" spans="3:4" ht="15.75">
      <c r="C1516" s="59"/>
      <c r="D1516" s="25"/>
    </row>
    <row r="1517" spans="3:4" ht="15.75">
      <c r="C1517" s="59"/>
      <c r="D1517" s="25"/>
    </row>
    <row r="1518" spans="3:4" ht="15.75">
      <c r="C1518" s="59"/>
      <c r="D1518" s="25"/>
    </row>
    <row r="1519" spans="3:4" ht="15.75">
      <c r="C1519" s="59"/>
      <c r="D1519" s="25"/>
    </row>
    <row r="1520" spans="3:4" ht="15.75">
      <c r="C1520" s="59"/>
      <c r="D1520" s="25"/>
    </row>
    <row r="1521" spans="3:4" ht="15.75">
      <c r="C1521" s="59"/>
      <c r="D1521" s="25"/>
    </row>
    <row r="1522" spans="3:4" ht="15.75">
      <c r="C1522" s="59"/>
      <c r="D1522" s="25"/>
    </row>
    <row r="1523" spans="3:4" ht="15.75">
      <c r="C1523" s="59"/>
      <c r="D1523" s="25"/>
    </row>
    <row r="1524" spans="3:4" ht="15.75">
      <c r="C1524" s="59"/>
      <c r="D1524" s="25"/>
    </row>
    <row r="1525" spans="3:4" ht="15.75">
      <c r="C1525" s="59"/>
      <c r="D1525" s="25"/>
    </row>
    <row r="1526" spans="3:4" ht="15.75">
      <c r="C1526" s="59"/>
      <c r="D1526" s="25"/>
    </row>
    <row r="1527" spans="3:4" ht="15.75">
      <c r="C1527" s="59"/>
      <c r="D1527" s="25"/>
    </row>
    <row r="1528" spans="3:4" ht="15.75">
      <c r="C1528" s="59"/>
      <c r="D1528" s="25"/>
    </row>
    <row r="1529" spans="3:4" ht="15.75">
      <c r="C1529" s="59"/>
      <c r="D1529" s="25"/>
    </row>
    <row r="1530" spans="3:4" ht="15.75">
      <c r="C1530" s="59"/>
      <c r="D1530" s="25"/>
    </row>
    <row r="1531" spans="3:4" ht="15.75">
      <c r="C1531" s="59"/>
      <c r="D1531" s="25"/>
    </row>
    <row r="1532" spans="3:4" ht="15.75">
      <c r="C1532" s="59"/>
      <c r="D1532" s="25"/>
    </row>
    <row r="1533" spans="3:4" ht="15.75">
      <c r="C1533" s="59"/>
      <c r="D1533" s="25"/>
    </row>
    <row r="1534" spans="3:4" ht="15.75">
      <c r="C1534" s="59"/>
      <c r="D1534" s="25"/>
    </row>
    <row r="1535" spans="3:4" ht="15.75">
      <c r="C1535" s="59"/>
      <c r="D1535" s="25"/>
    </row>
    <row r="1536" spans="3:4" ht="15.75">
      <c r="C1536" s="59"/>
      <c r="D1536" s="25"/>
    </row>
    <row r="1537" spans="3:4" ht="15.75">
      <c r="C1537" s="59"/>
      <c r="D1537" s="25"/>
    </row>
    <row r="1538" spans="3:4" ht="15.75">
      <c r="C1538" s="59"/>
      <c r="D1538" s="25"/>
    </row>
    <row r="1539" spans="3:4" ht="15.75">
      <c r="C1539" s="59"/>
      <c r="D1539" s="25"/>
    </row>
    <row r="1540" spans="3:4" ht="15.75">
      <c r="C1540" s="59"/>
      <c r="D1540" s="25"/>
    </row>
    <row r="1541" spans="3:4" ht="15.75">
      <c r="C1541" s="59"/>
      <c r="D1541" s="25"/>
    </row>
    <row r="1542" spans="3:4" ht="15.75">
      <c r="C1542" s="59"/>
      <c r="D1542" s="25"/>
    </row>
    <row r="1543" spans="3:4" ht="15.75">
      <c r="C1543" s="59"/>
      <c r="D1543" s="25"/>
    </row>
    <row r="1544" spans="3:4" ht="15.75">
      <c r="C1544" s="59"/>
      <c r="D1544" s="25"/>
    </row>
    <row r="1545" spans="3:4" ht="15.75">
      <c r="C1545" s="59"/>
      <c r="D1545" s="25"/>
    </row>
    <row r="1546" spans="3:4" ht="15.75">
      <c r="C1546" s="59"/>
      <c r="D1546" s="25"/>
    </row>
    <row r="1547" spans="3:4" ht="15.75">
      <c r="C1547" s="59"/>
      <c r="D1547" s="25"/>
    </row>
    <row r="1548" spans="3:4" ht="15.75">
      <c r="C1548" s="59"/>
      <c r="D1548" s="25"/>
    </row>
    <row r="1549" spans="3:4" ht="15.75">
      <c r="C1549" s="59"/>
      <c r="D1549" s="25"/>
    </row>
    <row r="1550" spans="3:4" ht="15.75">
      <c r="C1550" s="59"/>
      <c r="D1550" s="25"/>
    </row>
    <row r="1551" spans="3:4" ht="15.75">
      <c r="C1551" s="59"/>
      <c r="D1551" s="25"/>
    </row>
    <row r="1552" spans="3:4" ht="15.75">
      <c r="C1552" s="59"/>
      <c r="D1552" s="25"/>
    </row>
    <row r="1553" spans="3:4" ht="15.75">
      <c r="C1553" s="59"/>
      <c r="D1553" s="25"/>
    </row>
    <row r="1554" spans="3:4" ht="15.75">
      <c r="C1554" s="59"/>
      <c r="D1554" s="25"/>
    </row>
    <row r="1555" spans="3:4" ht="15.75">
      <c r="C1555" s="59"/>
      <c r="D1555" s="25"/>
    </row>
    <row r="1556" spans="3:4" ht="15.75">
      <c r="C1556" s="59"/>
      <c r="D1556" s="25"/>
    </row>
    <row r="1557" spans="3:4" ht="15.75">
      <c r="C1557" s="59"/>
      <c r="D1557" s="25"/>
    </row>
    <row r="1558" spans="3:4" ht="15.75">
      <c r="C1558" s="59"/>
      <c r="D1558" s="25"/>
    </row>
    <row r="1559" spans="3:4" ht="15.75">
      <c r="C1559" s="59"/>
      <c r="D1559" s="25"/>
    </row>
    <row r="1560" spans="3:4" ht="15.75">
      <c r="C1560" s="59"/>
      <c r="D1560" s="25"/>
    </row>
    <row r="1561" spans="3:4" ht="15.75">
      <c r="C1561" s="59"/>
      <c r="D1561" s="25"/>
    </row>
    <row r="1562" spans="3:4" ht="15.75">
      <c r="C1562" s="59"/>
      <c r="D1562" s="25"/>
    </row>
    <row r="1563" spans="3:4" ht="15.75">
      <c r="C1563" s="59"/>
      <c r="D1563" s="25"/>
    </row>
    <row r="1564" spans="3:4" ht="15.75">
      <c r="C1564" s="59"/>
      <c r="D1564" s="25"/>
    </row>
    <row r="1565" spans="3:4" ht="15.75">
      <c r="C1565" s="59"/>
      <c r="D1565" s="25"/>
    </row>
    <row r="1566" spans="3:4" ht="15.75">
      <c r="C1566" s="59"/>
      <c r="D1566" s="25"/>
    </row>
    <row r="1567" spans="3:4" ht="15.75">
      <c r="C1567" s="59"/>
      <c r="D1567" s="25"/>
    </row>
    <row r="1568" spans="3:4" ht="15.75">
      <c r="C1568" s="59"/>
      <c r="D1568" s="25"/>
    </row>
    <row r="1569" spans="3:4" ht="15.75">
      <c r="C1569" s="59"/>
      <c r="D1569" s="25"/>
    </row>
    <row r="1570" spans="3:4" ht="15.75">
      <c r="C1570" s="59"/>
      <c r="D1570" s="25"/>
    </row>
    <row r="1571" spans="3:4" ht="15.75">
      <c r="C1571" s="59"/>
      <c r="D1571" s="25"/>
    </row>
    <row r="1572" spans="3:4" ht="15.75">
      <c r="C1572" s="59"/>
      <c r="D1572" s="25"/>
    </row>
    <row r="1573" spans="3:4" ht="15.75">
      <c r="C1573" s="59"/>
      <c r="D1573" s="25"/>
    </row>
    <row r="1574" spans="3:4" ht="15.75">
      <c r="C1574" s="59"/>
      <c r="D1574" s="25"/>
    </row>
    <row r="1575" spans="3:4" ht="15.75">
      <c r="C1575" s="59"/>
      <c r="D1575" s="25"/>
    </row>
    <row r="1576" spans="3:4" ht="15.75">
      <c r="C1576" s="59"/>
      <c r="D1576" s="25"/>
    </row>
    <row r="1577" spans="3:4" ht="15.75">
      <c r="C1577" s="59"/>
      <c r="D1577" s="25"/>
    </row>
    <row r="1578" spans="3:4" ht="15.75">
      <c r="C1578" s="59"/>
      <c r="D1578" s="25"/>
    </row>
    <row r="1579" spans="3:4" ht="15.75">
      <c r="C1579" s="59"/>
      <c r="D1579" s="25"/>
    </row>
    <row r="1580" spans="3:4" ht="15.75">
      <c r="C1580" s="59"/>
      <c r="D1580" s="25"/>
    </row>
    <row r="1581" spans="3:4" ht="15.75">
      <c r="C1581" s="59"/>
      <c r="D1581" s="25"/>
    </row>
    <row r="1582" spans="3:4" ht="15.75">
      <c r="C1582" s="59"/>
      <c r="D1582" s="25"/>
    </row>
    <row r="1583" spans="3:4" ht="15.75">
      <c r="C1583" s="59"/>
      <c r="D1583" s="25"/>
    </row>
    <row r="1584" spans="3:4" ht="15.75">
      <c r="C1584" s="59"/>
      <c r="D1584" s="25"/>
    </row>
    <row r="1585" spans="3:4" ht="15.75">
      <c r="C1585" s="59"/>
      <c r="D1585" s="25"/>
    </row>
    <row r="1586" spans="3:4" ht="15.75">
      <c r="C1586" s="59"/>
      <c r="D1586" s="25"/>
    </row>
    <row r="1587" spans="3:4" ht="15.75">
      <c r="C1587" s="59"/>
      <c r="D1587" s="25"/>
    </row>
    <row r="1588" spans="3:4" ht="15.75">
      <c r="C1588" s="59"/>
      <c r="D1588" s="25"/>
    </row>
    <row r="1589" spans="3:4" ht="15.75">
      <c r="C1589" s="59"/>
      <c r="D1589" s="25"/>
    </row>
    <row r="1590" spans="3:4" ht="15.75">
      <c r="C1590" s="59"/>
      <c r="D1590" s="25"/>
    </row>
    <row r="1591" spans="3:4" ht="15.75">
      <c r="C1591" s="59"/>
      <c r="D1591" s="25"/>
    </row>
    <row r="1592" spans="3:4" ht="15.75">
      <c r="C1592" s="59"/>
      <c r="D1592" s="25"/>
    </row>
    <row r="1593" spans="3:4" ht="15.75">
      <c r="C1593" s="59"/>
      <c r="D1593" s="25"/>
    </row>
    <row r="1594" spans="3:4" ht="15.75">
      <c r="C1594" s="59"/>
      <c r="D1594" s="25"/>
    </row>
    <row r="1595" spans="3:4" ht="15.75">
      <c r="C1595" s="59"/>
      <c r="D1595" s="25"/>
    </row>
    <row r="1596" spans="3:4" ht="15.75">
      <c r="C1596" s="59"/>
      <c r="D1596" s="25"/>
    </row>
    <row r="1597" spans="3:4" ht="15.75">
      <c r="C1597" s="59"/>
      <c r="D1597" s="25"/>
    </row>
    <row r="1598" spans="3:4" ht="15.75">
      <c r="C1598" s="59"/>
      <c r="D1598" s="25"/>
    </row>
    <row r="1599" spans="3:4" ht="15.75">
      <c r="C1599" s="59"/>
      <c r="D1599" s="25"/>
    </row>
    <row r="1600" spans="3:4" ht="15.75">
      <c r="C1600" s="59"/>
      <c r="D1600" s="25"/>
    </row>
    <row r="1601" spans="3:4" ht="15.75">
      <c r="C1601" s="59"/>
      <c r="D1601" s="25"/>
    </row>
    <row r="1602" spans="3:4" ht="15.75">
      <c r="C1602" s="59"/>
      <c r="D1602" s="25"/>
    </row>
    <row r="1603" spans="3:4" ht="15.75">
      <c r="C1603" s="59"/>
      <c r="D1603" s="25"/>
    </row>
    <row r="1604" spans="3:4" ht="15.75">
      <c r="C1604" s="59"/>
      <c r="D1604" s="25"/>
    </row>
    <row r="1605" spans="3:4" ht="15.75">
      <c r="C1605" s="59"/>
      <c r="D1605" s="25"/>
    </row>
    <row r="1606" spans="3:4" ht="15.75">
      <c r="C1606" s="59"/>
      <c r="D1606" s="25"/>
    </row>
    <row r="1607" spans="3:4" ht="15.75">
      <c r="C1607" s="59"/>
      <c r="D1607" s="25"/>
    </row>
    <row r="1608" spans="3:4" ht="15.75">
      <c r="C1608" s="59"/>
      <c r="D1608" s="25"/>
    </row>
    <row r="1609" spans="3:4" ht="15.75">
      <c r="C1609" s="59"/>
      <c r="D1609" s="25"/>
    </row>
    <row r="1610" spans="3:4" ht="15.75">
      <c r="C1610" s="59"/>
      <c r="D1610" s="25"/>
    </row>
    <row r="1611" spans="3:4" ht="15.75">
      <c r="C1611" s="59"/>
      <c r="D1611" s="25"/>
    </row>
    <row r="1612" spans="3:4" ht="15.75">
      <c r="C1612" s="59"/>
      <c r="D1612" s="25"/>
    </row>
    <row r="1613" spans="3:4" ht="15.75">
      <c r="C1613" s="59"/>
      <c r="D1613" s="25"/>
    </row>
    <row r="1614" spans="3:4" ht="15.75">
      <c r="C1614" s="59"/>
      <c r="D1614" s="25"/>
    </row>
    <row r="1615" spans="3:4" ht="15.75">
      <c r="C1615" s="59"/>
      <c r="D1615" s="25"/>
    </row>
    <row r="1616" spans="3:4" ht="15.75">
      <c r="C1616" s="59"/>
      <c r="D1616" s="25"/>
    </row>
    <row r="1617" spans="3:4" ht="15.75">
      <c r="C1617" s="59"/>
      <c r="D1617" s="25"/>
    </row>
    <row r="1618" spans="3:4" ht="15.75">
      <c r="C1618" s="59"/>
      <c r="D1618" s="25"/>
    </row>
    <row r="1619" spans="3:4" ht="15.75">
      <c r="C1619" s="59"/>
      <c r="D1619" s="25"/>
    </row>
    <row r="1620" spans="3:4" ht="15.75">
      <c r="C1620" s="59"/>
      <c r="D1620" s="25"/>
    </row>
    <row r="1621" spans="3:4" ht="15.75">
      <c r="C1621" s="59"/>
      <c r="D1621" s="25"/>
    </row>
    <row r="1622" spans="3:4" ht="15.75">
      <c r="C1622" s="59"/>
      <c r="D1622" s="25"/>
    </row>
    <row r="1623" spans="3:4" ht="15.75">
      <c r="C1623" s="59"/>
      <c r="D1623" s="25"/>
    </row>
    <row r="1624" spans="3:4" ht="15.75">
      <c r="C1624" s="59"/>
      <c r="D1624" s="25"/>
    </row>
    <row r="1625" spans="3:4" ht="15.75">
      <c r="C1625" s="59"/>
      <c r="D1625" s="25"/>
    </row>
    <row r="1626" spans="3:4" ht="15.75">
      <c r="C1626" s="59"/>
      <c r="D1626" s="25"/>
    </row>
    <row r="1627" spans="3:4" ht="15.75">
      <c r="C1627" s="59"/>
      <c r="D1627" s="25"/>
    </row>
    <row r="1628" spans="3:4" ht="15.75">
      <c r="C1628" s="59"/>
      <c r="D1628" s="25"/>
    </row>
    <row r="1629" spans="3:4" ht="15.75">
      <c r="C1629" s="59"/>
      <c r="D1629" s="25"/>
    </row>
    <row r="1630" spans="3:4" ht="15.75">
      <c r="C1630" s="59"/>
      <c r="D1630" s="25"/>
    </row>
    <row r="1631" spans="3:4" ht="15.75">
      <c r="C1631" s="59"/>
      <c r="D1631" s="25"/>
    </row>
    <row r="1632" spans="3:4" ht="15.75">
      <c r="C1632" s="59"/>
      <c r="D1632" s="25"/>
    </row>
    <row r="1633" spans="3:4" ht="15.75">
      <c r="C1633" s="59"/>
      <c r="D1633" s="25"/>
    </row>
    <row r="1634" spans="3:4" ht="15.75">
      <c r="C1634" s="59"/>
      <c r="D1634" s="25"/>
    </row>
    <row r="1635" spans="3:4" ht="15.75">
      <c r="C1635" s="59"/>
      <c r="D1635" s="25"/>
    </row>
    <row r="1636" spans="3:4" ht="15.75">
      <c r="C1636" s="59"/>
      <c r="D1636" s="25"/>
    </row>
    <row r="1637" spans="3:4" ht="15.75">
      <c r="C1637" s="59"/>
      <c r="D1637" s="25"/>
    </row>
    <row r="1638" spans="3:4" ht="15.75">
      <c r="C1638" s="59"/>
      <c r="D1638" s="25"/>
    </row>
    <row r="1639" spans="3:4" ht="15.75">
      <c r="C1639" s="59"/>
      <c r="D1639" s="25"/>
    </row>
    <row r="1640" spans="3:4" ht="15.75">
      <c r="C1640" s="59"/>
      <c r="D1640" s="25"/>
    </row>
    <row r="1641" spans="3:4" ht="15.75">
      <c r="C1641" s="59"/>
      <c r="D1641" s="25"/>
    </row>
    <row r="1642" spans="3:4" ht="15.75">
      <c r="C1642" s="59"/>
      <c r="D1642" s="25"/>
    </row>
    <row r="1643" spans="3:4" ht="15.75">
      <c r="C1643" s="59"/>
      <c r="D1643" s="25"/>
    </row>
    <row r="1644" spans="3:4" ht="15.75">
      <c r="C1644" s="59"/>
      <c r="D1644" s="25"/>
    </row>
    <row r="1645" spans="3:4" ht="15.75">
      <c r="C1645" s="59"/>
      <c r="D1645" s="25"/>
    </row>
    <row r="1646" spans="3:4" ht="15.75">
      <c r="C1646" s="59"/>
      <c r="D1646" s="25"/>
    </row>
    <row r="1647" spans="3:4" ht="15.75">
      <c r="C1647" s="59"/>
      <c r="D1647" s="25"/>
    </row>
    <row r="1648" spans="3:4" ht="15.75">
      <c r="C1648" s="59"/>
      <c r="D1648" s="25"/>
    </row>
    <row r="1649" spans="3:4" ht="15.75">
      <c r="C1649" s="59"/>
      <c r="D1649" s="25"/>
    </row>
    <row r="1650" spans="3:4" ht="15.75">
      <c r="C1650" s="59"/>
      <c r="D1650" s="25"/>
    </row>
    <row r="1651" spans="3:4" ht="15.75">
      <c r="C1651" s="59"/>
      <c r="D1651" s="25"/>
    </row>
    <row r="1652" spans="3:4" ht="15.75">
      <c r="C1652" s="59"/>
      <c r="D1652" s="25"/>
    </row>
    <row r="1653" spans="3:4" ht="15.75">
      <c r="C1653" s="59"/>
      <c r="D1653" s="25"/>
    </row>
    <row r="1654" spans="3:4" ht="15.75">
      <c r="C1654" s="59"/>
      <c r="D1654" s="25"/>
    </row>
    <row r="1655" spans="3:4" ht="15.75">
      <c r="C1655" s="59"/>
      <c r="D1655" s="25"/>
    </row>
    <row r="1656" spans="3:4" ht="15.75">
      <c r="C1656" s="59"/>
      <c r="D1656" s="25"/>
    </row>
    <row r="1657" spans="3:4" ht="15.75">
      <c r="C1657" s="59"/>
      <c r="D1657" s="25"/>
    </row>
    <row r="1658" spans="3:4" ht="15.75">
      <c r="C1658" s="59"/>
      <c r="D1658" s="25"/>
    </row>
    <row r="1659" spans="3:4" ht="15.75">
      <c r="C1659" s="59"/>
      <c r="D1659" s="25"/>
    </row>
    <row r="1660" spans="3:4" ht="15.75">
      <c r="C1660" s="59"/>
      <c r="D1660" s="25"/>
    </row>
    <row r="1661" spans="3:4" ht="15.75">
      <c r="C1661" s="59"/>
      <c r="D1661" s="25"/>
    </row>
    <row r="1662" spans="3:4" ht="15.75">
      <c r="C1662" s="59"/>
      <c r="D1662" s="25"/>
    </row>
    <row r="1663" spans="3:4" ht="15.75">
      <c r="C1663" s="59"/>
      <c r="D1663" s="25"/>
    </row>
    <row r="1664" spans="3:4" ht="15.75">
      <c r="C1664" s="59"/>
      <c r="D1664" s="25"/>
    </row>
    <row r="1665" spans="3:4" ht="15.75">
      <c r="C1665" s="59"/>
      <c r="D1665" s="25"/>
    </row>
    <row r="1666" spans="3:4" ht="15.75">
      <c r="C1666" s="59"/>
      <c r="D1666" s="25"/>
    </row>
    <row r="1667" spans="3:4" ht="15.75">
      <c r="C1667" s="59"/>
      <c r="D1667" s="25"/>
    </row>
    <row r="1668" spans="3:4" ht="15.75">
      <c r="C1668" s="59"/>
      <c r="D1668" s="25"/>
    </row>
    <row r="1669" spans="3:4" ht="15.75">
      <c r="C1669" s="59"/>
      <c r="D1669" s="25"/>
    </row>
    <row r="1670" spans="3:4" ht="15.75">
      <c r="C1670" s="59"/>
      <c r="D1670" s="25"/>
    </row>
    <row r="1671" spans="3:4" ht="15.75">
      <c r="C1671" s="59"/>
      <c r="D1671" s="25"/>
    </row>
    <row r="1672" spans="3:4" ht="15.75">
      <c r="C1672" s="59"/>
      <c r="D1672" s="25"/>
    </row>
    <row r="1673" spans="3:4" ht="15.75">
      <c r="C1673" s="59"/>
      <c r="D1673" s="25"/>
    </row>
    <row r="1674" spans="3:4" ht="15.75">
      <c r="C1674" s="59"/>
      <c r="D1674" s="25"/>
    </row>
    <row r="1675" spans="3:4" ht="15.75">
      <c r="C1675" s="59"/>
      <c r="D1675" s="25"/>
    </row>
    <row r="1676" spans="3:4" ht="15.75">
      <c r="C1676" s="59"/>
      <c r="D1676" s="25"/>
    </row>
    <row r="1677" spans="3:4" ht="15.75">
      <c r="C1677" s="59"/>
      <c r="D1677" s="25"/>
    </row>
    <row r="1678" spans="3:4" ht="15.75">
      <c r="C1678" s="59"/>
      <c r="D1678" s="25"/>
    </row>
    <row r="1679" spans="3:4" ht="15.75">
      <c r="C1679" s="59"/>
      <c r="D1679" s="25"/>
    </row>
    <row r="1680" spans="3:4" ht="15.75">
      <c r="C1680" s="59"/>
      <c r="D1680" s="25"/>
    </row>
    <row r="1681" spans="3:4" ht="15.75">
      <c r="C1681" s="59"/>
      <c r="D1681" s="25"/>
    </row>
    <row r="1682" spans="3:4" ht="15.75">
      <c r="C1682" s="59"/>
      <c r="D1682" s="25"/>
    </row>
    <row r="1683" spans="3:4" ht="15.75">
      <c r="C1683" s="59"/>
      <c r="D1683" s="25"/>
    </row>
    <row r="1684" spans="3:4" ht="15.75">
      <c r="C1684" s="59"/>
      <c r="D1684" s="25"/>
    </row>
    <row r="1685" spans="3:4" ht="15.75">
      <c r="C1685" s="59"/>
      <c r="D1685" s="25"/>
    </row>
    <row r="1686" spans="3:4" ht="15.75">
      <c r="C1686" s="59"/>
      <c r="D1686" s="25"/>
    </row>
    <row r="1687" spans="3:4" ht="15.75">
      <c r="C1687" s="59"/>
      <c r="D1687" s="25"/>
    </row>
    <row r="1688" spans="3:4" ht="15.75">
      <c r="C1688" s="59"/>
      <c r="D1688" s="25"/>
    </row>
    <row r="1689" spans="3:4" ht="15.75">
      <c r="C1689" s="59"/>
      <c r="D1689" s="25"/>
    </row>
    <row r="1690" spans="3:4" ht="15.75">
      <c r="C1690" s="59"/>
      <c r="D1690" s="25"/>
    </row>
    <row r="1691" spans="3:4" ht="15.75">
      <c r="C1691" s="59"/>
      <c r="D1691" s="25"/>
    </row>
    <row r="1692" spans="3:4" ht="15.75">
      <c r="C1692" s="59"/>
      <c r="D1692" s="25"/>
    </row>
    <row r="1693" spans="3:4" ht="15.75">
      <c r="C1693" s="59"/>
      <c r="D1693" s="25"/>
    </row>
    <row r="1694" spans="3:4" ht="15.75">
      <c r="C1694" s="59"/>
      <c r="D1694" s="25"/>
    </row>
    <row r="1695" spans="3:4" ht="15.75">
      <c r="C1695" s="59"/>
      <c r="D1695" s="25"/>
    </row>
    <row r="1696" spans="3:4" ht="15.75">
      <c r="C1696" s="59"/>
      <c r="D1696" s="25"/>
    </row>
    <row r="1697" spans="3:4" ht="15.75">
      <c r="C1697" s="59"/>
      <c r="D1697" s="25"/>
    </row>
    <row r="1698" spans="3:4" ht="15.75">
      <c r="C1698" s="59"/>
      <c r="D1698" s="25"/>
    </row>
    <row r="1699" spans="3:4" ht="15.75">
      <c r="C1699" s="59"/>
      <c r="D1699" s="25"/>
    </row>
    <row r="1700" spans="3:4" ht="15.75">
      <c r="C1700" s="59"/>
      <c r="D1700" s="25"/>
    </row>
    <row r="1701" spans="3:4" ht="15.75">
      <c r="C1701" s="59"/>
      <c r="D1701" s="25"/>
    </row>
    <row r="1702" spans="3:4" ht="15.75">
      <c r="C1702" s="59"/>
      <c r="D1702" s="25"/>
    </row>
    <row r="1703" spans="3:4" ht="15.75">
      <c r="C1703" s="59"/>
      <c r="D1703" s="25"/>
    </row>
    <row r="1704" spans="3:4" ht="15.75">
      <c r="C1704" s="59"/>
      <c r="D1704" s="25"/>
    </row>
    <row r="1705" spans="3:4" ht="15.75">
      <c r="C1705" s="59"/>
      <c r="D1705" s="25"/>
    </row>
    <row r="1706" spans="3:4" ht="15.75">
      <c r="C1706" s="59"/>
      <c r="D1706" s="25"/>
    </row>
    <row r="1707" spans="3:4" ht="15.75">
      <c r="C1707" s="59"/>
      <c r="D1707" s="25"/>
    </row>
    <row r="1708" spans="3:4" ht="15.75">
      <c r="C1708" s="59"/>
      <c r="D1708" s="25"/>
    </row>
    <row r="1709" spans="3:4" ht="15.75">
      <c r="C1709" s="59"/>
      <c r="D1709" s="25"/>
    </row>
    <row r="1710" spans="3:4" ht="15.75">
      <c r="C1710" s="59"/>
      <c r="D1710" s="25"/>
    </row>
    <row r="1711" spans="3:4" ht="15.75">
      <c r="C1711" s="59"/>
      <c r="D1711" s="25"/>
    </row>
    <row r="1712" spans="3:4" ht="15.75">
      <c r="C1712" s="59"/>
      <c r="D1712" s="25"/>
    </row>
    <row r="1713" spans="3:4" ht="15.75">
      <c r="C1713" s="59"/>
      <c r="D1713" s="25"/>
    </row>
    <row r="1714" spans="3:4" ht="15.75">
      <c r="C1714" s="59"/>
      <c r="D1714" s="25"/>
    </row>
    <row r="1715" spans="3:4" ht="15.75">
      <c r="C1715" s="59"/>
      <c r="D1715" s="25"/>
    </row>
    <row r="1716" spans="3:4" ht="15.75">
      <c r="C1716" s="59"/>
      <c r="D1716" s="25"/>
    </row>
    <row r="1717" spans="3:4" ht="15.75">
      <c r="C1717" s="59"/>
      <c r="D1717" s="25"/>
    </row>
    <row r="1718" spans="3:4" ht="15.75">
      <c r="C1718" s="59"/>
      <c r="D1718" s="25"/>
    </row>
    <row r="1719" spans="3:4" ht="15.75">
      <c r="C1719" s="59"/>
      <c r="D1719" s="25"/>
    </row>
    <row r="1720" spans="3:4" ht="15.75">
      <c r="C1720" s="59"/>
      <c r="D1720" s="25"/>
    </row>
    <row r="1721" spans="3:4" ht="15.75">
      <c r="C1721" s="59"/>
      <c r="D1721" s="25"/>
    </row>
    <row r="1722" spans="3:4" ht="15.75">
      <c r="C1722" s="59"/>
      <c r="D1722" s="25"/>
    </row>
    <row r="1723" spans="3:4" ht="15.75">
      <c r="C1723" s="59"/>
      <c r="D1723" s="25"/>
    </row>
    <row r="1724" spans="3:4" ht="15.75">
      <c r="C1724" s="59"/>
      <c r="D1724" s="25"/>
    </row>
    <row r="1725" spans="3:4" ht="15.75">
      <c r="C1725" s="59"/>
      <c r="D1725" s="25"/>
    </row>
    <row r="1726" spans="3:4" ht="15.75">
      <c r="C1726" s="59"/>
      <c r="D1726" s="25"/>
    </row>
    <row r="1727" spans="3:4" ht="15.75">
      <c r="C1727" s="59"/>
      <c r="D1727" s="25"/>
    </row>
    <row r="1728" spans="3:4" ht="15.75">
      <c r="C1728" s="59"/>
      <c r="D1728" s="25"/>
    </row>
    <row r="1729" spans="3:4" ht="15.75">
      <c r="C1729" s="59"/>
      <c r="D1729" s="25"/>
    </row>
    <row r="1730" spans="3:4" ht="15.75">
      <c r="C1730" s="59"/>
      <c r="D1730" s="25"/>
    </row>
    <row r="1731" spans="3:4" ht="15.75">
      <c r="C1731" s="59"/>
      <c r="D1731" s="25"/>
    </row>
    <row r="1732" spans="3:4" ht="15.75">
      <c r="C1732" s="59"/>
      <c r="D1732" s="25"/>
    </row>
    <row r="1733" spans="3:4" ht="15.75">
      <c r="C1733" s="59"/>
      <c r="D1733" s="25"/>
    </row>
    <row r="1734" spans="3:4" ht="15.75">
      <c r="C1734" s="59"/>
      <c r="D1734" s="25"/>
    </row>
    <row r="1735" spans="3:4" ht="15.75">
      <c r="C1735" s="59"/>
      <c r="D1735" s="25"/>
    </row>
    <row r="1736" spans="3:4" ht="15.75">
      <c r="C1736" s="59"/>
      <c r="D1736" s="25"/>
    </row>
    <row r="1737" spans="3:4" ht="15.75">
      <c r="C1737" s="59"/>
      <c r="D1737" s="25"/>
    </row>
    <row r="1738" spans="3:4" ht="15.75">
      <c r="C1738" s="59"/>
      <c r="D1738" s="25"/>
    </row>
    <row r="1739" spans="3:4" ht="15.75">
      <c r="C1739" s="59"/>
      <c r="D1739" s="25"/>
    </row>
    <row r="1740" spans="3:4" ht="15.75">
      <c r="C1740" s="59"/>
      <c r="D1740" s="25"/>
    </row>
    <row r="1741" spans="3:4" ht="15.75">
      <c r="C1741" s="59"/>
      <c r="D1741" s="25"/>
    </row>
    <row r="1742" spans="3:4" ht="15.75">
      <c r="C1742" s="59"/>
      <c r="D1742" s="25"/>
    </row>
    <row r="1743" spans="3:4" ht="15.75">
      <c r="C1743" s="59"/>
      <c r="D1743" s="25"/>
    </row>
    <row r="1744" spans="3:4" ht="15.75">
      <c r="C1744" s="59"/>
      <c r="D1744" s="25"/>
    </row>
    <row r="1745" spans="3:4" ht="15.75">
      <c r="C1745" s="59"/>
      <c r="D1745" s="25"/>
    </row>
    <row r="1746" spans="3:4" ht="15.75">
      <c r="C1746" s="59"/>
      <c r="D1746" s="25"/>
    </row>
    <row r="1747" spans="3:4" ht="15.75">
      <c r="C1747" s="59"/>
      <c r="D1747" s="25"/>
    </row>
    <row r="1748" spans="3:4" ht="15.75">
      <c r="C1748" s="59"/>
      <c r="D1748" s="25"/>
    </row>
    <row r="1749" spans="3:4" ht="15.75">
      <c r="C1749" s="59"/>
      <c r="D1749" s="25"/>
    </row>
    <row r="1750" spans="3:4" ht="15.75">
      <c r="C1750" s="59"/>
      <c r="D1750" s="25"/>
    </row>
    <row r="1751" spans="3:4" ht="15.75">
      <c r="C1751" s="59"/>
      <c r="D1751" s="25"/>
    </row>
    <row r="1752" spans="3:4" ht="15.75">
      <c r="C1752" s="59"/>
      <c r="D1752" s="25"/>
    </row>
    <row r="1753" spans="3:4" ht="15.75">
      <c r="C1753" s="59"/>
      <c r="D1753" s="25"/>
    </row>
    <row r="1754" spans="3:4" ht="15.75">
      <c r="C1754" s="59"/>
      <c r="D1754" s="25"/>
    </row>
    <row r="1755" spans="3:4" ht="15.75">
      <c r="C1755" s="59"/>
      <c r="D1755" s="25"/>
    </row>
    <row r="1756" spans="3:4" ht="15.75">
      <c r="C1756" s="59"/>
      <c r="D1756" s="25"/>
    </row>
    <row r="1757" spans="3:4" ht="15.75">
      <c r="C1757" s="59"/>
      <c r="D1757" s="25"/>
    </row>
    <row r="1758" spans="3:4" ht="15.75">
      <c r="C1758" s="59"/>
      <c r="D1758" s="25"/>
    </row>
    <row r="1759" spans="3:4" ht="15.75">
      <c r="C1759" s="59"/>
      <c r="D1759" s="25"/>
    </row>
    <row r="1760" spans="3:4" ht="15.75">
      <c r="C1760" s="59"/>
      <c r="D1760" s="25"/>
    </row>
    <row r="1761" spans="3:4" ht="15.75">
      <c r="C1761" s="59"/>
      <c r="D1761" s="25"/>
    </row>
    <row r="1762" spans="3:4" ht="15.75">
      <c r="C1762" s="59"/>
      <c r="D1762" s="25"/>
    </row>
    <row r="1763" spans="3:4" ht="15.75">
      <c r="C1763" s="59"/>
      <c r="D1763" s="25"/>
    </row>
    <row r="1764" spans="3:4" ht="15.75">
      <c r="C1764" s="59"/>
      <c r="D1764" s="25"/>
    </row>
    <row r="1765" spans="3:4" ht="15.75">
      <c r="C1765" s="59"/>
      <c r="D1765" s="25"/>
    </row>
    <row r="1766" spans="3:4" ht="15.75">
      <c r="C1766" s="59"/>
      <c r="D1766" s="25"/>
    </row>
    <row r="1767" spans="3:4" ht="15.75">
      <c r="C1767" s="59"/>
      <c r="D1767" s="25"/>
    </row>
    <row r="1768" spans="3:4" ht="15.75">
      <c r="C1768" s="59"/>
      <c r="D1768" s="25"/>
    </row>
    <row r="1769" spans="3:4" ht="15.75">
      <c r="C1769" s="59"/>
      <c r="D1769" s="25"/>
    </row>
    <row r="1770" spans="3:4" ht="15.75">
      <c r="C1770" s="59"/>
      <c r="D1770" s="25"/>
    </row>
    <row r="1771" spans="3:4" ht="15.75">
      <c r="C1771" s="59"/>
      <c r="D1771" s="25"/>
    </row>
    <row r="1772" spans="3:4" ht="15.75">
      <c r="C1772" s="59"/>
      <c r="D1772" s="25"/>
    </row>
    <row r="1773" spans="3:4" ht="15.75">
      <c r="C1773" s="59"/>
      <c r="D1773" s="25"/>
    </row>
    <row r="1774" spans="3:4" ht="15.75">
      <c r="C1774" s="59"/>
      <c r="D1774" s="25"/>
    </row>
    <row r="1775" spans="3:4" ht="15.75">
      <c r="C1775" s="59"/>
      <c r="D1775" s="25"/>
    </row>
    <row r="1776" spans="3:4" ht="15.75">
      <c r="C1776" s="59"/>
      <c r="D1776" s="25"/>
    </row>
    <row r="1777" spans="3:4" ht="15.75">
      <c r="C1777" s="59"/>
      <c r="D1777" s="25"/>
    </row>
    <row r="1778" spans="3:4" ht="15.75">
      <c r="C1778" s="59"/>
      <c r="D1778" s="25"/>
    </row>
    <row r="1779" spans="3:4" ht="15.75">
      <c r="C1779" s="59"/>
      <c r="D1779" s="25"/>
    </row>
    <row r="1780" spans="3:4" ht="15.75">
      <c r="C1780" s="59"/>
      <c r="D1780" s="25"/>
    </row>
    <row r="1781" spans="3:4" ht="15.75">
      <c r="C1781" s="59"/>
      <c r="D1781" s="25"/>
    </row>
    <row r="1782" spans="3:4" ht="15.75">
      <c r="C1782" s="59"/>
      <c r="D1782" s="25"/>
    </row>
    <row r="1783" spans="3:4" ht="15.75">
      <c r="C1783" s="59"/>
      <c r="D1783" s="25"/>
    </row>
    <row r="1784" spans="3:4" ht="15.75">
      <c r="C1784" s="59"/>
      <c r="D1784" s="25"/>
    </row>
    <row r="1785" spans="3:4" ht="15.75">
      <c r="C1785" s="59"/>
      <c r="D1785" s="25"/>
    </row>
    <row r="1786" spans="3:4" ht="15.75">
      <c r="C1786" s="59"/>
      <c r="D1786" s="25"/>
    </row>
    <row r="1787" spans="3:4" ht="15.75">
      <c r="C1787" s="59"/>
      <c r="D1787" s="25"/>
    </row>
    <row r="1788" spans="3:4" ht="15.75">
      <c r="C1788" s="59"/>
      <c r="D1788" s="25"/>
    </row>
    <row r="1789" spans="3:4" ht="15.75">
      <c r="C1789" s="59"/>
      <c r="D1789" s="25"/>
    </row>
    <row r="1790" spans="3:4" ht="15.75">
      <c r="C1790" s="59"/>
      <c r="D1790" s="25"/>
    </row>
    <row r="1791" spans="3:4" ht="15.75">
      <c r="C1791" s="59"/>
      <c r="D1791" s="25"/>
    </row>
    <row r="1792" spans="3:4" ht="15.75">
      <c r="C1792" s="59"/>
      <c r="D1792" s="25"/>
    </row>
    <row r="1793" spans="3:4" ht="15.75">
      <c r="C1793" s="59"/>
      <c r="D1793" s="25"/>
    </row>
  </sheetData>
  <sheetProtection/>
  <mergeCells count="2">
    <mergeCell ref="A1:F1"/>
    <mergeCell ref="A2:F2"/>
  </mergeCells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</dc:title>
  <dc:subject/>
  <dc:creator>hujnakov</dc:creator>
  <cp:keywords/>
  <dc:description/>
  <cp:lastModifiedBy>Petr Bauer</cp:lastModifiedBy>
  <cp:lastPrinted>2013-04-08T07:48:13Z</cp:lastPrinted>
  <dcterms:created xsi:type="dcterms:W3CDTF">2012-04-18T06:35:14Z</dcterms:created>
  <dcterms:modified xsi:type="dcterms:W3CDTF">2013-05-17T05:13:36Z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K6F56YJ4D42X-502-51</vt:lpwstr>
  </property>
  <property fmtid="{D5CDD505-2E9C-101B-9397-08002B2CF9AE}" pid="3" name="_dlc_DocIdItemGuid">
    <vt:lpwstr>a2ab41b5-8987-49bd-8f47-56c740c43654</vt:lpwstr>
  </property>
  <property fmtid="{D5CDD505-2E9C-101B-9397-08002B2CF9AE}" pid="4" name="_dlc_DocIdUrl">
    <vt:lpwstr>http://project.brno.cz/ORF/finance/_layouts/DocIdRedir.aspx?ID=K6F56YJ4D42X-502-51, K6F56YJ4D42X-502-51</vt:lpwstr>
  </property>
  <property fmtid="{D5CDD505-2E9C-101B-9397-08002B2CF9AE}" pid="5" name="ContentTypeId">
    <vt:lpwstr>0x010100C27F7902110E8944B0D81D63E54D4995</vt:lpwstr>
  </property>
  <property fmtid="{D5CDD505-2E9C-101B-9397-08002B2CF9AE}" pid="6" name="Rok">
    <vt:lpwstr>2012</vt:lpwstr>
  </property>
  <property fmtid="{D5CDD505-2E9C-101B-9397-08002B2CF9AE}" pid="7" name="No">
    <vt:lpwstr>1</vt:lpwstr>
  </property>
</Properties>
</file>