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9855"/>
  </bookViews>
  <sheets>
    <sheet name="VHČ 2013 (v tis.Kč)" sheetId="3" r:id="rId1"/>
    <sheet name="VHČ 2013 (v Kč)" sheetId="4" r:id="rId2"/>
  </sheets>
  <definedNames>
    <definedName name="_xlnm.Print_Titles" localSheetId="1">'VHČ 2013 (v Kč)'!$A:$C</definedName>
    <definedName name="_xlnm.Print_Titles" localSheetId="0">'VHČ 2013 (v tis.Kč)'!$A:$C</definedName>
    <definedName name="_xlnm.Print_Area" localSheetId="1">'VHČ 2013 (v Kč)'!$A$1:$AC$32</definedName>
    <definedName name="_xlnm.Print_Area" localSheetId="0">'VHČ 2013 (v tis.Kč)'!$A$1:$AC$29</definedName>
  </definedNames>
  <calcPr calcId="125725"/>
</workbook>
</file>

<file path=xl/calcChain.xml><?xml version="1.0" encoding="utf-8"?>
<calcChain xmlns="http://schemas.openxmlformats.org/spreadsheetml/2006/main">
  <c r="F5" i="3"/>
  <c r="E9" i="4"/>
  <c r="K24" i="3"/>
  <c r="H24"/>
  <c r="H6"/>
  <c r="AA5"/>
  <c r="Q13"/>
  <c r="AC13"/>
  <c r="X15"/>
  <c r="V15"/>
  <c r="M24"/>
  <c r="Q14"/>
  <c r="O19"/>
  <c r="H29"/>
  <c r="J14"/>
  <c r="I9"/>
  <c r="J5"/>
  <c r="AB19"/>
  <c r="Z16"/>
  <c r="R16"/>
  <c r="AA32" i="4"/>
  <c r="G32" s="1"/>
  <c r="D32" s="1"/>
  <c r="U32"/>
  <c r="U29" i="3" s="1"/>
  <c r="AA31" i="4"/>
  <c r="U31"/>
  <c r="U30"/>
  <c r="G30" s="1"/>
  <c r="D30" s="1"/>
  <c r="AA24"/>
  <c r="U24"/>
  <c r="G24" s="1"/>
  <c r="D24" s="1"/>
  <c r="AC22"/>
  <c r="AC26" s="1"/>
  <c r="AB22"/>
  <c r="AB26" s="1"/>
  <c r="Z22"/>
  <c r="Z26" s="1"/>
  <c r="Y22"/>
  <c r="Y26" s="1"/>
  <c r="X22"/>
  <c r="X26" s="1"/>
  <c r="W22"/>
  <c r="W26" s="1"/>
  <c r="V22"/>
  <c r="V26" s="1"/>
  <c r="T22"/>
  <c r="T26" s="1"/>
  <c r="S22"/>
  <c r="S26" s="1"/>
  <c r="R22"/>
  <c r="R26" s="1"/>
  <c r="Q22"/>
  <c r="Q26" s="1"/>
  <c r="P22"/>
  <c r="P26" s="1"/>
  <c r="O22"/>
  <c r="O26" s="1"/>
  <c r="N22"/>
  <c r="N26" s="1"/>
  <c r="M22"/>
  <c r="M26" s="1"/>
  <c r="L22"/>
  <c r="L26" s="1"/>
  <c r="K22"/>
  <c r="K26" s="1"/>
  <c r="J22"/>
  <c r="J26" s="1"/>
  <c r="I22"/>
  <c r="I26" s="1"/>
  <c r="H22"/>
  <c r="H26" s="1"/>
  <c r="AA20"/>
  <c r="U20"/>
  <c r="U22" s="1"/>
  <c r="U26" s="1"/>
  <c r="AC19"/>
  <c r="AB19"/>
  <c r="Z19"/>
  <c r="Z19" i="3" s="1"/>
  <c r="Y19" i="4"/>
  <c r="Y19" i="3" s="1"/>
  <c r="X19" i="4"/>
  <c r="W19"/>
  <c r="V19"/>
  <c r="V19" i="3" s="1"/>
  <c r="T19" i="4"/>
  <c r="S19"/>
  <c r="R19"/>
  <c r="R19" i="3" s="1"/>
  <c r="Q19" i="4"/>
  <c r="Q19" i="3" s="1"/>
  <c r="P19" i="4"/>
  <c r="O19"/>
  <c r="N19"/>
  <c r="N19" i="3" s="1"/>
  <c r="M19" i="4"/>
  <c r="M19" i="3" s="1"/>
  <c r="L19" i="4"/>
  <c r="K19"/>
  <c r="J19"/>
  <c r="I19"/>
  <c r="I19" i="3" s="1"/>
  <c r="H19" i="4"/>
  <c r="AA18"/>
  <c r="U18"/>
  <c r="U18" i="3" s="1"/>
  <c r="AA16" i="4"/>
  <c r="U16"/>
  <c r="AA15"/>
  <c r="U15"/>
  <c r="G15" s="1"/>
  <c r="D15" s="1"/>
  <c r="AA14"/>
  <c r="G14" s="1"/>
  <c r="D14" s="1"/>
  <c r="U14"/>
  <c r="AA13"/>
  <c r="AA19" s="1"/>
  <c r="AA19" i="3" s="1"/>
  <c r="U13" i="4"/>
  <c r="U13" i="3" s="1"/>
  <c r="AA10" i="4"/>
  <c r="AA22" s="1"/>
  <c r="AA26" s="1"/>
  <c r="U10"/>
  <c r="AC9"/>
  <c r="AC9" i="3" s="1"/>
  <c r="AB9" i="4"/>
  <c r="AB9" i="3" s="1"/>
  <c r="AA9" i="4"/>
  <c r="Z9"/>
  <c r="Y9"/>
  <c r="Y9" i="3" s="1"/>
  <c r="X9" i="4"/>
  <c r="X9" i="3" s="1"/>
  <c r="W9" i="4"/>
  <c r="V9"/>
  <c r="T9"/>
  <c r="T9" i="3" s="1"/>
  <c r="S9" i="4"/>
  <c r="R9"/>
  <c r="Q9"/>
  <c r="Q9" i="3" s="1"/>
  <c r="P9" i="4"/>
  <c r="P9" i="3" s="1"/>
  <c r="O9" i="4"/>
  <c r="N9"/>
  <c r="M9"/>
  <c r="M9" i="3" s="1"/>
  <c r="L9" i="4"/>
  <c r="L9" i="3" s="1"/>
  <c r="K9" i="4"/>
  <c r="J9"/>
  <c r="I9"/>
  <c r="H9"/>
  <c r="U6"/>
  <c r="U9" s="1"/>
  <c r="U9" i="3" s="1"/>
  <c r="AA5" i="4"/>
  <c r="H5" i="3"/>
  <c r="K5"/>
  <c r="U5"/>
  <c r="I6"/>
  <c r="J6"/>
  <c r="K6"/>
  <c r="L6"/>
  <c r="M6"/>
  <c r="N6"/>
  <c r="O6"/>
  <c r="P6"/>
  <c r="P10" s="1"/>
  <c r="Q6"/>
  <c r="R6"/>
  <c r="S6"/>
  <c r="T6"/>
  <c r="T10" s="1"/>
  <c r="U6"/>
  <c r="V6"/>
  <c r="W6"/>
  <c r="X6"/>
  <c r="Y6"/>
  <c r="Z6"/>
  <c r="AA6"/>
  <c r="AB6"/>
  <c r="AC6"/>
  <c r="AC10" s="1"/>
  <c r="H8"/>
  <c r="L8"/>
  <c r="AA8"/>
  <c r="J9"/>
  <c r="K9"/>
  <c r="N9"/>
  <c r="O9"/>
  <c r="R9"/>
  <c r="S9"/>
  <c r="V9"/>
  <c r="W9"/>
  <c r="Z9"/>
  <c r="AA9"/>
  <c r="F16" i="4"/>
  <c r="F19"/>
  <c r="F16" i="3"/>
  <c r="F13" i="4"/>
  <c r="E5"/>
  <c r="E7" i="3"/>
  <c r="D7" s="1"/>
  <c r="F29"/>
  <c r="F24"/>
  <c r="F13"/>
  <c r="F15"/>
  <c r="F19"/>
  <c r="F9"/>
  <c r="E29"/>
  <c r="E24"/>
  <c r="E18"/>
  <c r="E15"/>
  <c r="E14"/>
  <c r="E13"/>
  <c r="E9"/>
  <c r="E8"/>
  <c r="E6"/>
  <c r="E5"/>
  <c r="X13"/>
  <c r="I29"/>
  <c r="J29"/>
  <c r="K29"/>
  <c r="L29"/>
  <c r="M29"/>
  <c r="N29"/>
  <c r="O29"/>
  <c r="P29"/>
  <c r="Q29"/>
  <c r="R29"/>
  <c r="S29"/>
  <c r="T29"/>
  <c r="V29"/>
  <c r="W29"/>
  <c r="X29"/>
  <c r="Y29"/>
  <c r="Z29"/>
  <c r="AA29"/>
  <c r="AB29"/>
  <c r="AC29"/>
  <c r="I24"/>
  <c r="J24"/>
  <c r="L24"/>
  <c r="N24"/>
  <c r="O24"/>
  <c r="P24"/>
  <c r="Q24"/>
  <c r="R24"/>
  <c r="S24"/>
  <c r="T24"/>
  <c r="V24"/>
  <c r="W24"/>
  <c r="X24"/>
  <c r="Y24"/>
  <c r="Z24"/>
  <c r="AA24"/>
  <c r="AB24"/>
  <c r="AC24"/>
  <c r="I13"/>
  <c r="J13"/>
  <c r="K13"/>
  <c r="L13"/>
  <c r="M13"/>
  <c r="N13"/>
  <c r="O13"/>
  <c r="P13"/>
  <c r="R13"/>
  <c r="S13"/>
  <c r="T13"/>
  <c r="V13"/>
  <c r="W13"/>
  <c r="Y13"/>
  <c r="AA13"/>
  <c r="AB13"/>
  <c r="I14"/>
  <c r="K14"/>
  <c r="L14"/>
  <c r="M14"/>
  <c r="N14"/>
  <c r="O14"/>
  <c r="P14"/>
  <c r="R14"/>
  <c r="S14"/>
  <c r="T14"/>
  <c r="U14"/>
  <c r="V14"/>
  <c r="W14"/>
  <c r="X14"/>
  <c r="Y14"/>
  <c r="Z14"/>
  <c r="AA14"/>
  <c r="AB14"/>
  <c r="AC14"/>
  <c r="I15"/>
  <c r="J15"/>
  <c r="K15"/>
  <c r="L15"/>
  <c r="M15"/>
  <c r="N15"/>
  <c r="O15"/>
  <c r="P15"/>
  <c r="Q15"/>
  <c r="R15"/>
  <c r="S15"/>
  <c r="T15"/>
  <c r="U15"/>
  <c r="W15"/>
  <c r="Y15"/>
  <c r="Z15"/>
  <c r="AA15"/>
  <c r="AB15"/>
  <c r="AC15"/>
  <c r="J16"/>
  <c r="L16"/>
  <c r="M16"/>
  <c r="Q16"/>
  <c r="S16"/>
  <c r="U16"/>
  <c r="V16"/>
  <c r="Y16"/>
  <c r="AA16"/>
  <c r="AC16"/>
  <c r="J17"/>
  <c r="K17"/>
  <c r="L17"/>
  <c r="R17"/>
  <c r="V17"/>
  <c r="X17"/>
  <c r="AC17"/>
  <c r="I18"/>
  <c r="J18"/>
  <c r="K18"/>
  <c r="L18"/>
  <c r="N18"/>
  <c r="O18"/>
  <c r="Q18"/>
  <c r="R18"/>
  <c r="T18"/>
  <c r="V18"/>
  <c r="W18"/>
  <c r="X18"/>
  <c r="Y18"/>
  <c r="AA18"/>
  <c r="AC18"/>
  <c r="H14"/>
  <c r="H15"/>
  <c r="H16"/>
  <c r="H17"/>
  <c r="H18"/>
  <c r="H13"/>
  <c r="AC19"/>
  <c r="X19"/>
  <c r="W19"/>
  <c r="T19"/>
  <c r="S19"/>
  <c r="P19"/>
  <c r="L19"/>
  <c r="K16"/>
  <c r="H19"/>
  <c r="G31" i="4"/>
  <c r="D31" s="1"/>
  <c r="E10"/>
  <c r="G6"/>
  <c r="D6" s="1"/>
  <c r="G7"/>
  <c r="D7" s="1"/>
  <c r="G5"/>
  <c r="D5" s="1"/>
  <c r="G8"/>
  <c r="D8"/>
  <c r="F10"/>
  <c r="G17"/>
  <c r="D17" s="1"/>
  <c r="E20"/>
  <c r="E22" s="1"/>
  <c r="E26" s="1"/>
  <c r="F10" i="3"/>
  <c r="F20" i="4"/>
  <c r="F22" s="1"/>
  <c r="F26" s="1"/>
  <c r="G13"/>
  <c r="D13" s="1"/>
  <c r="J19" i="3"/>
  <c r="E20" l="1"/>
  <c r="P20"/>
  <c r="P22" s="1"/>
  <c r="P26" s="1"/>
  <c r="G13"/>
  <c r="D13" s="1"/>
  <c r="M20"/>
  <c r="Q20"/>
  <c r="G18"/>
  <c r="D18" s="1"/>
  <c r="L10"/>
  <c r="Q10"/>
  <c r="Y20"/>
  <c r="J10"/>
  <c r="O20"/>
  <c r="E10"/>
  <c r="W20"/>
  <c r="AB20"/>
  <c r="U10"/>
  <c r="U22" s="1"/>
  <c r="U26" s="1"/>
  <c r="Y10"/>
  <c r="AA20"/>
  <c r="G29"/>
  <c r="D29" s="1"/>
  <c r="G15"/>
  <c r="D15" s="1"/>
  <c r="G14"/>
  <c r="D14" s="1"/>
  <c r="J20"/>
  <c r="J22" s="1"/>
  <c r="J26" s="1"/>
  <c r="I10"/>
  <c r="AB10"/>
  <c r="X10"/>
  <c r="G9" i="4"/>
  <c r="D9" s="1"/>
  <c r="D10" s="1"/>
  <c r="M10" i="3"/>
  <c r="M22" s="1"/>
  <c r="M26" s="1"/>
  <c r="G18" i="4"/>
  <c r="D18" s="1"/>
  <c r="H9" i="3"/>
  <c r="G9" s="1"/>
  <c r="D9" s="1"/>
  <c r="U19" i="4"/>
  <c r="U19" i="3" s="1"/>
  <c r="U20" s="1"/>
  <c r="U24"/>
  <c r="G24" s="1"/>
  <c r="D24" s="1"/>
  <c r="Z10"/>
  <c r="V10"/>
  <c r="R10"/>
  <c r="N10"/>
  <c r="L20"/>
  <c r="L22" s="1"/>
  <c r="L26" s="1"/>
  <c r="T20"/>
  <c r="T22" s="1"/>
  <c r="T26" s="1"/>
  <c r="X20"/>
  <c r="AC20"/>
  <c r="G6"/>
  <c r="D6" s="1"/>
  <c r="W10"/>
  <c r="S10"/>
  <c r="O10"/>
  <c r="O22" s="1"/>
  <c r="O26" s="1"/>
  <c r="K10"/>
  <c r="AA10"/>
  <c r="G5"/>
  <c r="D5" s="1"/>
  <c r="F20"/>
  <c r="F22" s="1"/>
  <c r="F26" s="1"/>
  <c r="G8"/>
  <c r="D8" s="1"/>
  <c r="E22"/>
  <c r="E26" s="1"/>
  <c r="H20"/>
  <c r="G17"/>
  <c r="D17" s="1"/>
  <c r="N20"/>
  <c r="R20"/>
  <c r="S20"/>
  <c r="V20"/>
  <c r="Z20"/>
  <c r="Z22" s="1"/>
  <c r="Z26" s="1"/>
  <c r="Q22"/>
  <c r="Q26" s="1"/>
  <c r="AC22"/>
  <c r="AC26" s="1"/>
  <c r="K19"/>
  <c r="K20" s="1"/>
  <c r="G16"/>
  <c r="I20"/>
  <c r="I22" s="1"/>
  <c r="I26" s="1"/>
  <c r="G16" i="4"/>
  <c r="Y22" i="3" l="1"/>
  <c r="Y26" s="1"/>
  <c r="N22"/>
  <c r="N26" s="1"/>
  <c r="S22"/>
  <c r="S26" s="1"/>
  <c r="AB22"/>
  <c r="AB26" s="1"/>
  <c r="R22"/>
  <c r="R26" s="1"/>
  <c r="AA22"/>
  <c r="AA26" s="1"/>
  <c r="W22"/>
  <c r="W26" s="1"/>
  <c r="V22"/>
  <c r="V26" s="1"/>
  <c r="D10"/>
  <c r="H10"/>
  <c r="H22" s="1"/>
  <c r="H26" s="1"/>
  <c r="K22"/>
  <c r="K26" s="1"/>
  <c r="G10" i="4"/>
  <c r="G19"/>
  <c r="D19" s="1"/>
  <c r="X22" i="3"/>
  <c r="X26" s="1"/>
  <c r="G10"/>
  <c r="G19"/>
  <c r="D19" s="1"/>
  <c r="D16" i="4"/>
  <c r="D16" i="3"/>
  <c r="D20" i="4" l="1"/>
  <c r="D22" s="1"/>
  <c r="D26" s="1"/>
  <c r="G20"/>
  <c r="G22" s="1"/>
  <c r="G26" s="1"/>
  <c r="D20" i="3"/>
  <c r="D22" s="1"/>
  <c r="D26" s="1"/>
  <c r="G20"/>
  <c r="G22" s="1"/>
  <c r="G26" s="1"/>
</calcChain>
</file>

<file path=xl/comments1.xml><?xml version="1.0" encoding="utf-8"?>
<comments xmlns="http://schemas.openxmlformats.org/spreadsheetml/2006/main">
  <authors>
    <author>svobodpa</author>
    <author>trnecka</author>
  </authors>
  <commentLis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+1</t>
        </r>
      </text>
    </comment>
    <comment ref="K24" author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  <comment ref="D29" authorId="1">
      <text>
        <r>
          <rPr>
            <b/>
            <sz val="8"/>
            <color indexed="81"/>
            <rFont val="Tahoma"/>
            <family val="2"/>
            <charset val="238"/>
          </rPr>
          <t>trnecka:</t>
        </r>
        <r>
          <rPr>
            <sz val="8"/>
            <color indexed="81"/>
            <rFont val="Tahoma"/>
            <family val="2"/>
            <charset val="238"/>
          </rPr>
          <t xml:space="preserve">
1 020 239</t>
        </r>
      </text>
    </comment>
  </commentList>
</comments>
</file>

<file path=xl/sharedStrings.xml><?xml version="1.0" encoding="utf-8"?>
<sst xmlns="http://schemas.openxmlformats.org/spreadsheetml/2006/main" count="143" uniqueCount="76">
  <si>
    <t>Statutární</t>
  </si>
  <si>
    <t xml:space="preserve">Město </t>
  </si>
  <si>
    <t>městské</t>
  </si>
  <si>
    <t xml:space="preserve">č.ř. </t>
  </si>
  <si>
    <t>účet</t>
  </si>
  <si>
    <t xml:space="preserve"> Název finanční operace</t>
  </si>
  <si>
    <t xml:space="preserve">město </t>
  </si>
  <si>
    <t>účet DPH</t>
  </si>
  <si>
    <t>Jídelna MMB</t>
  </si>
  <si>
    <t>části</t>
  </si>
  <si>
    <t>Brno-střed</t>
  </si>
  <si>
    <t>Bohunice</t>
  </si>
  <si>
    <t>Starý</t>
  </si>
  <si>
    <t>Nový</t>
  </si>
  <si>
    <t>Kohoutovice</t>
  </si>
  <si>
    <t>Bosonohy</t>
  </si>
  <si>
    <t>Žabovřesky</t>
  </si>
  <si>
    <t xml:space="preserve"> Bystrc</t>
  </si>
  <si>
    <t>Komín</t>
  </si>
  <si>
    <t>Jundrov</t>
  </si>
  <si>
    <t>Brno-sever</t>
  </si>
  <si>
    <t>Maloměřice</t>
  </si>
  <si>
    <t>Židenice</t>
  </si>
  <si>
    <t>Černovice</t>
  </si>
  <si>
    <t xml:space="preserve"> Brno-jih</t>
  </si>
  <si>
    <t>Vinohrady</t>
  </si>
  <si>
    <t xml:space="preserve"> Líšeň</t>
  </si>
  <si>
    <t xml:space="preserve"> Slatina</t>
  </si>
  <si>
    <t>Chrlice</t>
  </si>
  <si>
    <t xml:space="preserve"> Královo</t>
  </si>
  <si>
    <t>Medlánky</t>
  </si>
  <si>
    <t>Řečkovice</t>
  </si>
  <si>
    <t>celkem</t>
  </si>
  <si>
    <t>klub zastupitelů</t>
  </si>
  <si>
    <t>Lískovec</t>
  </si>
  <si>
    <t>- Obřany</t>
  </si>
  <si>
    <t xml:space="preserve">   Pole</t>
  </si>
  <si>
    <t>Mokrá Hora</t>
  </si>
  <si>
    <t xml:space="preserve"> A: VÝNOSY  </t>
  </si>
  <si>
    <t>Výnosy z prodeje vlastních výrobků a služeb</t>
  </si>
  <si>
    <t>644-647</t>
  </si>
  <si>
    <t>Výnosy z prodeje dlouhodobého majetku a materiálu</t>
  </si>
  <si>
    <t>Ostatní výnosy</t>
  </si>
  <si>
    <t xml:space="preserve"> B: NÁKLADY   </t>
  </si>
  <si>
    <t xml:space="preserve">Spotřeba materiálu a energie </t>
  </si>
  <si>
    <t>Opravy a udržování</t>
  </si>
  <si>
    <t>512-518</t>
  </si>
  <si>
    <t>Služby</t>
  </si>
  <si>
    <t>52x</t>
  </si>
  <si>
    <t>Osobní náklady</t>
  </si>
  <si>
    <t>53x</t>
  </si>
  <si>
    <t>Daně a poplatky</t>
  </si>
  <si>
    <t>55x</t>
  </si>
  <si>
    <t>Odpisy, rezervy a opravné položky</t>
  </si>
  <si>
    <t>Ostatní náklady</t>
  </si>
  <si>
    <t xml:space="preserve"> Daň z příjmů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</si>
  <si>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</si>
  <si>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;</t>
  </si>
  <si>
    <t>Ostatní krátkodobé závazky</t>
  </si>
  <si>
    <t xml:space="preserve"> Ú h r n  výnosů (ř.1 až ř.5)  </t>
  </si>
  <si>
    <t>Výnosy z pronájmu</t>
  </si>
  <si>
    <t>ost. 6xx</t>
  </si>
  <si>
    <t>ost. 5xx</t>
  </si>
  <si>
    <t>Doplňkové ukazatele hospodaření:</t>
  </si>
  <si>
    <t>Stav běžného účtu vedlejší hospodářské činnosti k 31.12.</t>
  </si>
  <si>
    <t>Ostatní krátkodobé pohledávky (brutto)</t>
  </si>
  <si>
    <t xml:space="preserve">VÝNOSY  </t>
  </si>
  <si>
    <t xml:space="preserve">NÁKLADY   </t>
  </si>
  <si>
    <t>Výnosy z transferů</t>
  </si>
  <si>
    <t>19</t>
  </si>
  <si>
    <t>20</t>
  </si>
  <si>
    <t>18</t>
  </si>
  <si>
    <t xml:space="preserve"> Ú h r n  nákladů (ř.7 až ř.13)   </t>
  </si>
  <si>
    <t>Hospodářský výsledek před zdaněním (ř.6-ř.14)</t>
  </si>
  <si>
    <t>Hospodářský výsledek po zdanění (ř.15-ř.16)</t>
  </si>
  <si>
    <t>Hospodářský výsledek před zdaněním (ř.6 - ř.14)</t>
  </si>
</sst>
</file>

<file path=xl/styles.xml><?xml version="1.0" encoding="utf-8"?>
<styleSheet xmlns="http://schemas.openxmlformats.org/spreadsheetml/2006/main">
  <fonts count="19">
    <font>
      <sz val="12"/>
      <name val="Arial CE"/>
      <charset val="238"/>
    </font>
    <font>
      <sz val="10"/>
      <name val="Courier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"/>
      <family val="1"/>
      <charset val="238"/>
    </font>
    <font>
      <sz val="14"/>
      <name val="Arial CE"/>
      <family val="2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u/>
      <sz val="14"/>
      <name val="Times New Roman CE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0">
    <xf numFmtId="0" fontId="0" fillId="0" borderId="0" xfId="0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4" fontId="3" fillId="0" borderId="4" xfId="0" applyNumberFormat="1" applyFont="1" applyFill="1" applyBorder="1" applyProtection="1"/>
    <xf numFmtId="4" fontId="3" fillId="0" borderId="5" xfId="0" applyNumberFormat="1" applyFont="1" applyFill="1" applyBorder="1" applyProtection="1"/>
    <xf numFmtId="4" fontId="3" fillId="0" borderId="6" xfId="0" applyNumberFormat="1" applyFont="1" applyFill="1" applyBorder="1" applyProtection="1"/>
    <xf numFmtId="0" fontId="0" fillId="0" borderId="0" xfId="0" applyFill="1"/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4" fontId="2" fillId="0" borderId="15" xfId="0" applyNumberFormat="1" applyFont="1" applyFill="1" applyBorder="1" applyAlignment="1" applyProtection="1">
      <alignment horizontal="center"/>
    </xf>
    <xf numFmtId="4" fontId="2" fillId="0" borderId="11" xfId="0" applyNumberFormat="1" applyFont="1" applyFill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center"/>
    </xf>
    <xf numFmtId="4" fontId="2" fillId="0" borderId="16" xfId="0" applyNumberFormat="1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3" fillId="0" borderId="19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shrinkToFit="1"/>
    </xf>
    <xf numFmtId="0" fontId="2" fillId="0" borderId="22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0" fontId="2" fillId="0" borderId="14" xfId="0" applyFont="1" applyFill="1" applyBorder="1" applyProtection="1"/>
    <xf numFmtId="4" fontId="2" fillId="0" borderId="15" xfId="0" applyNumberFormat="1" applyFont="1" applyFill="1" applyBorder="1" applyProtection="1"/>
    <xf numFmtId="4" fontId="2" fillId="0" borderId="21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4" fontId="2" fillId="0" borderId="24" xfId="0" applyNumberFormat="1" applyFont="1" applyFill="1" applyBorder="1" applyProtection="1"/>
    <xf numFmtId="0" fontId="3" fillId="0" borderId="25" xfId="0" applyFont="1" applyFill="1" applyBorder="1" applyProtection="1"/>
    <xf numFmtId="0" fontId="3" fillId="0" borderId="26" xfId="0" applyFont="1" applyFill="1" applyBorder="1" applyProtection="1"/>
    <xf numFmtId="0" fontId="2" fillId="0" borderId="27" xfId="0" applyFont="1" applyFill="1" applyBorder="1" applyProtection="1"/>
    <xf numFmtId="3" fontId="2" fillId="0" borderId="26" xfId="0" applyNumberFormat="1" applyFont="1" applyFill="1" applyBorder="1" applyAlignment="1" applyProtection="1">
      <alignment horizontal="right"/>
    </xf>
    <xf numFmtId="3" fontId="2" fillId="0" borderId="28" xfId="0" applyNumberFormat="1" applyFont="1" applyFill="1" applyBorder="1" applyAlignment="1" applyProtection="1">
      <alignment horizontal="right"/>
    </xf>
    <xf numFmtId="3" fontId="2" fillId="0" borderId="29" xfId="0" applyNumberFormat="1" applyFont="1" applyFill="1" applyBorder="1" applyAlignment="1" applyProtection="1">
      <alignment horizontal="right"/>
    </xf>
    <xf numFmtId="3" fontId="3" fillId="0" borderId="30" xfId="0" applyNumberFormat="1" applyFont="1" applyFill="1" applyBorder="1" applyAlignment="1" applyProtection="1">
      <alignment horizontal="right"/>
    </xf>
    <xf numFmtId="3" fontId="3" fillId="0" borderId="31" xfId="0" applyNumberFormat="1" applyFont="1" applyFill="1" applyBorder="1" applyAlignment="1" applyProtection="1">
      <alignment horizontal="right"/>
    </xf>
    <xf numFmtId="3" fontId="3" fillId="0" borderId="32" xfId="0" applyNumberFormat="1" applyFont="1" applyFill="1" applyBorder="1" applyAlignment="1" applyProtection="1">
      <alignment horizontal="right"/>
    </xf>
    <xf numFmtId="3" fontId="3" fillId="0" borderId="33" xfId="0" applyNumberFormat="1" applyFont="1" applyFill="1" applyBorder="1" applyAlignment="1" applyProtection="1">
      <alignment horizontal="right"/>
    </xf>
    <xf numFmtId="4" fontId="3" fillId="0" borderId="33" xfId="0" applyNumberFormat="1" applyFont="1" applyFill="1" applyBorder="1" applyAlignment="1" applyProtection="1">
      <alignment horizontal="right"/>
    </xf>
    <xf numFmtId="4" fontId="3" fillId="0" borderId="34" xfId="0" applyNumberFormat="1" applyFont="1" applyFill="1" applyBorder="1" applyAlignment="1" applyProtection="1">
      <alignment horizontal="right"/>
    </xf>
    <xf numFmtId="3" fontId="3" fillId="0" borderId="35" xfId="0" applyNumberFormat="1" applyFont="1" applyFill="1" applyBorder="1" applyAlignment="1" applyProtection="1">
      <alignment horizontal="right"/>
    </xf>
    <xf numFmtId="4" fontId="3" fillId="0" borderId="36" xfId="0" applyNumberFormat="1" applyFont="1" applyFill="1" applyBorder="1" applyAlignment="1" applyProtection="1">
      <alignment horizontal="right"/>
    </xf>
    <xf numFmtId="4" fontId="3" fillId="0" borderId="35" xfId="0" applyNumberFormat="1" applyFont="1" applyFill="1" applyBorder="1" applyAlignment="1" applyProtection="1">
      <alignment horizontal="right"/>
    </xf>
    <xf numFmtId="4" fontId="3" fillId="0" borderId="37" xfId="0" applyNumberFormat="1" applyFont="1" applyFill="1" applyBorder="1" applyAlignment="1" applyProtection="1">
      <alignment horizontal="right"/>
    </xf>
    <xf numFmtId="3" fontId="3" fillId="0" borderId="38" xfId="0" applyNumberFormat="1" applyFont="1" applyFill="1" applyBorder="1" applyAlignment="1" applyProtection="1">
      <alignment horizontal="right"/>
    </xf>
    <xf numFmtId="0" fontId="3" fillId="0" borderId="25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27" xfId="0" applyFont="1" applyFill="1" applyBorder="1" applyProtection="1"/>
    <xf numFmtId="4" fontId="3" fillId="0" borderId="26" xfId="0" applyNumberFormat="1" applyFont="1" applyFill="1" applyBorder="1" applyAlignment="1" applyProtection="1">
      <alignment horizontal="right"/>
    </xf>
    <xf numFmtId="4" fontId="4" fillId="0" borderId="28" xfId="0" applyNumberFormat="1" applyFont="1" applyFill="1" applyBorder="1" applyAlignment="1" applyProtection="1">
      <alignment horizontal="right"/>
    </xf>
    <xf numFmtId="4" fontId="4" fillId="0" borderId="29" xfId="0" applyNumberFormat="1" applyFont="1" applyFill="1" applyBorder="1" applyAlignment="1" applyProtection="1">
      <alignment horizontal="right"/>
    </xf>
    <xf numFmtId="4" fontId="3" fillId="0" borderId="28" xfId="0" applyNumberFormat="1" applyFont="1" applyFill="1" applyBorder="1" applyAlignment="1" applyProtection="1">
      <alignment horizontal="right"/>
    </xf>
    <xf numFmtId="4" fontId="3" fillId="0" borderId="29" xfId="0" applyNumberFormat="1" applyFont="1" applyFill="1" applyBorder="1" applyAlignment="1" applyProtection="1">
      <alignment horizontal="right"/>
    </xf>
    <xf numFmtId="4" fontId="3" fillId="0" borderId="40" xfId="0" applyNumberFormat="1" applyFont="1" applyFill="1" applyBorder="1" applyAlignment="1" applyProtection="1">
      <alignment horizontal="right"/>
    </xf>
    <xf numFmtId="4" fontId="3" fillId="0" borderId="41" xfId="0" applyNumberFormat="1" applyFont="1" applyFill="1" applyBorder="1" applyAlignment="1" applyProtection="1">
      <alignment horizontal="right"/>
    </xf>
    <xf numFmtId="0" fontId="3" fillId="0" borderId="42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0" fontId="2" fillId="0" borderId="44" xfId="0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</xf>
    <xf numFmtId="0" fontId="2" fillId="0" borderId="46" xfId="0" applyFont="1" applyFill="1" applyBorder="1" applyProtection="1"/>
    <xf numFmtId="4" fontId="2" fillId="0" borderId="47" xfId="0" applyNumberFormat="1" applyFont="1" applyFill="1" applyBorder="1" applyAlignment="1" applyProtection="1">
      <alignment horizontal="right"/>
    </xf>
    <xf numFmtId="4" fontId="2" fillId="0" borderId="48" xfId="0" applyNumberFormat="1" applyFont="1" applyFill="1" applyBorder="1" applyAlignment="1" applyProtection="1">
      <alignment horizontal="right"/>
    </xf>
    <xf numFmtId="4" fontId="2" fillId="0" borderId="49" xfId="0" applyNumberFormat="1" applyFont="1" applyFill="1" applyBorder="1" applyAlignment="1" applyProtection="1">
      <alignment horizontal="right"/>
    </xf>
    <xf numFmtId="0" fontId="2" fillId="0" borderId="50" xfId="0" applyFont="1" applyFill="1" applyBorder="1" applyAlignment="1" applyProtection="1">
      <alignment horizontal="center"/>
    </xf>
    <xf numFmtId="0" fontId="2" fillId="0" borderId="51" xfId="0" applyFont="1" applyFill="1" applyBorder="1" applyAlignment="1" applyProtection="1">
      <alignment horizontal="center"/>
    </xf>
    <xf numFmtId="4" fontId="2" fillId="0" borderId="51" xfId="0" applyNumberFormat="1" applyFont="1" applyFill="1" applyBorder="1" applyAlignment="1" applyProtection="1">
      <alignment horizontal="right"/>
    </xf>
    <xf numFmtId="4" fontId="2" fillId="0" borderId="52" xfId="0" applyNumberFormat="1" applyFont="1" applyFill="1" applyBorder="1" applyAlignment="1" applyProtection="1">
      <alignment horizontal="right"/>
    </xf>
    <xf numFmtId="4" fontId="2" fillId="0" borderId="53" xfId="0" applyNumberFormat="1" applyFont="1" applyFill="1" applyBorder="1" applyAlignment="1" applyProtection="1">
      <alignment horizontal="right"/>
    </xf>
    <xf numFmtId="0" fontId="3" fillId="0" borderId="54" xfId="0" applyFont="1" applyFill="1" applyBorder="1" applyProtection="1"/>
    <xf numFmtId="0" fontId="3" fillId="0" borderId="51" xfId="0" applyFont="1" applyFill="1" applyBorder="1" applyProtection="1"/>
    <xf numFmtId="4" fontId="2" fillId="0" borderId="26" xfId="0" applyNumberFormat="1" applyFont="1" applyFill="1" applyBorder="1" applyAlignment="1" applyProtection="1">
      <alignment horizontal="right"/>
    </xf>
    <xf numFmtId="4" fontId="2" fillId="0" borderId="28" xfId="0" applyNumberFormat="1" applyFont="1" applyFill="1" applyBorder="1" applyAlignment="1" applyProtection="1">
      <alignment horizontal="right"/>
    </xf>
    <xf numFmtId="4" fontId="2" fillId="0" borderId="29" xfId="0" applyNumberFormat="1" applyFont="1" applyFill="1" applyBorder="1" applyAlignment="1" applyProtection="1">
      <alignment horizontal="right"/>
    </xf>
    <xf numFmtId="4" fontId="2" fillId="0" borderId="45" xfId="0" applyNumberFormat="1" applyFont="1" applyFill="1" applyBorder="1" applyAlignment="1" applyProtection="1">
      <alignment horizontal="right"/>
    </xf>
    <xf numFmtId="4" fontId="2" fillId="0" borderId="55" xfId="0" applyNumberFormat="1" applyFont="1" applyFill="1" applyBorder="1" applyAlignment="1" applyProtection="1">
      <alignment horizontal="right"/>
    </xf>
    <xf numFmtId="4" fontId="2" fillId="0" borderId="56" xfId="0" applyNumberFormat="1" applyFont="1" applyFill="1" applyBorder="1" applyAlignment="1" applyProtection="1">
      <alignment horizontal="right"/>
    </xf>
    <xf numFmtId="0" fontId="2" fillId="0" borderId="9" xfId="0" applyFont="1" applyFill="1" applyBorder="1" applyProtection="1"/>
    <xf numFmtId="4" fontId="2" fillId="0" borderId="8" xfId="0" applyNumberFormat="1" applyFont="1" applyFill="1" applyBorder="1" applyAlignment="1" applyProtection="1">
      <alignment horizontal="right"/>
    </xf>
    <xf numFmtId="4" fontId="2" fillId="0" borderId="12" xfId="0" applyNumberFormat="1" applyFont="1" applyFill="1" applyBorder="1" applyAlignment="1" applyProtection="1">
      <alignment horizontal="right"/>
    </xf>
    <xf numFmtId="4" fontId="2" fillId="0" borderId="57" xfId="0" applyNumberFormat="1" applyFont="1" applyFill="1" applyBorder="1" applyAlignment="1" applyProtection="1">
      <alignment horizontal="right"/>
    </xf>
    <xf numFmtId="4" fontId="2" fillId="0" borderId="58" xfId="0" applyNumberFormat="1" applyFont="1" applyFill="1" applyBorder="1" applyAlignment="1" applyProtection="1">
      <alignment horizontal="right"/>
    </xf>
    <xf numFmtId="0" fontId="2" fillId="0" borderId="59" xfId="0" applyFont="1" applyFill="1" applyBorder="1" applyProtection="1"/>
    <xf numFmtId="4" fontId="2" fillId="0" borderId="60" xfId="0" applyNumberFormat="1" applyFont="1" applyFill="1" applyBorder="1" applyAlignment="1" applyProtection="1">
      <alignment horizontal="right"/>
    </xf>
    <xf numFmtId="4" fontId="2" fillId="0" borderId="61" xfId="0" applyNumberFormat="1" applyFont="1" applyFill="1" applyBorder="1" applyAlignment="1" applyProtection="1">
      <alignment horizontal="right"/>
    </xf>
    <xf numFmtId="4" fontId="2" fillId="0" borderId="62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3" fillId="0" borderId="63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Protection="1"/>
    <xf numFmtId="4" fontId="7" fillId="0" borderId="0" xfId="0" applyNumberFormat="1" applyFont="1" applyFill="1" applyProtection="1"/>
    <xf numFmtId="4" fontId="8" fillId="0" borderId="0" xfId="0" applyNumberFormat="1" applyFont="1" applyFill="1"/>
    <xf numFmtId="4" fontId="0" fillId="0" borderId="0" xfId="0" applyNumberFormat="1" applyFill="1"/>
    <xf numFmtId="4" fontId="9" fillId="0" borderId="0" xfId="0" applyNumberFormat="1" applyFont="1" applyFill="1"/>
    <xf numFmtId="0" fontId="8" fillId="0" borderId="0" xfId="0" applyFont="1" applyFill="1"/>
    <xf numFmtId="0" fontId="3" fillId="0" borderId="64" xfId="0" applyFont="1" applyFill="1" applyBorder="1" applyProtection="1"/>
    <xf numFmtId="0" fontId="3" fillId="0" borderId="5" xfId="0" applyFont="1" applyFill="1" applyBorder="1" applyProtection="1"/>
    <xf numFmtId="0" fontId="3" fillId="0" borderId="65" xfId="0" applyFont="1" applyFill="1" applyBorder="1" applyProtection="1"/>
    <xf numFmtId="0" fontId="3" fillId="0" borderId="66" xfId="0" applyFont="1" applyFill="1" applyBorder="1" applyProtection="1"/>
    <xf numFmtId="0" fontId="3" fillId="0" borderId="4" xfId="0" applyFont="1" applyFill="1" applyBorder="1" applyProtection="1"/>
    <xf numFmtId="4" fontId="3" fillId="0" borderId="65" xfId="0" applyNumberFormat="1" applyFont="1" applyFill="1" applyBorder="1" applyProtection="1"/>
    <xf numFmtId="4" fontId="3" fillId="0" borderId="67" xfId="0" applyNumberFormat="1" applyFont="1" applyFill="1" applyBorder="1" applyProtection="1"/>
    <xf numFmtId="4" fontId="2" fillId="0" borderId="4" xfId="0" applyNumberFormat="1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4" fontId="2" fillId="0" borderId="57" xfId="0" applyNumberFormat="1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2" fillId="0" borderId="22" xfId="0" applyFont="1" applyFill="1" applyBorder="1" applyProtection="1"/>
    <xf numFmtId="0" fontId="2" fillId="0" borderId="21" xfId="0" applyFont="1" applyFill="1" applyBorder="1" applyProtection="1"/>
    <xf numFmtId="0" fontId="2" fillId="0" borderId="68" xfId="0" applyFont="1" applyFill="1" applyBorder="1" applyAlignment="1" applyProtection="1">
      <alignment horizontal="center"/>
    </xf>
    <xf numFmtId="0" fontId="2" fillId="0" borderId="69" xfId="0" applyFont="1" applyFill="1" applyBorder="1" applyAlignment="1" applyProtection="1">
      <alignment horizontal="center"/>
    </xf>
    <xf numFmtId="0" fontId="2" fillId="0" borderId="23" xfId="0" applyFont="1" applyFill="1" applyBorder="1" applyProtection="1"/>
    <xf numFmtId="4" fontId="2" fillId="0" borderId="21" xfId="0" applyNumberFormat="1" applyFont="1" applyFill="1" applyBorder="1" applyProtection="1"/>
    <xf numFmtId="4" fontId="2" fillId="0" borderId="68" xfId="0" applyNumberFormat="1" applyFont="1" applyFill="1" applyBorder="1" applyProtection="1"/>
    <xf numFmtId="4" fontId="2" fillId="0" borderId="70" xfId="0" applyNumberFormat="1" applyFont="1" applyFill="1" applyBorder="1" applyProtection="1"/>
    <xf numFmtId="4" fontId="2" fillId="0" borderId="71" xfId="0" applyNumberFormat="1" applyFont="1" applyFill="1" applyBorder="1" applyAlignment="1" applyProtection="1">
      <alignment horizontal="center"/>
    </xf>
    <xf numFmtId="3" fontId="2" fillId="0" borderId="27" xfId="0" applyNumberFormat="1" applyFont="1" applyFill="1" applyBorder="1" applyAlignment="1" applyProtection="1">
      <alignment horizontal="right"/>
    </xf>
    <xf numFmtId="3" fontId="3" fillId="0" borderId="72" xfId="0" applyNumberFormat="1" applyFont="1" applyFill="1" applyBorder="1" applyAlignment="1" applyProtection="1">
      <alignment horizontal="right"/>
    </xf>
    <xf numFmtId="3" fontId="3" fillId="0" borderId="29" xfId="0" applyNumberFormat="1" applyFont="1" applyFill="1" applyBorder="1" applyAlignment="1" applyProtection="1">
      <alignment horizontal="right"/>
    </xf>
    <xf numFmtId="4" fontId="3" fillId="0" borderId="73" xfId="0" applyNumberFormat="1" applyFont="1" applyFill="1" applyBorder="1" applyAlignment="1" applyProtection="1">
      <alignment horizontal="right"/>
    </xf>
    <xf numFmtId="4" fontId="3" fillId="0" borderId="74" xfId="0" applyNumberFormat="1" applyFont="1" applyFill="1" applyBorder="1" applyAlignment="1" applyProtection="1">
      <alignment horizontal="right"/>
    </xf>
    <xf numFmtId="4" fontId="3" fillId="0" borderId="72" xfId="0" applyNumberFormat="1" applyFont="1" applyFill="1" applyBorder="1" applyAlignment="1" applyProtection="1">
      <alignment horizontal="right"/>
    </xf>
    <xf numFmtId="4" fontId="3" fillId="0" borderId="75" xfId="0" applyNumberFormat="1" applyFont="1" applyFill="1" applyBorder="1" applyAlignment="1" applyProtection="1">
      <alignment horizontal="right"/>
    </xf>
    <xf numFmtId="4" fontId="3" fillId="0" borderId="76" xfId="0" applyNumberFormat="1" applyFont="1" applyFill="1" applyBorder="1" applyAlignment="1" applyProtection="1">
      <alignment horizontal="right"/>
    </xf>
    <xf numFmtId="4" fontId="3" fillId="0" borderId="77" xfId="0" applyNumberFormat="1" applyFont="1" applyFill="1" applyBorder="1" applyAlignment="1" applyProtection="1">
      <alignment horizontal="right"/>
    </xf>
    <xf numFmtId="4" fontId="2" fillId="0" borderId="78" xfId="0" applyNumberFormat="1" applyFont="1" applyFill="1" applyBorder="1" applyAlignment="1" applyProtection="1">
      <alignment horizontal="right"/>
    </xf>
    <xf numFmtId="4" fontId="3" fillId="0" borderId="79" xfId="0" applyNumberFormat="1" applyFont="1" applyFill="1" applyBorder="1" applyAlignment="1" applyProtection="1">
      <alignment horizontal="right"/>
    </xf>
    <xf numFmtId="4" fontId="3" fillId="0" borderId="80" xfId="0" applyNumberFormat="1" applyFont="1" applyFill="1" applyBorder="1" applyAlignment="1" applyProtection="1">
      <alignment horizontal="right"/>
    </xf>
    <xf numFmtId="4" fontId="3" fillId="0" borderId="53" xfId="0" applyNumberFormat="1" applyFont="1" applyFill="1" applyBorder="1" applyAlignment="1" applyProtection="1">
      <alignment horizontal="right"/>
    </xf>
    <xf numFmtId="4" fontId="3" fillId="0" borderId="82" xfId="0" applyNumberFormat="1" applyFont="1" applyFill="1" applyBorder="1" applyAlignment="1" applyProtection="1">
      <alignment horizontal="right"/>
    </xf>
    <xf numFmtId="4" fontId="3" fillId="0" borderId="83" xfId="0" applyNumberFormat="1" applyFont="1" applyFill="1" applyBorder="1" applyAlignment="1" applyProtection="1">
      <alignment horizontal="right"/>
    </xf>
    <xf numFmtId="4" fontId="2" fillId="0" borderId="27" xfId="0" applyNumberFormat="1" applyFont="1" applyFill="1" applyBorder="1" applyAlignment="1" applyProtection="1">
      <alignment horizontal="right"/>
    </xf>
    <xf numFmtId="4" fontId="2" fillId="0" borderId="9" xfId="0" applyNumberFormat="1" applyFont="1" applyFill="1" applyBorder="1" applyAlignment="1" applyProtection="1">
      <alignment horizontal="right"/>
    </xf>
    <xf numFmtId="4" fontId="2" fillId="0" borderId="84" xfId="0" applyNumberFormat="1" applyFont="1" applyFill="1" applyBorder="1" applyAlignment="1" applyProtection="1">
      <alignment horizontal="right"/>
    </xf>
    <xf numFmtId="3" fontId="3" fillId="0" borderId="67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3" fontId="3" fillId="0" borderId="26" xfId="0" applyNumberFormat="1" applyFont="1" applyFill="1" applyBorder="1" applyAlignment="1" applyProtection="1">
      <alignment horizontal="right"/>
    </xf>
    <xf numFmtId="3" fontId="4" fillId="0" borderId="29" xfId="0" applyNumberFormat="1" applyFont="1" applyFill="1" applyBorder="1" applyAlignment="1" applyProtection="1">
      <alignment horizontal="right"/>
    </xf>
    <xf numFmtId="3" fontId="3" fillId="0" borderId="28" xfId="0" applyNumberFormat="1" applyFont="1" applyFill="1" applyBorder="1" applyAlignment="1" applyProtection="1">
      <alignment horizontal="right"/>
    </xf>
    <xf numFmtId="3" fontId="3" fillId="0" borderId="85" xfId="0" applyNumberFormat="1" applyFont="1" applyFill="1" applyBorder="1" applyAlignment="1" applyProtection="1">
      <alignment horizontal="right"/>
    </xf>
    <xf numFmtId="3" fontId="3" fillId="0" borderId="86" xfId="0" applyNumberFormat="1" applyFont="1" applyFill="1" applyBorder="1" applyAlignment="1" applyProtection="1">
      <alignment horizontal="right"/>
    </xf>
    <xf numFmtId="3" fontId="3" fillId="0" borderId="87" xfId="0" applyNumberFormat="1" applyFont="1" applyFill="1" applyBorder="1" applyAlignment="1" applyProtection="1">
      <alignment horizontal="right"/>
    </xf>
    <xf numFmtId="3" fontId="3" fillId="0" borderId="88" xfId="0" applyNumberFormat="1" applyFont="1" applyFill="1" applyBorder="1" applyAlignment="1" applyProtection="1">
      <alignment horizontal="right"/>
    </xf>
    <xf numFmtId="3" fontId="3" fillId="0" borderId="40" xfId="0" applyNumberFormat="1" applyFont="1" applyFill="1" applyBorder="1" applyAlignment="1" applyProtection="1">
      <alignment horizontal="right"/>
    </xf>
    <xf numFmtId="3" fontId="3" fillId="0" borderId="41" xfId="0" applyNumberFormat="1" applyFont="1" applyFill="1" applyBorder="1" applyAlignment="1" applyProtection="1">
      <alignment horizontal="right"/>
    </xf>
    <xf numFmtId="3" fontId="3" fillId="0" borderId="89" xfId="0" applyNumberFormat="1" applyFont="1" applyFill="1" applyBorder="1" applyAlignment="1" applyProtection="1">
      <alignment horizontal="right"/>
    </xf>
    <xf numFmtId="3" fontId="3" fillId="0" borderId="90" xfId="0" applyNumberFormat="1" applyFont="1" applyFill="1" applyBorder="1" applyAlignment="1" applyProtection="1">
      <alignment horizontal="right"/>
    </xf>
    <xf numFmtId="3" fontId="2" fillId="0" borderId="47" xfId="0" applyNumberFormat="1" applyFont="1" applyFill="1" applyBorder="1" applyAlignment="1" applyProtection="1">
      <alignment horizontal="right"/>
    </xf>
    <xf numFmtId="3" fontId="2" fillId="0" borderId="48" xfId="0" applyNumberFormat="1" applyFont="1" applyFill="1" applyBorder="1" applyAlignment="1" applyProtection="1">
      <alignment horizontal="right"/>
    </xf>
    <xf numFmtId="3" fontId="2" fillId="0" borderId="49" xfId="0" applyNumberFormat="1" applyFont="1" applyFill="1" applyBorder="1" applyAlignment="1" applyProtection="1">
      <alignment horizontal="right"/>
    </xf>
    <xf numFmtId="3" fontId="2" fillId="0" borderId="91" xfId="0" applyNumberFormat="1" applyFont="1" applyFill="1" applyBorder="1" applyAlignment="1" applyProtection="1">
      <alignment horizontal="right"/>
    </xf>
    <xf numFmtId="3" fontId="5" fillId="0" borderId="92" xfId="0" applyNumberFormat="1" applyFont="1" applyFill="1" applyBorder="1" applyAlignment="1" applyProtection="1">
      <alignment horizontal="right"/>
    </xf>
    <xf numFmtId="3" fontId="5" fillId="0" borderId="93" xfId="0" applyNumberFormat="1" applyFont="1" applyFill="1" applyBorder="1" applyAlignment="1" applyProtection="1">
      <alignment horizontal="right"/>
    </xf>
    <xf numFmtId="3" fontId="5" fillId="0" borderId="94" xfId="0" applyNumberFormat="1" applyFont="1" applyFill="1" applyBorder="1" applyAlignment="1" applyProtection="1">
      <alignment horizontal="right"/>
    </xf>
    <xf numFmtId="3" fontId="5" fillId="0" borderId="48" xfId="0" applyNumberFormat="1" applyFont="1" applyFill="1" applyBorder="1" applyAlignment="1" applyProtection="1">
      <alignment horizontal="right"/>
    </xf>
    <xf numFmtId="3" fontId="5" fillId="0" borderId="47" xfId="0" applyNumberFormat="1" applyFont="1" applyFill="1" applyBorder="1" applyAlignment="1" applyProtection="1">
      <alignment horizontal="right"/>
    </xf>
    <xf numFmtId="3" fontId="2" fillId="0" borderId="51" xfId="0" applyNumberFormat="1" applyFont="1" applyFill="1" applyBorder="1" applyAlignment="1" applyProtection="1">
      <alignment horizontal="right"/>
    </xf>
    <xf numFmtId="3" fontId="2" fillId="0" borderId="52" xfId="0" applyNumberFormat="1" applyFont="1" applyFill="1" applyBorder="1" applyAlignment="1" applyProtection="1">
      <alignment horizontal="right"/>
    </xf>
    <xf numFmtId="3" fontId="2" fillId="0" borderId="53" xfId="0" applyNumberFormat="1" applyFont="1" applyFill="1" applyBorder="1" applyAlignment="1" applyProtection="1">
      <alignment horizontal="right"/>
    </xf>
    <xf numFmtId="3" fontId="3" fillId="0" borderId="95" xfId="0" applyNumberFormat="1" applyFont="1" applyFill="1" applyBorder="1" applyAlignment="1" applyProtection="1">
      <alignment horizontal="right"/>
    </xf>
    <xf numFmtId="3" fontId="3" fillId="0" borderId="96" xfId="0" applyNumberFormat="1" applyFont="1" applyFill="1" applyBorder="1" applyAlignment="1" applyProtection="1">
      <alignment horizontal="right"/>
    </xf>
    <xf numFmtId="3" fontId="3" fillId="0" borderId="97" xfId="0" applyNumberFormat="1" applyFont="1" applyFill="1" applyBorder="1" applyAlignment="1" applyProtection="1">
      <alignment horizontal="right"/>
    </xf>
    <xf numFmtId="3" fontId="3" fillId="0" borderId="98" xfId="0" applyNumberFormat="1" applyFont="1" applyFill="1" applyBorder="1" applyAlignment="1" applyProtection="1">
      <alignment horizontal="right"/>
    </xf>
    <xf numFmtId="3" fontId="3" fillId="0" borderId="99" xfId="0" applyNumberFormat="1" applyFont="1" applyFill="1" applyBorder="1" applyAlignment="1" applyProtection="1">
      <alignment horizontal="right"/>
    </xf>
    <xf numFmtId="3" fontId="3" fillId="0" borderId="100" xfId="0" applyNumberFormat="1" applyFont="1" applyFill="1" applyBorder="1" applyAlignment="1" applyProtection="1">
      <alignment horizontal="right"/>
    </xf>
    <xf numFmtId="3" fontId="2" fillId="0" borderId="45" xfId="0" applyNumberFormat="1" applyFont="1" applyFill="1" applyBorder="1" applyAlignment="1" applyProtection="1">
      <alignment horizontal="right"/>
    </xf>
    <xf numFmtId="3" fontId="2" fillId="0" borderId="55" xfId="0" applyNumberFormat="1" applyFont="1" applyFill="1" applyBorder="1" applyAlignment="1" applyProtection="1">
      <alignment horizontal="right"/>
    </xf>
    <xf numFmtId="3" fontId="2" fillId="0" borderId="56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Alignment="1" applyProtection="1">
      <alignment horizontal="right"/>
    </xf>
    <xf numFmtId="3" fontId="2" fillId="0" borderId="57" xfId="0" applyNumberFormat="1" applyFont="1" applyFill="1" applyBorder="1" applyAlignment="1" applyProtection="1">
      <alignment horizontal="right"/>
    </xf>
    <xf numFmtId="3" fontId="2" fillId="0" borderId="101" xfId="0" applyNumberFormat="1" applyFont="1" applyFill="1" applyBorder="1" applyAlignment="1" applyProtection="1">
      <alignment horizontal="right"/>
    </xf>
    <xf numFmtId="3" fontId="2" fillId="0" borderId="102" xfId="0" applyNumberFormat="1" applyFont="1" applyFill="1" applyBorder="1" applyAlignment="1" applyProtection="1">
      <alignment horizontal="right"/>
    </xf>
    <xf numFmtId="3" fontId="2" fillId="0" borderId="103" xfId="0" applyNumberFormat="1" applyFont="1" applyFill="1" applyBorder="1" applyAlignment="1" applyProtection="1">
      <alignment horizontal="right"/>
    </xf>
    <xf numFmtId="3" fontId="2" fillId="0" borderId="104" xfId="0" applyNumberFormat="1" applyFont="1" applyFill="1" applyBorder="1" applyAlignment="1" applyProtection="1">
      <alignment horizontal="right"/>
    </xf>
    <xf numFmtId="3" fontId="2" fillId="0" borderId="58" xfId="0" applyNumberFormat="1" applyFont="1" applyFill="1" applyBorder="1" applyAlignment="1" applyProtection="1">
      <alignment horizontal="right"/>
    </xf>
    <xf numFmtId="3" fontId="2" fillId="0" borderId="92" xfId="0" applyNumberFormat="1" applyFont="1" applyFill="1" applyBorder="1" applyAlignment="1" applyProtection="1">
      <alignment horizontal="right"/>
    </xf>
    <xf numFmtId="3" fontId="2" fillId="0" borderId="93" xfId="0" applyNumberFormat="1" applyFont="1" applyFill="1" applyBorder="1" applyAlignment="1" applyProtection="1">
      <alignment horizontal="right"/>
    </xf>
    <xf numFmtId="3" fontId="2" fillId="0" borderId="94" xfId="0" applyNumberFormat="1" applyFont="1" applyFill="1" applyBorder="1" applyAlignment="1" applyProtection="1">
      <alignment horizontal="right"/>
    </xf>
    <xf numFmtId="3" fontId="2" fillId="0" borderId="95" xfId="0" applyNumberFormat="1" applyFont="1" applyFill="1" applyBorder="1" applyAlignment="1" applyProtection="1">
      <alignment horizontal="right"/>
    </xf>
    <xf numFmtId="3" fontId="2" fillId="0" borderId="96" xfId="0" applyNumberFormat="1" applyFont="1" applyFill="1" applyBorder="1" applyAlignment="1" applyProtection="1">
      <alignment horizontal="right"/>
    </xf>
    <xf numFmtId="3" fontId="2" fillId="0" borderId="97" xfId="0" applyNumberFormat="1" applyFont="1" applyFill="1" applyBorder="1" applyAlignment="1" applyProtection="1">
      <alignment horizontal="right"/>
    </xf>
    <xf numFmtId="3" fontId="3" fillId="0" borderId="105" xfId="0" applyNumberFormat="1" applyFont="1" applyFill="1" applyBorder="1" applyAlignment="1" applyProtection="1">
      <alignment horizontal="right"/>
    </xf>
    <xf numFmtId="3" fontId="3" fillId="0" borderId="106" xfId="0" applyNumberFormat="1" applyFont="1" applyFill="1" applyBorder="1" applyAlignment="1" applyProtection="1">
      <alignment horizontal="right"/>
    </xf>
    <xf numFmtId="3" fontId="3" fillId="0" borderId="107" xfId="0" applyNumberFormat="1" applyFont="1" applyFill="1" applyBorder="1" applyAlignment="1" applyProtection="1">
      <alignment horizontal="right"/>
    </xf>
    <xf numFmtId="3" fontId="3" fillId="0" borderId="70" xfId="0" applyNumberFormat="1" applyFont="1" applyFill="1" applyBorder="1" applyAlignment="1" applyProtection="1">
      <alignment horizontal="right"/>
    </xf>
    <xf numFmtId="3" fontId="3" fillId="0" borderId="21" xfId="0" applyNumberFormat="1" applyFont="1" applyFill="1" applyBorder="1" applyAlignment="1" applyProtection="1">
      <alignment horizontal="right"/>
    </xf>
    <xf numFmtId="3" fontId="3" fillId="0" borderId="23" xfId="0" applyNumberFormat="1" applyFont="1" applyFill="1" applyBorder="1" applyAlignment="1" applyProtection="1">
      <alignment horizontal="right"/>
    </xf>
    <xf numFmtId="3" fontId="3" fillId="0" borderId="24" xfId="0" applyNumberFormat="1" applyFont="1" applyFill="1" applyBorder="1" applyAlignment="1" applyProtection="1">
      <alignment horizontal="right"/>
    </xf>
    <xf numFmtId="3" fontId="2" fillId="0" borderId="105" xfId="0" applyNumberFormat="1" applyFont="1" applyFill="1" applyBorder="1" applyAlignment="1" applyProtection="1">
      <alignment horizontal="right"/>
    </xf>
    <xf numFmtId="3" fontId="2" fillId="0" borderId="106" xfId="0" applyNumberFormat="1" applyFont="1" applyFill="1" applyBorder="1" applyAlignment="1" applyProtection="1">
      <alignment horizontal="right"/>
    </xf>
    <xf numFmtId="3" fontId="2" fillId="0" borderId="107" xfId="0" applyNumberFormat="1" applyFont="1" applyFill="1" applyBorder="1" applyAlignment="1" applyProtection="1">
      <alignment horizontal="right"/>
    </xf>
    <xf numFmtId="3" fontId="2" fillId="0" borderId="108" xfId="0" applyNumberFormat="1" applyFont="1" applyFill="1" applyBorder="1" applyAlignment="1" applyProtection="1">
      <alignment horizontal="right"/>
    </xf>
    <xf numFmtId="3" fontId="2" fillId="0" borderId="109" xfId="0" applyNumberFormat="1" applyFont="1" applyFill="1" applyBorder="1" applyAlignment="1" applyProtection="1">
      <alignment horizontal="right"/>
    </xf>
    <xf numFmtId="3" fontId="2" fillId="0" borderId="110" xfId="0" applyNumberFormat="1" applyFont="1" applyFill="1" applyBorder="1" applyAlignment="1" applyProtection="1">
      <alignment horizontal="right"/>
    </xf>
    <xf numFmtId="3" fontId="2" fillId="0" borderId="111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3" fontId="3" fillId="0" borderId="26" xfId="0" applyNumberFormat="1" applyFont="1" applyFill="1" applyBorder="1" applyAlignment="1" applyProtection="1">
      <alignment horizontal="center"/>
    </xf>
    <xf numFmtId="3" fontId="3" fillId="0" borderId="125" xfId="0" applyNumberFormat="1" applyFont="1" applyFill="1" applyBorder="1" applyAlignment="1" applyProtection="1">
      <alignment horizontal="right"/>
    </xf>
    <xf numFmtId="4" fontId="3" fillId="0" borderId="113" xfId="0" applyNumberFormat="1" applyFont="1" applyFill="1" applyBorder="1" applyProtection="1"/>
    <xf numFmtId="4" fontId="3" fillId="0" borderId="114" xfId="0" applyNumberFormat="1" applyFont="1" applyFill="1" applyBorder="1" applyAlignment="1" applyProtection="1">
      <alignment horizontal="right"/>
    </xf>
    <xf numFmtId="4" fontId="3" fillId="0" borderId="115" xfId="0" applyNumberFormat="1" applyFont="1" applyFill="1" applyBorder="1" applyAlignment="1" applyProtection="1">
      <alignment horizontal="right"/>
    </xf>
    <xf numFmtId="3" fontId="3" fillId="0" borderId="120" xfId="0" applyNumberFormat="1" applyFont="1" applyFill="1" applyBorder="1" applyAlignment="1" applyProtection="1">
      <alignment horizontal="center"/>
    </xf>
    <xf numFmtId="4" fontId="3" fillId="0" borderId="121" xfId="0" applyNumberFormat="1" applyFont="1" applyFill="1" applyBorder="1" applyAlignment="1" applyProtection="1">
      <alignment horizontal="right"/>
    </xf>
    <xf numFmtId="4" fontId="3" fillId="0" borderId="122" xfId="0" applyNumberFormat="1" applyFont="1" applyFill="1" applyBorder="1" applyAlignment="1" applyProtection="1">
      <alignment horizontal="right"/>
    </xf>
    <xf numFmtId="3" fontId="3" fillId="0" borderId="127" xfId="0" applyNumberFormat="1" applyFont="1" applyFill="1" applyBorder="1" applyAlignment="1" applyProtection="1">
      <alignment horizontal="right"/>
    </xf>
    <xf numFmtId="3" fontId="3" fillId="0" borderId="128" xfId="0" applyNumberFormat="1" applyFont="1" applyFill="1" applyBorder="1" applyAlignment="1" applyProtection="1">
      <alignment horizontal="right"/>
    </xf>
    <xf numFmtId="3" fontId="5" fillId="0" borderId="129" xfId="0" applyNumberFormat="1" applyFont="1" applyFill="1" applyBorder="1" applyAlignment="1" applyProtection="1">
      <alignment horizontal="right"/>
    </xf>
    <xf numFmtId="3" fontId="3" fillId="0" borderId="130" xfId="0" applyNumberFormat="1" applyFont="1" applyFill="1" applyBorder="1" applyAlignment="1" applyProtection="1">
      <alignment horizontal="right"/>
    </xf>
    <xf numFmtId="3" fontId="2" fillId="0" borderId="131" xfId="0" applyNumberFormat="1" applyFont="1" applyFill="1" applyBorder="1" applyAlignment="1" applyProtection="1">
      <alignment horizontal="right"/>
    </xf>
    <xf numFmtId="3" fontId="2" fillId="0" borderId="129" xfId="0" applyNumberFormat="1" applyFont="1" applyFill="1" applyBorder="1" applyAlignment="1" applyProtection="1">
      <alignment horizontal="right"/>
    </xf>
    <xf numFmtId="3" fontId="2" fillId="0" borderId="130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3" fontId="3" fillId="0" borderId="134" xfId="0" applyNumberFormat="1" applyFont="1" applyFill="1" applyBorder="1" applyAlignment="1" applyProtection="1">
      <alignment horizontal="right"/>
    </xf>
    <xf numFmtId="3" fontId="3" fillId="0" borderId="135" xfId="0" applyNumberFormat="1" applyFont="1" applyFill="1" applyBorder="1" applyAlignment="1" applyProtection="1">
      <alignment horizontal="right"/>
    </xf>
    <xf numFmtId="3" fontId="3" fillId="0" borderId="136" xfId="0" applyNumberFormat="1" applyFont="1" applyFill="1" applyBorder="1" applyAlignment="1" applyProtection="1">
      <alignment horizontal="right"/>
    </xf>
    <xf numFmtId="3" fontId="2" fillId="0" borderId="137" xfId="0" applyNumberFormat="1" applyFont="1" applyFill="1" applyBorder="1" applyAlignment="1" applyProtection="1">
      <alignment horizontal="right"/>
    </xf>
    <xf numFmtId="3" fontId="2" fillId="0" borderId="136" xfId="0" applyNumberFormat="1" applyFont="1" applyFill="1" applyBorder="1" applyAlignment="1" applyProtection="1">
      <alignment horizontal="right"/>
    </xf>
    <xf numFmtId="3" fontId="3" fillId="0" borderId="138" xfId="0" applyNumberFormat="1" applyFont="1" applyFill="1" applyBorder="1" applyAlignment="1" applyProtection="1">
      <alignment horizontal="right"/>
    </xf>
    <xf numFmtId="0" fontId="2" fillId="0" borderId="139" xfId="0" applyFont="1" applyFill="1" applyBorder="1" applyAlignment="1" applyProtection="1">
      <alignment horizontal="center"/>
    </xf>
    <xf numFmtId="3" fontId="3" fillId="0" borderId="140" xfId="0" applyNumberFormat="1" applyFont="1" applyFill="1" applyBorder="1" applyAlignment="1" applyProtection="1">
      <alignment horizontal="right"/>
    </xf>
    <xf numFmtId="3" fontId="2" fillId="0" borderId="140" xfId="0" applyNumberFormat="1" applyFont="1" applyFill="1" applyBorder="1" applyAlignment="1" applyProtection="1">
      <alignment horizontal="right"/>
    </xf>
    <xf numFmtId="4" fontId="2" fillId="0" borderId="23" xfId="0" applyNumberFormat="1" applyFont="1" applyFill="1" applyBorder="1" applyProtection="1"/>
    <xf numFmtId="4" fontId="2" fillId="0" borderId="101" xfId="0" applyNumberFormat="1" applyFont="1" applyFill="1" applyBorder="1" applyAlignment="1" applyProtection="1">
      <alignment horizontal="center"/>
    </xf>
    <xf numFmtId="4" fontId="2" fillId="0" borderId="101" xfId="0" applyNumberFormat="1" applyFont="1" applyFill="1" applyBorder="1" applyProtection="1"/>
    <xf numFmtId="4" fontId="3" fillId="0" borderId="141" xfId="0" applyNumberFormat="1" applyFont="1" applyFill="1" applyBorder="1" applyAlignment="1" applyProtection="1">
      <alignment horizontal="right"/>
    </xf>
    <xf numFmtId="3" fontId="3" fillId="0" borderId="142" xfId="0" applyNumberFormat="1" applyFont="1" applyFill="1" applyBorder="1" applyAlignment="1" applyProtection="1">
      <alignment horizontal="right"/>
    </xf>
    <xf numFmtId="3" fontId="3" fillId="0" borderId="143" xfId="0" applyNumberFormat="1" applyFont="1" applyFill="1" applyBorder="1" applyAlignment="1" applyProtection="1">
      <alignment horizontal="right"/>
    </xf>
    <xf numFmtId="3" fontId="3" fillId="0" borderId="144" xfId="0" applyNumberFormat="1" applyFont="1" applyFill="1" applyBorder="1" applyAlignment="1" applyProtection="1">
      <alignment horizontal="right"/>
    </xf>
    <xf numFmtId="3" fontId="2" fillId="0" borderId="144" xfId="0" applyNumberFormat="1" applyFont="1" applyFill="1" applyBorder="1" applyAlignment="1" applyProtection="1">
      <alignment horizontal="right"/>
    </xf>
    <xf numFmtId="4" fontId="2" fillId="0" borderId="102" xfId="0" applyNumberFormat="1" applyFont="1" applyFill="1" applyBorder="1" applyAlignment="1" applyProtection="1">
      <alignment horizontal="center"/>
    </xf>
    <xf numFmtId="4" fontId="2" fillId="0" borderId="103" xfId="0" applyNumberFormat="1" applyFont="1" applyFill="1" applyBorder="1" applyAlignment="1" applyProtection="1">
      <alignment horizontal="center"/>
    </xf>
    <xf numFmtId="4" fontId="2" fillId="0" borderId="102" xfId="0" applyNumberFormat="1" applyFont="1" applyFill="1" applyBorder="1" applyProtection="1"/>
    <xf numFmtId="3" fontId="3" fillId="0" borderId="141" xfId="0" applyNumberFormat="1" applyFont="1" applyFill="1" applyBorder="1" applyAlignment="1" applyProtection="1">
      <alignment horizontal="right"/>
    </xf>
    <xf numFmtId="3" fontId="3" fillId="0" borderId="145" xfId="0" applyNumberFormat="1" applyFont="1" applyFill="1" applyBorder="1" applyAlignment="1" applyProtection="1">
      <alignment horizontal="right"/>
    </xf>
    <xf numFmtId="3" fontId="3" fillId="0" borderId="146" xfId="0" applyNumberFormat="1" applyFont="1" applyFill="1" applyBorder="1" applyAlignment="1" applyProtection="1">
      <alignment horizontal="right"/>
    </xf>
    <xf numFmtId="3" fontId="3" fillId="0" borderId="147" xfId="0" applyNumberFormat="1" applyFont="1" applyFill="1" applyBorder="1" applyAlignment="1" applyProtection="1">
      <alignment horizontal="right"/>
    </xf>
    <xf numFmtId="3" fontId="3" fillId="0" borderId="148" xfId="0" applyNumberFormat="1" applyFont="1" applyFill="1" applyBorder="1" applyAlignment="1" applyProtection="1">
      <alignment horizontal="right"/>
    </xf>
    <xf numFmtId="3" fontId="3" fillId="0" borderId="149" xfId="0" applyNumberFormat="1" applyFont="1" applyFill="1" applyBorder="1" applyAlignment="1" applyProtection="1">
      <alignment horizontal="right"/>
    </xf>
    <xf numFmtId="3" fontId="3" fillId="0" borderId="150" xfId="0" applyNumberFormat="1" applyFont="1" applyFill="1" applyBorder="1" applyAlignment="1" applyProtection="1">
      <alignment horizontal="right"/>
    </xf>
    <xf numFmtId="3" fontId="2" fillId="0" borderId="151" xfId="0" applyNumberFormat="1" applyFont="1" applyFill="1" applyBorder="1" applyAlignment="1" applyProtection="1">
      <alignment horizontal="right"/>
    </xf>
    <xf numFmtId="3" fontId="2" fillId="0" borderId="149" xfId="0" applyNumberFormat="1" applyFont="1" applyFill="1" applyBorder="1" applyAlignment="1" applyProtection="1">
      <alignment horizontal="right"/>
    </xf>
    <xf numFmtId="3" fontId="3" fillId="0" borderId="152" xfId="0" applyNumberFormat="1" applyFont="1" applyFill="1" applyBorder="1" applyAlignment="1" applyProtection="1">
      <alignment horizontal="right"/>
    </xf>
    <xf numFmtId="3" fontId="3" fillId="0" borderId="153" xfId="0" applyNumberFormat="1" applyFont="1" applyFill="1" applyBorder="1" applyAlignment="1" applyProtection="1">
      <alignment horizontal="right"/>
    </xf>
    <xf numFmtId="3" fontId="3" fillId="0" borderId="103" xfId="0" applyNumberFormat="1" applyFont="1" applyFill="1" applyBorder="1" applyAlignment="1" applyProtection="1">
      <alignment horizontal="right"/>
    </xf>
    <xf numFmtId="3" fontId="2" fillId="0" borderId="154" xfId="0" applyNumberFormat="1" applyFont="1" applyFill="1" applyBorder="1" applyAlignment="1" applyProtection="1">
      <alignment horizontal="right"/>
    </xf>
    <xf numFmtId="3" fontId="2" fillId="0" borderId="155" xfId="0" applyNumberFormat="1" applyFont="1" applyFill="1" applyBorder="1" applyAlignment="1" applyProtection="1">
      <alignment horizontal="right"/>
    </xf>
    <xf numFmtId="3" fontId="2" fillId="0" borderId="156" xfId="0" applyNumberFormat="1" applyFont="1" applyFill="1" applyBorder="1" applyAlignment="1" applyProtection="1">
      <alignment horizontal="right"/>
    </xf>
    <xf numFmtId="0" fontId="2" fillId="0" borderId="104" xfId="0" applyFont="1" applyFill="1" applyBorder="1" applyAlignment="1" applyProtection="1">
      <alignment horizontal="center"/>
    </xf>
    <xf numFmtId="0" fontId="2" fillId="0" borderId="157" xfId="0" applyFont="1" applyFill="1" applyBorder="1" applyProtection="1"/>
    <xf numFmtId="3" fontId="3" fillId="0" borderId="158" xfId="0" applyNumberFormat="1" applyFont="1" applyFill="1" applyBorder="1" applyAlignment="1" applyProtection="1">
      <alignment horizontal="right"/>
    </xf>
    <xf numFmtId="3" fontId="3" fillId="0" borderId="159" xfId="0" applyNumberFormat="1" applyFont="1" applyFill="1" applyBorder="1" applyAlignment="1" applyProtection="1">
      <alignment horizontal="right"/>
    </xf>
    <xf numFmtId="3" fontId="3" fillId="0" borderId="160" xfId="0" applyNumberFormat="1" applyFont="1" applyFill="1" applyBorder="1" applyAlignment="1" applyProtection="1">
      <alignment horizontal="right"/>
    </xf>
    <xf numFmtId="3" fontId="3" fillId="0" borderId="161" xfId="0" applyNumberFormat="1" applyFont="1" applyFill="1" applyBorder="1" applyAlignment="1" applyProtection="1">
      <alignment horizontal="right"/>
    </xf>
    <xf numFmtId="3" fontId="2" fillId="0" borderId="160" xfId="0" applyNumberFormat="1" applyFont="1" applyFill="1" applyBorder="1" applyAlignment="1" applyProtection="1">
      <alignment horizontal="right"/>
    </xf>
    <xf numFmtId="0" fontId="2" fillId="0" borderId="101" xfId="0" applyFont="1" applyFill="1" applyBorder="1" applyAlignment="1" applyProtection="1">
      <alignment horizontal="center"/>
    </xf>
    <xf numFmtId="0" fontId="2" fillId="0" borderId="144" xfId="0" applyFont="1" applyFill="1" applyBorder="1" applyProtection="1"/>
    <xf numFmtId="0" fontId="2" fillId="0" borderId="162" xfId="0" applyFont="1" applyFill="1" applyBorder="1" applyProtection="1"/>
    <xf numFmtId="0" fontId="2" fillId="0" borderId="163" xfId="0" applyFont="1" applyFill="1" applyBorder="1" applyAlignment="1" applyProtection="1">
      <alignment horizontal="center"/>
    </xf>
    <xf numFmtId="0" fontId="2" fillId="0" borderId="162" xfId="0" applyFont="1" applyFill="1" applyBorder="1" applyAlignment="1" applyProtection="1">
      <alignment horizontal="center"/>
    </xf>
    <xf numFmtId="0" fontId="2" fillId="0" borderId="84" xfId="0" applyFont="1" applyFill="1" applyBorder="1" applyAlignment="1" applyProtection="1">
      <alignment horizontal="center"/>
    </xf>
    <xf numFmtId="0" fontId="3" fillId="0" borderId="164" xfId="0" applyFont="1" applyFill="1" applyBorder="1" applyProtection="1"/>
    <xf numFmtId="0" fontId="3" fillId="0" borderId="165" xfId="0" applyFont="1" applyFill="1" applyBorder="1" applyProtection="1"/>
    <xf numFmtId="0" fontId="3" fillId="0" borderId="166" xfId="0" applyFont="1" applyFill="1" applyBorder="1" applyProtection="1"/>
    <xf numFmtId="0" fontId="3" fillId="0" borderId="167" xfId="0" applyFont="1" applyFill="1" applyBorder="1" applyProtection="1"/>
    <xf numFmtId="0" fontId="3" fillId="0" borderId="168" xfId="0" applyFont="1" applyFill="1" applyBorder="1" applyProtection="1"/>
    <xf numFmtId="0" fontId="3" fillId="0" borderId="36" xfId="0" applyFont="1" applyFill="1" applyBorder="1" applyProtection="1"/>
    <xf numFmtId="4" fontId="3" fillId="0" borderId="169" xfId="0" applyNumberFormat="1" applyFont="1" applyFill="1" applyBorder="1" applyProtection="1"/>
    <xf numFmtId="4" fontId="3" fillId="0" borderId="164" xfId="0" applyNumberFormat="1" applyFont="1" applyFill="1" applyBorder="1" applyProtection="1"/>
    <xf numFmtId="4" fontId="3" fillId="0" borderId="36" xfId="0" applyNumberFormat="1" applyFont="1" applyFill="1" applyBorder="1" applyProtection="1"/>
    <xf numFmtId="4" fontId="3" fillId="0" borderId="168" xfId="0" applyNumberFormat="1" applyFont="1" applyFill="1" applyBorder="1" applyProtection="1"/>
    <xf numFmtId="4" fontId="2" fillId="0" borderId="36" xfId="0" applyNumberFormat="1" applyFont="1" applyFill="1" applyBorder="1" applyAlignment="1" applyProtection="1">
      <alignment horizontal="center"/>
    </xf>
    <xf numFmtId="4" fontId="3" fillId="0" borderId="170" xfId="0" applyNumberFormat="1" applyFont="1" applyFill="1" applyBorder="1" applyProtection="1"/>
    <xf numFmtId="4" fontId="3" fillId="0" borderId="171" xfId="0" applyNumberFormat="1" applyFont="1" applyFill="1" applyBorder="1" applyProtection="1"/>
    <xf numFmtId="4" fontId="3" fillId="0" borderId="172" xfId="0" applyNumberFormat="1" applyFont="1" applyFill="1" applyBorder="1" applyAlignment="1" applyProtection="1">
      <alignment horizontal="right"/>
    </xf>
    <xf numFmtId="4" fontId="3" fillId="0" borderId="173" xfId="0" applyNumberFormat="1" applyFont="1" applyFill="1" applyBorder="1" applyAlignment="1" applyProtection="1">
      <alignment horizontal="right"/>
    </xf>
    <xf numFmtId="49" fontId="3" fillId="0" borderId="112" xfId="0" applyNumberFormat="1" applyFont="1" applyFill="1" applyBorder="1" applyAlignment="1" applyProtection="1">
      <alignment horizontal="center"/>
    </xf>
    <xf numFmtId="49" fontId="3" fillId="0" borderId="118" xfId="0" applyNumberFormat="1" applyFont="1" applyFill="1" applyBorder="1" applyAlignment="1" applyProtection="1">
      <alignment horizontal="center"/>
    </xf>
    <xf numFmtId="49" fontId="3" fillId="0" borderId="119" xfId="0" applyNumberFormat="1" applyFont="1" applyFill="1" applyBorder="1" applyAlignment="1" applyProtection="1">
      <alignment horizontal="center"/>
    </xf>
    <xf numFmtId="3" fontId="3" fillId="0" borderId="174" xfId="0" applyNumberFormat="1" applyFont="1" applyFill="1" applyBorder="1" applyAlignment="1" applyProtection="1">
      <alignment horizontal="right"/>
    </xf>
    <xf numFmtId="3" fontId="2" fillId="0" borderId="175" xfId="0" applyNumberFormat="1" applyFont="1" applyFill="1" applyBorder="1" applyAlignment="1" applyProtection="1">
      <alignment horizontal="right"/>
    </xf>
    <xf numFmtId="3" fontId="2" fillId="0" borderId="176" xfId="0" applyNumberFormat="1" applyFont="1" applyFill="1" applyBorder="1" applyAlignment="1" applyProtection="1">
      <alignment horizontal="right"/>
    </xf>
    <xf numFmtId="3" fontId="2" fillId="0" borderId="177" xfId="0" applyNumberFormat="1" applyFont="1" applyFill="1" applyBorder="1" applyAlignment="1" applyProtection="1">
      <alignment horizontal="right"/>
    </xf>
    <xf numFmtId="0" fontId="2" fillId="0" borderId="178" xfId="0" applyFont="1" applyFill="1" applyBorder="1" applyProtection="1"/>
    <xf numFmtId="3" fontId="3" fillId="0" borderId="179" xfId="0" applyNumberFormat="1" applyFont="1" applyFill="1" applyBorder="1" applyAlignment="1" applyProtection="1">
      <alignment horizontal="right"/>
    </xf>
    <xf numFmtId="0" fontId="13" fillId="0" borderId="0" xfId="0" applyFont="1" applyFill="1"/>
    <xf numFmtId="0" fontId="3" fillId="0" borderId="27" xfId="0" applyFont="1" applyFill="1" applyBorder="1" applyAlignment="1" applyProtection="1">
      <alignment horizontal="left" shrinkToFit="1"/>
    </xf>
    <xf numFmtId="0" fontId="13" fillId="0" borderId="0" xfId="0" applyFont="1" applyFill="1" applyBorder="1"/>
    <xf numFmtId="0" fontId="3" fillId="0" borderId="181" xfId="0" applyFont="1" applyFill="1" applyBorder="1" applyAlignment="1" applyProtection="1">
      <alignment horizontal="left" shrinkToFit="1"/>
    </xf>
    <xf numFmtId="0" fontId="13" fillId="0" borderId="0" xfId="0" applyFont="1" applyFill="1" applyProtection="1"/>
    <xf numFmtId="4" fontId="13" fillId="0" borderId="0" xfId="0" applyNumberFormat="1" applyFont="1" applyFill="1"/>
    <xf numFmtId="3" fontId="3" fillId="0" borderId="74" xfId="0" applyNumberFormat="1" applyFont="1" applyFill="1" applyBorder="1" applyAlignment="1" applyProtection="1">
      <alignment horizontal="right"/>
    </xf>
    <xf numFmtId="3" fontId="3" fillId="0" borderId="81" xfId="0" applyNumberFormat="1" applyFont="1" applyFill="1" applyBorder="1" applyAlignment="1" applyProtection="1">
      <alignment horizontal="right"/>
    </xf>
    <xf numFmtId="3" fontId="3" fillId="0" borderId="73" xfId="0" applyNumberFormat="1" applyFont="1" applyFill="1" applyBorder="1" applyAlignment="1" applyProtection="1">
      <alignment horizontal="right"/>
    </xf>
    <xf numFmtId="3" fontId="3" fillId="0" borderId="182" xfId="0" applyNumberFormat="1" applyFont="1" applyFill="1" applyBorder="1" applyAlignment="1" applyProtection="1">
      <alignment horizontal="right"/>
    </xf>
    <xf numFmtId="4" fontId="2" fillId="0" borderId="168" xfId="0" applyNumberFormat="1" applyFont="1" applyFill="1" applyBorder="1" applyAlignment="1" applyProtection="1">
      <alignment horizontal="right"/>
    </xf>
    <xf numFmtId="4" fontId="2" fillId="0" borderId="183" xfId="0" applyNumberFormat="1" applyFont="1" applyFill="1" applyBorder="1" applyAlignment="1" applyProtection="1">
      <alignment horizontal="right"/>
    </xf>
    <xf numFmtId="4" fontId="2" fillId="0" borderId="184" xfId="0" applyNumberFormat="1" applyFont="1" applyFill="1" applyBorder="1" applyAlignment="1" applyProtection="1">
      <alignment horizontal="right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36" xfId="0" applyNumberFormat="1" applyFont="1" applyFill="1" applyBorder="1" applyAlignment="1" applyProtection="1">
      <alignment horizontal="right"/>
    </xf>
    <xf numFmtId="4" fontId="2" fillId="0" borderId="166" xfId="0" applyNumberFormat="1" applyFont="1" applyFill="1" applyBorder="1" applyAlignment="1" applyProtection="1">
      <alignment horizontal="right"/>
    </xf>
    <xf numFmtId="4" fontId="2" fillId="0" borderId="185" xfId="0" applyNumberFormat="1" applyFont="1" applyFill="1" applyBorder="1" applyAlignment="1" applyProtection="1">
      <alignment horizontal="right"/>
    </xf>
    <xf numFmtId="4" fontId="2" fillId="0" borderId="80" xfId="0" applyNumberFormat="1" applyFont="1" applyFill="1" applyBorder="1" applyAlignment="1" applyProtection="1">
      <alignment horizontal="right"/>
    </xf>
    <xf numFmtId="4" fontId="2" fillId="0" borderId="13" xfId="0" applyNumberFormat="1" applyFont="1" applyFill="1" applyBorder="1" applyAlignment="1" applyProtection="1">
      <alignment horizontal="right"/>
    </xf>
    <xf numFmtId="4" fontId="2" fillId="0" borderId="14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4" fontId="2" fillId="0" borderId="83" xfId="0" applyNumberFormat="1" applyFont="1" applyFill="1" applyBorder="1" applyAlignment="1" applyProtection="1">
      <alignment horizontal="right"/>
    </xf>
    <xf numFmtId="4" fontId="3" fillId="0" borderId="22" xfId="0" applyNumberFormat="1" applyFont="1" applyFill="1" applyBorder="1" applyAlignment="1" applyProtection="1">
      <alignment horizontal="right"/>
    </xf>
    <xf numFmtId="4" fontId="3" fillId="0" borderId="186" xfId="0" applyNumberFormat="1" applyFont="1" applyFill="1" applyBorder="1" applyAlignment="1" applyProtection="1">
      <alignment horizontal="right"/>
    </xf>
    <xf numFmtId="4" fontId="3" fillId="0" borderId="68" xfId="0" applyNumberFormat="1" applyFont="1" applyFill="1" applyBorder="1" applyAlignment="1" applyProtection="1">
      <alignment horizontal="right"/>
    </xf>
    <xf numFmtId="4" fontId="3" fillId="0" borderId="13" xfId="0" applyNumberFormat="1" applyFont="1" applyFill="1" applyBorder="1" applyAlignment="1" applyProtection="1">
      <alignment horizontal="right"/>
    </xf>
    <xf numFmtId="4" fontId="3" fillId="0" borderId="11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" fontId="3" fillId="0" borderId="21" xfId="0" applyNumberFormat="1" applyFont="1" applyFill="1" applyBorder="1" applyAlignment="1" applyProtection="1">
      <alignment horizontal="right"/>
    </xf>
    <xf numFmtId="4" fontId="3" fillId="0" borderId="70" xfId="0" applyNumberFormat="1" applyFont="1" applyFill="1" applyBorder="1" applyAlignment="1" applyProtection="1">
      <alignment horizontal="right"/>
    </xf>
    <xf numFmtId="4" fontId="3" fillId="0" borderId="185" xfId="0" applyNumberFormat="1" applyFont="1" applyFill="1" applyBorder="1" applyAlignment="1" applyProtection="1">
      <alignment horizontal="right"/>
    </xf>
    <xf numFmtId="0" fontId="2" fillId="0" borderId="187" xfId="0" applyFont="1" applyFill="1" applyBorder="1" applyAlignment="1" applyProtection="1">
      <alignment horizontal="center"/>
    </xf>
    <xf numFmtId="0" fontId="2" fillId="0" borderId="60" xfId="0" applyFont="1" applyFill="1" applyBorder="1" applyAlignment="1" applyProtection="1">
      <alignment horizontal="center"/>
    </xf>
    <xf numFmtId="3" fontId="3" fillId="0" borderId="180" xfId="0" applyNumberFormat="1" applyFont="1" applyFill="1" applyBorder="1" applyAlignment="1" applyProtection="1">
      <alignment horizontal="center"/>
    </xf>
    <xf numFmtId="4" fontId="3" fillId="0" borderId="27" xfId="0" applyNumberFormat="1" applyFont="1" applyFill="1" applyBorder="1" applyAlignment="1" applyProtection="1">
      <alignment horizontal="left" shrinkToFit="1"/>
    </xf>
    <xf numFmtId="4" fontId="3" fillId="0" borderId="27" xfId="0" applyNumberFormat="1" applyFont="1" applyFill="1" applyBorder="1" applyAlignment="1" applyProtection="1">
      <alignment horizontal="right"/>
    </xf>
    <xf numFmtId="4" fontId="3" fillId="0" borderId="182" xfId="0" applyNumberFormat="1" applyFont="1" applyFill="1" applyBorder="1" applyAlignment="1" applyProtection="1">
      <alignment horizontal="right"/>
    </xf>
    <xf numFmtId="4" fontId="15" fillId="0" borderId="72" xfId="0" applyNumberFormat="1" applyFont="1" applyFill="1" applyBorder="1" applyAlignment="1" applyProtection="1">
      <alignment horizontal="right"/>
    </xf>
    <xf numFmtId="4" fontId="3" fillId="0" borderId="63" xfId="0" applyNumberFormat="1" applyFont="1" applyFill="1" applyBorder="1" applyAlignment="1" applyProtection="1">
      <alignment horizontal="right"/>
    </xf>
    <xf numFmtId="4" fontId="3" fillId="0" borderId="188" xfId="0" applyNumberFormat="1" applyFont="1" applyFill="1" applyBorder="1" applyAlignment="1" applyProtection="1">
      <alignment horizontal="right"/>
    </xf>
    <xf numFmtId="4" fontId="3" fillId="0" borderId="189" xfId="0" applyNumberFormat="1" applyFont="1" applyFill="1" applyBorder="1" applyAlignment="1" applyProtection="1">
      <alignment horizontal="right"/>
    </xf>
    <xf numFmtId="4" fontId="3" fillId="0" borderId="43" xfId="0" applyNumberFormat="1" applyFont="1" applyFill="1" applyBorder="1" applyAlignment="1" applyProtection="1">
      <alignment horizontal="right"/>
    </xf>
    <xf numFmtId="4" fontId="2" fillId="0" borderId="190" xfId="0" applyNumberFormat="1" applyFont="1" applyFill="1" applyBorder="1" applyAlignment="1" applyProtection="1">
      <alignment horizontal="right"/>
    </xf>
    <xf numFmtId="4" fontId="2" fillId="0" borderId="191" xfId="0" applyNumberFormat="1" applyFont="1" applyFill="1" applyBorder="1" applyAlignment="1" applyProtection="1">
      <alignment horizontal="right"/>
    </xf>
    <xf numFmtId="4" fontId="2" fillId="0" borderId="192" xfId="0" applyNumberFormat="1" applyFont="1" applyFill="1" applyBorder="1" applyAlignment="1" applyProtection="1">
      <alignment horizontal="right"/>
    </xf>
    <xf numFmtId="4" fontId="2" fillId="0" borderId="193" xfId="0" applyNumberFormat="1" applyFont="1" applyFill="1" applyBorder="1" applyAlignment="1" applyProtection="1">
      <alignment horizontal="right"/>
    </xf>
    <xf numFmtId="4" fontId="2" fillId="0" borderId="194" xfId="0" applyNumberFormat="1" applyFont="1" applyFill="1" applyBorder="1" applyAlignment="1" applyProtection="1">
      <alignment horizontal="right"/>
    </xf>
    <xf numFmtId="4" fontId="2" fillId="0" borderId="195" xfId="0" applyNumberFormat="1" applyFont="1" applyFill="1" applyBorder="1" applyAlignment="1" applyProtection="1">
      <alignment horizontal="right"/>
    </xf>
    <xf numFmtId="4" fontId="3" fillId="0" borderId="153" xfId="0" applyNumberFormat="1" applyFont="1" applyFill="1" applyBorder="1" applyAlignment="1" applyProtection="1">
      <alignment horizontal="right"/>
    </xf>
    <xf numFmtId="4" fontId="5" fillId="0" borderId="196" xfId="0" applyNumberFormat="1" applyFont="1" applyFill="1" applyBorder="1" applyAlignment="1" applyProtection="1">
      <alignment horizontal="right"/>
    </xf>
    <xf numFmtId="4" fontId="2" fillId="0" borderId="46" xfId="0" applyNumberFormat="1" applyFont="1" applyFill="1" applyBorder="1" applyAlignment="1" applyProtection="1">
      <alignment horizontal="right"/>
    </xf>
    <xf numFmtId="4" fontId="3" fillId="0" borderId="197" xfId="0" applyNumberFormat="1" applyFont="1" applyFill="1" applyBorder="1" applyAlignment="1" applyProtection="1">
      <alignment horizontal="right"/>
    </xf>
    <xf numFmtId="4" fontId="3" fillId="0" borderId="198" xfId="0" applyNumberFormat="1" applyFont="1" applyFill="1" applyBorder="1" applyAlignment="1" applyProtection="1">
      <alignment horizontal="right"/>
    </xf>
    <xf numFmtId="4" fontId="3" fillId="0" borderId="199" xfId="0" applyNumberFormat="1" applyFont="1" applyFill="1" applyBorder="1" applyAlignment="1" applyProtection="1">
      <alignment horizontal="right"/>
    </xf>
    <xf numFmtId="4" fontId="2" fillId="0" borderId="59" xfId="0" applyNumberFormat="1" applyFont="1" applyFill="1" applyBorder="1" applyAlignment="1" applyProtection="1">
      <alignment horizontal="right"/>
    </xf>
    <xf numFmtId="4" fontId="2" fillId="0" borderId="200" xfId="0" applyNumberFormat="1" applyFont="1" applyFill="1" applyBorder="1" applyAlignment="1" applyProtection="1">
      <alignment horizontal="right"/>
    </xf>
    <xf numFmtId="4" fontId="2" fillId="0" borderId="201" xfId="0" applyNumberFormat="1" applyFont="1" applyFill="1" applyBorder="1" applyAlignment="1" applyProtection="1">
      <alignment horizontal="right"/>
    </xf>
    <xf numFmtId="4" fontId="2" fillId="0" borderId="202" xfId="0" applyNumberFormat="1" applyFont="1" applyFill="1" applyBorder="1" applyAlignment="1" applyProtection="1">
      <alignment horizontal="right"/>
    </xf>
    <xf numFmtId="4" fontId="2" fillId="0" borderId="203" xfId="0" applyNumberFormat="1" applyFont="1" applyFill="1" applyBorder="1" applyAlignment="1" applyProtection="1">
      <alignment horizontal="right"/>
    </xf>
    <xf numFmtId="4" fontId="2" fillId="0" borderId="204" xfId="0" applyNumberFormat="1" applyFont="1" applyFill="1" applyBorder="1" applyAlignment="1" applyProtection="1">
      <alignment horizontal="right"/>
    </xf>
    <xf numFmtId="4" fontId="3" fillId="0" borderId="205" xfId="0" applyNumberFormat="1" applyFont="1" applyFill="1" applyBorder="1" applyAlignment="1" applyProtection="1">
      <alignment horizontal="right"/>
    </xf>
    <xf numFmtId="4" fontId="4" fillId="0" borderId="116" xfId="0" applyNumberFormat="1" applyFont="1" applyFill="1" applyBorder="1" applyAlignment="1" applyProtection="1">
      <alignment horizontal="right"/>
    </xf>
    <xf numFmtId="4" fontId="4" fillId="0" borderId="205" xfId="0" applyNumberFormat="1" applyFont="1" applyFill="1" applyBorder="1" applyAlignment="1" applyProtection="1">
      <alignment horizontal="right"/>
    </xf>
    <xf numFmtId="4" fontId="4" fillId="0" borderId="146" xfId="0" applyNumberFormat="1" applyFont="1" applyFill="1" applyBorder="1" applyAlignment="1" applyProtection="1">
      <alignment horizontal="right"/>
    </xf>
    <xf numFmtId="4" fontId="4" fillId="0" borderId="132" xfId="0" applyNumberFormat="1" applyFont="1" applyFill="1" applyBorder="1" applyAlignment="1" applyProtection="1">
      <alignment horizontal="right"/>
    </xf>
    <xf numFmtId="4" fontId="4" fillId="0" borderId="206" xfId="0" applyNumberFormat="1" applyFont="1" applyFill="1" applyBorder="1" applyAlignment="1" applyProtection="1">
      <alignment horizontal="right"/>
    </xf>
    <xf numFmtId="4" fontId="4" fillId="0" borderId="207" xfId="0" applyNumberFormat="1" applyFont="1" applyFill="1" applyBorder="1" applyAlignment="1" applyProtection="1">
      <alignment horizontal="right"/>
    </xf>
    <xf numFmtId="4" fontId="4" fillId="0" borderId="39" xfId="0" applyNumberFormat="1" applyFont="1" applyFill="1" applyBorder="1" applyAlignment="1" applyProtection="1">
      <alignment horizontal="right"/>
    </xf>
    <xf numFmtId="4" fontId="3" fillId="0" borderId="85" xfId="0" applyNumberFormat="1" applyFont="1" applyFill="1" applyBorder="1" applyAlignment="1" applyProtection="1">
      <alignment horizontal="right"/>
    </xf>
    <xf numFmtId="4" fontId="3" fillId="0" borderId="208" xfId="0" applyNumberFormat="1" applyFont="1" applyFill="1" applyBorder="1" applyAlignment="1" applyProtection="1">
      <alignment horizontal="right"/>
    </xf>
    <xf numFmtId="4" fontId="4" fillId="0" borderId="86" xfId="0" applyNumberFormat="1" applyFont="1" applyFill="1" applyBorder="1" applyAlignment="1" applyProtection="1">
      <alignment horizontal="right"/>
    </xf>
    <xf numFmtId="4" fontId="4" fillId="0" borderId="208" xfId="0" applyNumberFormat="1" applyFont="1" applyFill="1" applyBorder="1" applyAlignment="1" applyProtection="1">
      <alignment horizontal="right"/>
    </xf>
    <xf numFmtId="4" fontId="4" fillId="0" borderId="147" xfId="0" applyNumberFormat="1" applyFont="1" applyFill="1" applyBorder="1" applyAlignment="1" applyProtection="1">
      <alignment horizontal="right"/>
    </xf>
    <xf numFmtId="4" fontId="4" fillId="0" borderId="86" xfId="0" applyNumberFormat="1" applyFont="1" applyFill="1" applyBorder="1"/>
    <xf numFmtId="4" fontId="4" fillId="0" borderId="197" xfId="0" applyNumberFormat="1" applyFont="1" applyFill="1" applyBorder="1" applyAlignment="1" applyProtection="1">
      <alignment horizontal="right"/>
    </xf>
    <xf numFmtId="4" fontId="4" fillId="0" borderId="72" xfId="0" applyNumberFormat="1" applyFont="1" applyFill="1" applyBorder="1" applyAlignment="1" applyProtection="1">
      <alignment horizontal="right"/>
    </xf>
    <xf numFmtId="4" fontId="4" fillId="0" borderId="88" xfId="0" applyNumberFormat="1" applyFont="1" applyFill="1" applyBorder="1" applyAlignment="1" applyProtection="1">
      <alignment horizontal="right"/>
    </xf>
    <xf numFmtId="4" fontId="3" fillId="0" borderId="123" xfId="0" applyNumberFormat="1" applyFont="1" applyFill="1" applyBorder="1" applyAlignment="1" applyProtection="1">
      <alignment horizontal="right"/>
    </xf>
    <xf numFmtId="4" fontId="3" fillId="0" borderId="209" xfId="0" applyNumberFormat="1" applyFont="1" applyFill="1" applyBorder="1" applyAlignment="1" applyProtection="1">
      <alignment horizontal="right"/>
    </xf>
    <xf numFmtId="4" fontId="4" fillId="0" borderId="124" xfId="0" applyNumberFormat="1" applyFont="1" applyFill="1" applyBorder="1" applyAlignment="1" applyProtection="1">
      <alignment horizontal="right"/>
    </xf>
    <xf numFmtId="4" fontId="4" fillId="0" borderId="209" xfId="0" applyNumberFormat="1" applyFont="1" applyFill="1" applyBorder="1" applyAlignment="1" applyProtection="1">
      <alignment horizontal="right"/>
    </xf>
    <xf numFmtId="4" fontId="4" fillId="0" borderId="174" xfId="0" applyNumberFormat="1" applyFont="1" applyFill="1" applyBorder="1" applyAlignment="1" applyProtection="1">
      <alignment horizontal="right"/>
    </xf>
    <xf numFmtId="4" fontId="4" fillId="0" borderId="133" xfId="0" applyNumberFormat="1" applyFont="1" applyFill="1" applyBorder="1" applyAlignment="1" applyProtection="1">
      <alignment horizontal="right"/>
    </xf>
    <xf numFmtId="4" fontId="4" fillId="0" borderId="124" xfId="0" applyNumberFormat="1" applyFont="1" applyFill="1" applyBorder="1"/>
    <xf numFmtId="4" fontId="4" fillId="0" borderId="210" xfId="0" applyNumberFormat="1" applyFont="1" applyFill="1" applyBorder="1" applyAlignment="1" applyProtection="1">
      <alignment horizontal="right"/>
    </xf>
    <xf numFmtId="4" fontId="4" fillId="0" borderId="211" xfId="0" applyNumberFormat="1" applyFont="1" applyFill="1" applyBorder="1" applyAlignment="1" applyProtection="1">
      <alignment horizontal="right"/>
    </xf>
    <xf numFmtId="4" fontId="4" fillId="0" borderId="126" xfId="0" applyNumberFormat="1" applyFont="1" applyFill="1" applyBorder="1" applyAlignment="1" applyProtection="1">
      <alignment horizontal="right"/>
    </xf>
    <xf numFmtId="4" fontId="3" fillId="0" borderId="51" xfId="0" applyNumberFormat="1" applyFont="1" applyFill="1" applyBorder="1" applyAlignment="1" applyProtection="1">
      <alignment horizontal="right"/>
    </xf>
    <xf numFmtId="4" fontId="3" fillId="0" borderId="52" xfId="0" applyNumberFormat="1" applyFont="1" applyFill="1" applyBorder="1" applyAlignment="1" applyProtection="1">
      <alignment horizontal="right"/>
    </xf>
    <xf numFmtId="4" fontId="3" fillId="0" borderId="9" xfId="0" applyNumberFormat="1" applyFont="1" applyFill="1" applyBorder="1" applyAlignment="1" applyProtection="1">
      <alignment horizontal="right"/>
    </xf>
    <xf numFmtId="4" fontId="3" fillId="0" borderId="212" xfId="0" applyNumberFormat="1" applyFont="1" applyFill="1" applyBorder="1" applyAlignment="1" applyProtection="1">
      <alignment horizontal="right"/>
    </xf>
    <xf numFmtId="4" fontId="3" fillId="0" borderId="177" xfId="0" applyNumberFormat="1" applyFont="1" applyFill="1" applyBorder="1" applyAlignment="1" applyProtection="1">
      <alignment horizontal="right"/>
    </xf>
    <xf numFmtId="4" fontId="3" fillId="0" borderId="16" xfId="0" applyNumberFormat="1" applyFont="1" applyFill="1" applyBorder="1" applyAlignment="1" applyProtection="1">
      <alignment horizontal="right"/>
    </xf>
    <xf numFmtId="4" fontId="14" fillId="0" borderId="0" xfId="0" applyNumberFormat="1" applyFont="1" applyFill="1"/>
    <xf numFmtId="4" fontId="3" fillId="0" borderId="213" xfId="0" applyNumberFormat="1" applyFont="1" applyFill="1" applyBorder="1" applyAlignment="1" applyProtection="1">
      <alignment horizontal="right"/>
    </xf>
    <xf numFmtId="4" fontId="4" fillId="0" borderId="128" xfId="0" applyNumberFormat="1" applyFont="1" applyFill="1" applyBorder="1" applyAlignment="1" applyProtection="1">
      <alignment horizontal="right"/>
    </xf>
    <xf numFmtId="4" fontId="4" fillId="0" borderId="117" xfId="0" applyNumberFormat="1" applyFont="1" applyFill="1" applyBorder="1" applyAlignment="1" applyProtection="1">
      <alignment horizontal="right"/>
    </xf>
    <xf numFmtId="4" fontId="4" fillId="0" borderId="87" xfId="0" applyNumberFormat="1" applyFont="1" applyFill="1" applyBorder="1" applyAlignment="1" applyProtection="1">
      <alignment horizontal="right"/>
    </xf>
    <xf numFmtId="4" fontId="4" fillId="0" borderId="125" xfId="0" applyNumberFormat="1" applyFont="1" applyFill="1" applyBorder="1" applyAlignment="1" applyProtection="1">
      <alignment horizontal="right"/>
    </xf>
    <xf numFmtId="0" fontId="3" fillId="0" borderId="214" xfId="0" applyFont="1" applyFill="1" applyBorder="1" applyAlignment="1" applyProtection="1">
      <alignment horizontal="center"/>
    </xf>
    <xf numFmtId="0" fontId="3" fillId="0" borderId="215" xfId="0" applyFont="1" applyFill="1" applyBorder="1" applyAlignment="1" applyProtection="1">
      <alignment horizontal="center"/>
    </xf>
    <xf numFmtId="0" fontId="3" fillId="0" borderId="216" xfId="0" applyFont="1" applyFill="1" applyBorder="1" applyAlignment="1" applyProtection="1">
      <alignment horizontal="left" shrinkToFit="1"/>
    </xf>
    <xf numFmtId="3" fontId="3" fillId="0" borderId="215" xfId="0" applyNumberFormat="1" applyFont="1" applyFill="1" applyBorder="1" applyAlignment="1" applyProtection="1">
      <alignment horizontal="right"/>
    </xf>
    <xf numFmtId="3" fontId="3" fillId="0" borderId="217" xfId="0" applyNumberFormat="1" applyFont="1" applyFill="1" applyBorder="1" applyAlignment="1" applyProtection="1">
      <alignment horizontal="right"/>
    </xf>
    <xf numFmtId="3" fontId="3" fillId="0" borderId="218" xfId="0" applyNumberFormat="1" applyFont="1" applyFill="1" applyBorder="1" applyAlignment="1" applyProtection="1">
      <alignment horizontal="right"/>
    </xf>
    <xf numFmtId="3" fontId="3" fillId="0" borderId="92" xfId="0" applyNumberFormat="1" applyFont="1" applyFill="1" applyBorder="1" applyAlignment="1" applyProtection="1">
      <alignment horizontal="right"/>
    </xf>
    <xf numFmtId="3" fontId="3" fillId="0" borderId="94" xfId="0" applyNumberFormat="1" applyFont="1" applyFill="1" applyBorder="1" applyAlignment="1" applyProtection="1">
      <alignment horizontal="right"/>
    </xf>
    <xf numFmtId="3" fontId="3" fillId="0" borderId="129" xfId="0" applyNumberFormat="1" applyFont="1" applyFill="1" applyBorder="1" applyAlignment="1" applyProtection="1">
      <alignment horizontal="right"/>
    </xf>
    <xf numFmtId="3" fontId="3" fillId="0" borderId="93" xfId="0" applyNumberFormat="1" applyFont="1" applyFill="1" applyBorder="1" applyAlignment="1" applyProtection="1">
      <alignment horizontal="right"/>
    </xf>
    <xf numFmtId="3" fontId="3" fillId="0" borderId="48" xfId="0" applyNumberFormat="1" applyFont="1" applyFill="1" applyBorder="1" applyAlignment="1" applyProtection="1">
      <alignment horizontal="right"/>
    </xf>
    <xf numFmtId="3" fontId="3" fillId="0" borderId="47" xfId="0" applyNumberFormat="1" applyFont="1" applyFill="1" applyBorder="1" applyAlignment="1" applyProtection="1">
      <alignment horizontal="right"/>
    </xf>
    <xf numFmtId="4" fontId="3" fillId="0" borderId="219" xfId="0" applyNumberFormat="1" applyFont="1" applyFill="1" applyBorder="1" applyAlignment="1" applyProtection="1">
      <alignment horizontal="right"/>
    </xf>
    <xf numFmtId="4" fontId="3" fillId="0" borderId="220" xfId="0" applyNumberFormat="1" applyFont="1" applyFill="1" applyBorder="1" applyAlignment="1" applyProtection="1">
      <alignment horizontal="right"/>
    </xf>
    <xf numFmtId="4" fontId="3" fillId="0" borderId="221" xfId="0" applyNumberFormat="1" applyFont="1" applyFill="1" applyBorder="1" applyAlignment="1" applyProtection="1">
      <alignment horizontal="right"/>
    </xf>
    <xf numFmtId="4" fontId="3" fillId="0" borderId="222" xfId="0" applyNumberFormat="1" applyFont="1" applyFill="1" applyBorder="1" applyAlignment="1" applyProtection="1">
      <alignment horizontal="right"/>
    </xf>
    <xf numFmtId="4" fontId="3" fillId="0" borderId="223" xfId="0" applyNumberFormat="1" applyFont="1" applyFill="1" applyBorder="1" applyAlignment="1" applyProtection="1">
      <alignment horizontal="right"/>
    </xf>
    <xf numFmtId="4" fontId="16" fillId="0" borderId="93" xfId="0" applyNumberFormat="1" applyFont="1" applyFill="1" applyBorder="1" applyAlignment="1">
      <alignment horizontal="right"/>
    </xf>
    <xf numFmtId="4" fontId="16" fillId="0" borderId="94" xfId="0" applyNumberFormat="1" applyFont="1" applyFill="1" applyBorder="1" applyAlignment="1">
      <alignment horizontal="right"/>
    </xf>
    <xf numFmtId="4" fontId="16" fillId="0" borderId="129" xfId="0" applyNumberFormat="1" applyFont="1" applyFill="1" applyBorder="1" applyAlignment="1">
      <alignment horizontal="right"/>
    </xf>
    <xf numFmtId="4" fontId="16" fillId="0" borderId="224" xfId="0" applyNumberFormat="1" applyFont="1" applyFill="1" applyBorder="1" applyAlignment="1">
      <alignment horizontal="right"/>
    </xf>
    <xf numFmtId="4" fontId="16" fillId="0" borderId="151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3" fontId="3" fillId="0" borderId="225" xfId="0" applyNumberFormat="1" applyFont="1" applyFill="1" applyBorder="1" applyAlignment="1" applyProtection="1">
      <alignment horizontal="right"/>
    </xf>
    <xf numFmtId="0" fontId="2" fillId="0" borderId="84" xfId="0" applyFont="1" applyFill="1" applyBorder="1" applyAlignment="1" applyProtection="1">
      <alignment horizontal="center"/>
    </xf>
    <xf numFmtId="0" fontId="0" fillId="0" borderId="162" xfId="0" applyFill="1" applyBorder="1" applyAlignment="1">
      <alignment horizontal="center"/>
    </xf>
    <xf numFmtId="0" fontId="2" fillId="0" borderId="64" xfId="0" applyFont="1" applyFill="1" applyBorder="1" applyAlignment="1" applyProtection="1">
      <alignment horizontal="center"/>
    </xf>
    <xf numFmtId="0" fontId="13" fillId="0" borderId="2" xfId="0" applyFont="1" applyFill="1" applyBorder="1" applyAlignment="1">
      <alignment horizontal="center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K42"/>
  <sheetViews>
    <sheetView tabSelected="1" zoomScale="75" zoomScaleNormal="75" zoomScaleSheetLayoutView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34" sqref="H34"/>
    </sheetView>
  </sheetViews>
  <sheetFormatPr defaultColWidth="12.6640625" defaultRowHeight="15"/>
  <cols>
    <col min="1" max="1" width="5" style="8" customWidth="1"/>
    <col min="2" max="2" width="7.5546875" style="8" customWidth="1"/>
    <col min="3" max="3" width="51.6640625" style="8" customWidth="1"/>
    <col min="4" max="4" width="16.88671875" style="8" bestFit="1" customWidth="1"/>
    <col min="5" max="6" width="14.77734375" style="8" customWidth="1"/>
    <col min="7" max="7" width="16.88671875" style="8" bestFit="1" customWidth="1"/>
    <col min="8" max="29" width="14.77734375" style="8" customWidth="1"/>
    <col min="30" max="16384" width="12.6640625" style="8"/>
  </cols>
  <sheetData>
    <row r="1" spans="1:29" ht="18" customHeight="1">
      <c r="A1" s="291"/>
      <c r="B1" s="265"/>
      <c r="C1" s="266"/>
      <c r="D1" s="267" t="s">
        <v>0</v>
      </c>
      <c r="E1" s="416" t="s">
        <v>1</v>
      </c>
      <c r="F1" s="417"/>
      <c r="G1" s="268" t="s">
        <v>2</v>
      </c>
      <c r="H1" s="269"/>
      <c r="I1" s="270"/>
      <c r="J1" s="271"/>
      <c r="K1" s="272"/>
      <c r="L1" s="273"/>
      <c r="M1" s="274"/>
      <c r="N1" s="274"/>
      <c r="O1" s="273"/>
      <c r="P1" s="275"/>
      <c r="Q1" s="276"/>
      <c r="R1" s="277"/>
      <c r="S1" s="278"/>
      <c r="T1" s="279"/>
      <c r="U1" s="278"/>
      <c r="V1" s="277"/>
      <c r="W1" s="275"/>
      <c r="X1" s="276"/>
      <c r="Y1" s="280"/>
      <c r="Z1" s="280"/>
      <c r="AA1" s="280"/>
      <c r="AB1" s="280"/>
      <c r="AC1" s="281"/>
    </row>
    <row r="2" spans="1:29" ht="18" customHeight="1">
      <c r="A2" s="9" t="s">
        <v>3</v>
      </c>
      <c r="B2" s="10" t="s">
        <v>4</v>
      </c>
      <c r="C2" s="11" t="s">
        <v>5</v>
      </c>
      <c r="D2" s="10" t="s">
        <v>6</v>
      </c>
      <c r="E2" s="12" t="s">
        <v>7</v>
      </c>
      <c r="F2" s="13" t="s">
        <v>8</v>
      </c>
      <c r="G2" s="14" t="s">
        <v>9</v>
      </c>
      <c r="H2" s="263" t="s">
        <v>10</v>
      </c>
      <c r="I2" s="256" t="s">
        <v>11</v>
      </c>
      <c r="J2" s="220" t="s">
        <v>12</v>
      </c>
      <c r="K2" s="227" t="s">
        <v>13</v>
      </c>
      <c r="L2" s="13" t="s">
        <v>14</v>
      </c>
      <c r="M2" s="16" t="s">
        <v>15</v>
      </c>
      <c r="N2" s="16" t="s">
        <v>16</v>
      </c>
      <c r="O2" s="13" t="s">
        <v>17</v>
      </c>
      <c r="P2" s="17" t="s">
        <v>18</v>
      </c>
      <c r="Q2" s="231" t="s">
        <v>19</v>
      </c>
      <c r="R2" s="19" t="s">
        <v>20</v>
      </c>
      <c r="S2" s="18" t="s">
        <v>21</v>
      </c>
      <c r="T2" s="19" t="s">
        <v>22</v>
      </c>
      <c r="U2" s="18" t="s">
        <v>23</v>
      </c>
      <c r="V2" s="19" t="s">
        <v>24</v>
      </c>
      <c r="W2" s="17" t="s">
        <v>25</v>
      </c>
      <c r="X2" s="231" t="s">
        <v>26</v>
      </c>
      <c r="Y2" s="238" t="s">
        <v>27</v>
      </c>
      <c r="Z2" s="238" t="s">
        <v>28</v>
      </c>
      <c r="AA2" s="238" t="s">
        <v>29</v>
      </c>
      <c r="AB2" s="238" t="s">
        <v>30</v>
      </c>
      <c r="AC2" s="239" t="s">
        <v>31</v>
      </c>
    </row>
    <row r="3" spans="1:29" ht="18" customHeight="1" thickBot="1">
      <c r="A3" s="21"/>
      <c r="B3" s="22"/>
      <c r="C3" s="23"/>
      <c r="D3" s="24" t="s">
        <v>32</v>
      </c>
      <c r="E3" s="25"/>
      <c r="F3" s="26" t="s">
        <v>33</v>
      </c>
      <c r="G3" s="27" t="s">
        <v>32</v>
      </c>
      <c r="H3" s="264"/>
      <c r="I3" s="257"/>
      <c r="J3" s="220" t="s">
        <v>34</v>
      </c>
      <c r="K3" s="227" t="s">
        <v>34</v>
      </c>
      <c r="L3" s="28"/>
      <c r="M3" s="29"/>
      <c r="N3" s="29"/>
      <c r="O3" s="28"/>
      <c r="P3" s="30"/>
      <c r="Q3" s="232"/>
      <c r="R3" s="230"/>
      <c r="S3" s="31" t="s">
        <v>35</v>
      </c>
      <c r="T3" s="32"/>
      <c r="U3" s="31"/>
      <c r="V3" s="32"/>
      <c r="W3" s="33"/>
      <c r="X3" s="232"/>
      <c r="Y3" s="238"/>
      <c r="Z3" s="238"/>
      <c r="AA3" s="238" t="s">
        <v>36</v>
      </c>
      <c r="AB3" s="240"/>
      <c r="AC3" s="239" t="s">
        <v>37</v>
      </c>
    </row>
    <row r="4" spans="1:29" ht="21" customHeight="1">
      <c r="A4" s="34"/>
      <c r="B4" s="35"/>
      <c r="C4" s="36" t="s">
        <v>66</v>
      </c>
      <c r="D4" s="37"/>
      <c r="E4" s="38"/>
      <c r="F4" s="39"/>
      <c r="G4" s="38"/>
      <c r="H4" s="40"/>
      <c r="I4" s="258"/>
      <c r="J4" s="212"/>
      <c r="K4" s="41"/>
      <c r="L4" s="42"/>
      <c r="M4" s="43"/>
      <c r="N4" s="44"/>
      <c r="O4" s="42"/>
      <c r="P4" s="45"/>
      <c r="Q4" s="233"/>
      <c r="R4" s="47"/>
      <c r="S4" s="46"/>
      <c r="T4" s="47"/>
      <c r="U4" s="48"/>
      <c r="V4" s="49"/>
      <c r="W4" s="50"/>
      <c r="X4" s="241"/>
      <c r="Y4" s="242"/>
      <c r="Z4" s="242"/>
      <c r="AA4" s="242"/>
      <c r="AB4" s="242"/>
      <c r="AC4" s="243"/>
    </row>
    <row r="5" spans="1:29" s="293" customFormat="1" ht="18" customHeight="1">
      <c r="A5" s="51">
        <v>1</v>
      </c>
      <c r="B5" s="52">
        <v>601.20000000000005</v>
      </c>
      <c r="C5" s="53" t="s">
        <v>39</v>
      </c>
      <c r="D5" s="143">
        <f>SUM(E5:G5)</f>
        <v>62446</v>
      </c>
      <c r="E5" s="146">
        <f>ROUND('VHČ 2013 (v Kč)'!E5/1000,0)</f>
        <v>34044</v>
      </c>
      <c r="F5" s="144">
        <f>ROUND('VHČ 2013 (v Kč)'!F5/1000,0)-1</f>
        <v>10264</v>
      </c>
      <c r="G5" s="145">
        <f>SUM(H5:AC5)</f>
        <v>18138</v>
      </c>
      <c r="H5" s="146">
        <f>ROUND('VHČ 2013 (v Kč)'!H5/1000,0)</f>
        <v>1483</v>
      </c>
      <c r="I5" s="259"/>
      <c r="J5" s="221">
        <f>ROUND('VHČ 2013 (v Kč)'!J5/1000,0)</f>
        <v>231</v>
      </c>
      <c r="K5" s="147">
        <f>ROUND('VHČ 2013 (v Kč)'!K5/1000,0)</f>
        <v>11</v>
      </c>
      <c r="L5" s="147"/>
      <c r="M5" s="147"/>
      <c r="N5" s="147"/>
      <c r="O5" s="147"/>
      <c r="P5" s="148"/>
      <c r="Q5" s="234"/>
      <c r="R5" s="213"/>
      <c r="S5" s="147"/>
      <c r="T5" s="147"/>
      <c r="U5" s="147">
        <f>ROUND('VHČ 2013 (v Kč)'!U5/1000,0)</f>
        <v>6820</v>
      </c>
      <c r="V5" s="147"/>
      <c r="W5" s="149"/>
      <c r="X5" s="234"/>
      <c r="Y5" s="147"/>
      <c r="Z5" s="147"/>
      <c r="AA5" s="147">
        <f>ROUND('VHČ 2013 (v Kč)'!AA5/1000,0)</f>
        <v>9593</v>
      </c>
      <c r="AB5" s="147"/>
      <c r="AC5" s="244"/>
    </row>
    <row r="6" spans="1:29" s="293" customFormat="1" ht="18" customHeight="1">
      <c r="A6" s="51">
        <v>2</v>
      </c>
      <c r="B6" s="52">
        <v>603</v>
      </c>
      <c r="C6" s="53" t="s">
        <v>60</v>
      </c>
      <c r="D6" s="143">
        <f>SUM(E6:G6)</f>
        <v>1891802</v>
      </c>
      <c r="E6" s="146">
        <f>ROUND('VHČ 2013 (v Kč)'!E6/1000,0)</f>
        <v>450972</v>
      </c>
      <c r="F6" s="144"/>
      <c r="G6" s="145">
        <f>SUM(H6:AC6)</f>
        <v>1440830</v>
      </c>
      <c r="H6" s="146">
        <f>ROUND('VHČ 2013 (v Kč)'!H6/1000,0)+1</f>
        <v>325539</v>
      </c>
      <c r="I6" s="259">
        <f>ROUND('VHČ 2013 (v Kč)'!I6/1000,0)</f>
        <v>531</v>
      </c>
      <c r="J6" s="221">
        <f>ROUND('VHČ 2013 (v Kč)'!J6/1000,0)</f>
        <v>40505</v>
      </c>
      <c r="K6" s="147">
        <f>ROUND('VHČ 2013 (v Kč)'!K6/1000,0)</f>
        <v>40619</v>
      </c>
      <c r="L6" s="147">
        <f>ROUND('VHČ 2013 (v Kč)'!L6/1000,0)</f>
        <v>79151</v>
      </c>
      <c r="M6" s="147">
        <f>ROUND('VHČ 2013 (v Kč)'!M6/1000,0)</f>
        <v>585</v>
      </c>
      <c r="N6" s="147">
        <f>ROUND('VHČ 2013 (v Kč)'!N6/1000,0)</f>
        <v>78188</v>
      </c>
      <c r="O6" s="147">
        <f>ROUND('VHČ 2013 (v Kč)'!O6/1000,0)</f>
        <v>83605</v>
      </c>
      <c r="P6" s="148">
        <f>ROUND('VHČ 2013 (v Kč)'!P6/1000,0)</f>
        <v>3737</v>
      </c>
      <c r="Q6" s="234">
        <f>ROUND('VHČ 2013 (v Kč)'!Q6/1000,0)</f>
        <v>7752</v>
      </c>
      <c r="R6" s="213">
        <f>ROUND('VHČ 2013 (v Kč)'!R6/1000,0)</f>
        <v>274674</v>
      </c>
      <c r="S6" s="147">
        <f>ROUND('VHČ 2013 (v Kč)'!S6/1000,0)</f>
        <v>4619</v>
      </c>
      <c r="T6" s="147">
        <f>ROUND('VHČ 2013 (v Kč)'!T6/1000,0)</f>
        <v>114259</v>
      </c>
      <c r="U6" s="147">
        <f>ROUND('VHČ 2013 (v Kč)'!U6/1000,0)</f>
        <v>46533</v>
      </c>
      <c r="V6" s="147">
        <f>ROUND('VHČ 2013 (v Kč)'!V6/1000,0)</f>
        <v>40784</v>
      </c>
      <c r="W6" s="149">
        <f>ROUND('VHČ 2013 (v Kč)'!W6/1000,0)</f>
        <v>35240</v>
      </c>
      <c r="X6" s="234">
        <f>ROUND('VHČ 2013 (v Kč)'!X6/1000,0)</f>
        <v>112301</v>
      </c>
      <c r="Y6" s="147">
        <f>ROUND('VHČ 2013 (v Kč)'!Y6/1000,0)</f>
        <v>35155</v>
      </c>
      <c r="Z6" s="147">
        <f>ROUND('VHČ 2013 (v Kč)'!Z6/1000,0)</f>
        <v>402</v>
      </c>
      <c r="AA6" s="147">
        <f>ROUND('VHČ 2013 (v Kč)'!AA6/1000,0)</f>
        <v>93866</v>
      </c>
      <c r="AB6" s="147">
        <f>ROUND('VHČ 2013 (v Kč)'!AB6/1000,0)</f>
        <v>772</v>
      </c>
      <c r="AC6" s="244">
        <f>ROUND('VHČ 2013 (v Kč)'!AC6/1000,0)</f>
        <v>22013</v>
      </c>
    </row>
    <row r="7" spans="1:29" s="293" customFormat="1" ht="18" customHeight="1">
      <c r="A7" s="51">
        <v>3</v>
      </c>
      <c r="B7" s="52" t="s">
        <v>40</v>
      </c>
      <c r="C7" s="53" t="s">
        <v>41</v>
      </c>
      <c r="D7" s="143">
        <f>SUM(E7:G7)</f>
        <v>253</v>
      </c>
      <c r="E7" s="146">
        <f>ROUND('VHČ 2013 (v Kč)'!E7/1000,0)</f>
        <v>253</v>
      </c>
      <c r="F7" s="125"/>
      <c r="G7" s="145"/>
      <c r="H7" s="146"/>
      <c r="I7" s="259"/>
      <c r="J7" s="221"/>
      <c r="K7" s="147"/>
      <c r="L7" s="147"/>
      <c r="M7" s="147"/>
      <c r="N7" s="147"/>
      <c r="O7" s="147"/>
      <c r="P7" s="148"/>
      <c r="Q7" s="234"/>
      <c r="R7" s="213"/>
      <c r="S7" s="147"/>
      <c r="T7" s="147"/>
      <c r="U7" s="147"/>
      <c r="V7" s="147"/>
      <c r="W7" s="149"/>
      <c r="X7" s="234"/>
      <c r="Y7" s="147"/>
      <c r="Z7" s="147"/>
      <c r="AA7" s="147"/>
      <c r="AB7" s="147"/>
      <c r="AC7" s="244"/>
    </row>
    <row r="8" spans="1:29" s="293" customFormat="1" ht="18" customHeight="1">
      <c r="A8" s="51">
        <v>4</v>
      </c>
      <c r="B8" s="52">
        <v>672</v>
      </c>
      <c r="C8" s="53" t="s">
        <v>68</v>
      </c>
      <c r="D8" s="143">
        <f>SUM(E8:G8)</f>
        <v>40935</v>
      </c>
      <c r="E8" s="146">
        <f>ROUND('VHČ 2013 (v Kč)'!E8/1000,0)</f>
        <v>0</v>
      </c>
      <c r="F8" s="151"/>
      <c r="G8" s="145">
        <f>SUM(H8:AC8)</f>
        <v>40935</v>
      </c>
      <c r="H8" s="146">
        <f>ROUND('VHČ 2013 (v Kč)'!H8/1000,0)</f>
        <v>5394</v>
      </c>
      <c r="I8" s="259"/>
      <c r="J8" s="221"/>
      <c r="K8" s="147"/>
      <c r="L8" s="147">
        <f>ROUND('VHČ 2013 (v Kč)'!L8/1000,0)</f>
        <v>0</v>
      </c>
      <c r="M8" s="147"/>
      <c r="N8" s="147"/>
      <c r="O8" s="147"/>
      <c r="P8" s="148"/>
      <c r="Q8" s="234"/>
      <c r="R8" s="213"/>
      <c r="S8" s="147"/>
      <c r="T8" s="147"/>
      <c r="U8" s="147"/>
      <c r="V8" s="147"/>
      <c r="W8" s="149"/>
      <c r="X8" s="234"/>
      <c r="Y8" s="147"/>
      <c r="Z8" s="147"/>
      <c r="AA8" s="147">
        <f>ROUND('VHČ 2013 (v Kč)'!AA8/1000,0)</f>
        <v>35541</v>
      </c>
      <c r="AB8" s="147"/>
      <c r="AC8" s="244"/>
    </row>
    <row r="9" spans="1:29" s="293" customFormat="1" ht="18" customHeight="1" thickBot="1">
      <c r="A9" s="61">
        <v>5</v>
      </c>
      <c r="B9" s="62" t="s">
        <v>61</v>
      </c>
      <c r="C9" s="53" t="s">
        <v>42</v>
      </c>
      <c r="D9" s="143">
        <f>SUM(E9:G9)</f>
        <v>70406</v>
      </c>
      <c r="E9" s="152">
        <f>ROUND('VHČ 2013 (v Kč)'!E9/1000,0)</f>
        <v>69</v>
      </c>
      <c r="F9" s="151">
        <f>ROUND('VHČ 2013 (v Kč)'!F9/1000,0)</f>
        <v>3</v>
      </c>
      <c r="G9" s="145">
        <f>SUM(H9:AC9)</f>
        <v>70334</v>
      </c>
      <c r="H9" s="152">
        <f>ROUND('VHČ 2013 (v Kč)'!H9/1000,0)</f>
        <v>8220</v>
      </c>
      <c r="I9" s="261">
        <f>ROUND('VHČ 2013 (v Kč)'!I9/1000,0)</f>
        <v>26</v>
      </c>
      <c r="J9" s="222">
        <f>ROUND('VHČ 2013 (v Kč)'!J9/1000,0)</f>
        <v>8523</v>
      </c>
      <c r="K9" s="170">
        <f>ROUND('VHČ 2013 (v Kč)'!K9/1000,0)</f>
        <v>3792</v>
      </c>
      <c r="L9" s="170">
        <f>ROUND('VHČ 2013 (v Kč)'!L9/1000,0)</f>
        <v>1529</v>
      </c>
      <c r="M9" s="170">
        <f>ROUND('VHČ 2013 (v Kč)'!M9/1000,0)</f>
        <v>9</v>
      </c>
      <c r="N9" s="170">
        <f>ROUND('VHČ 2013 (v Kč)'!N9/1000,0)</f>
        <v>3161</v>
      </c>
      <c r="O9" s="170">
        <f>ROUND('VHČ 2013 (v Kč)'!O9/1000,0)</f>
        <v>3030</v>
      </c>
      <c r="P9" s="171">
        <f>ROUND('VHČ 2013 (v Kč)'!P9/1000,0)</f>
        <v>24</v>
      </c>
      <c r="Q9" s="247">
        <f>ROUND('VHČ 2013 (v Kč)'!Q9/1000,0)</f>
        <v>276</v>
      </c>
      <c r="R9" s="292">
        <f>ROUND('VHČ 2013 (v Kč)'!R9/1000,0)</f>
        <v>32863</v>
      </c>
      <c r="S9" s="170">
        <f>ROUND('VHČ 2013 (v Kč)'!S9/1000,0)</f>
        <v>17</v>
      </c>
      <c r="T9" s="170">
        <f>ROUND('VHČ 2013 (v Kč)'!T9/1000,0)</f>
        <v>1170</v>
      </c>
      <c r="U9" s="170">
        <f>ROUND('VHČ 2013 (v Kč)'!U9/1000,0)</f>
        <v>1237</v>
      </c>
      <c r="V9" s="170">
        <f>ROUND('VHČ 2013 (v Kč)'!V9/1000,0)</f>
        <v>238</v>
      </c>
      <c r="W9" s="153">
        <f>ROUND('VHČ 2013 (v Kč)'!W9/1000,0)</f>
        <v>567</v>
      </c>
      <c r="X9" s="247">
        <f>ROUND('VHČ 2013 (v Kč)'!X9/1000,0)</f>
        <v>717</v>
      </c>
      <c r="Y9" s="170">
        <f>ROUND('VHČ 2013 (v Kč)'!Y9/1000,0)</f>
        <v>249</v>
      </c>
      <c r="Z9" s="170">
        <f>ROUND('VHČ 2013 (v Kč)'!Z9/1000,0)</f>
        <v>3</v>
      </c>
      <c r="AA9" s="170">
        <f>ROUND('VHČ 2013 (v Kč)'!AA9/1000,0)</f>
        <v>3321</v>
      </c>
      <c r="AB9" s="170">
        <f>ROUND('VHČ 2013 (v Kč)'!AB9/1000,0)</f>
        <v>8</v>
      </c>
      <c r="AC9" s="245">
        <f>ROUND('VHČ 2013 (v Kč)'!AC9/1000,0)</f>
        <v>1354</v>
      </c>
    </row>
    <row r="10" spans="1:29" s="293" customFormat="1" ht="21" customHeight="1" thickBot="1">
      <c r="A10" s="63">
        <v>6</v>
      </c>
      <c r="B10" s="64"/>
      <c r="C10" s="65" t="s">
        <v>59</v>
      </c>
      <c r="D10" s="154">
        <f>SUM(D5:D9)</f>
        <v>2065842</v>
      </c>
      <c r="E10" s="155">
        <f>SUM(E5:E9)</f>
        <v>485338</v>
      </c>
      <c r="F10" s="156">
        <f>SUM(F5:F9)</f>
        <v>10267</v>
      </c>
      <c r="G10" s="157">
        <f>SUM(G5:G9)</f>
        <v>1570237</v>
      </c>
      <c r="H10" s="183">
        <f>SUM(H5:H9)</f>
        <v>340636</v>
      </c>
      <c r="I10" s="154">
        <f t="shared" ref="I10:AC10" si="0">SUM(I5:I9)</f>
        <v>557</v>
      </c>
      <c r="J10" s="224">
        <f t="shared" si="0"/>
        <v>49259</v>
      </c>
      <c r="K10" s="184">
        <f t="shared" si="0"/>
        <v>44422</v>
      </c>
      <c r="L10" s="184">
        <f t="shared" si="0"/>
        <v>80680</v>
      </c>
      <c r="M10" s="159">
        <f t="shared" si="0"/>
        <v>594</v>
      </c>
      <c r="N10" s="159">
        <f t="shared" si="0"/>
        <v>81349</v>
      </c>
      <c r="O10" s="159">
        <f t="shared" si="0"/>
        <v>86635</v>
      </c>
      <c r="P10" s="160">
        <f t="shared" si="0"/>
        <v>3761</v>
      </c>
      <c r="Q10" s="158">
        <f t="shared" si="0"/>
        <v>8028</v>
      </c>
      <c r="R10" s="214">
        <f t="shared" si="0"/>
        <v>307537</v>
      </c>
      <c r="S10" s="159">
        <f t="shared" si="0"/>
        <v>4636</v>
      </c>
      <c r="T10" s="159">
        <f t="shared" si="0"/>
        <v>115429</v>
      </c>
      <c r="U10" s="159">
        <f t="shared" si="0"/>
        <v>54590</v>
      </c>
      <c r="V10" s="159">
        <f t="shared" si="0"/>
        <v>41022</v>
      </c>
      <c r="W10" s="162">
        <f t="shared" si="0"/>
        <v>35807</v>
      </c>
      <c r="X10" s="158">
        <f t="shared" si="0"/>
        <v>113018</v>
      </c>
      <c r="Y10" s="159">
        <f t="shared" si="0"/>
        <v>35404</v>
      </c>
      <c r="Z10" s="159">
        <f t="shared" si="0"/>
        <v>405</v>
      </c>
      <c r="AA10" s="159">
        <f t="shared" si="0"/>
        <v>142321</v>
      </c>
      <c r="AB10" s="159">
        <f t="shared" si="0"/>
        <v>780</v>
      </c>
      <c r="AC10" s="160">
        <f t="shared" si="0"/>
        <v>23367</v>
      </c>
    </row>
    <row r="11" spans="1:29" s="293" customFormat="1" ht="18" customHeight="1">
      <c r="A11" s="69"/>
      <c r="B11" s="70"/>
      <c r="C11" s="53"/>
      <c r="D11" s="163"/>
      <c r="E11" s="164"/>
      <c r="F11" s="165"/>
      <c r="G11" s="164"/>
      <c r="H11" s="166"/>
      <c r="I11" s="260"/>
      <c r="J11" s="223"/>
      <c r="K11" s="167"/>
      <c r="L11" s="167"/>
      <c r="M11" s="167"/>
      <c r="N11" s="167"/>
      <c r="O11" s="167"/>
      <c r="P11" s="168"/>
      <c r="Q11" s="235"/>
      <c r="R11" s="215"/>
      <c r="S11" s="167"/>
      <c r="T11" s="167"/>
      <c r="U11" s="167"/>
      <c r="V11" s="167"/>
      <c r="W11" s="169"/>
      <c r="X11" s="235"/>
      <c r="Y11" s="167"/>
      <c r="Z11" s="167"/>
      <c r="AA11" s="167"/>
      <c r="AB11" s="167"/>
      <c r="AC11" s="246"/>
    </row>
    <row r="12" spans="1:29" s="293" customFormat="1" ht="21.75" customHeight="1">
      <c r="A12" s="74"/>
      <c r="B12" s="75"/>
      <c r="C12" s="36" t="s">
        <v>67</v>
      </c>
      <c r="D12" s="37"/>
      <c r="E12" s="38"/>
      <c r="F12" s="39"/>
      <c r="G12" s="38"/>
      <c r="H12" s="146"/>
      <c r="I12" s="259"/>
      <c r="J12" s="221"/>
      <c r="K12" s="147"/>
      <c r="L12" s="147"/>
      <c r="M12" s="147"/>
      <c r="N12" s="147"/>
      <c r="O12" s="147"/>
      <c r="P12" s="148"/>
      <c r="Q12" s="234"/>
      <c r="R12" s="213"/>
      <c r="S12" s="147"/>
      <c r="T12" s="147"/>
      <c r="U12" s="147"/>
      <c r="V12" s="147"/>
      <c r="W12" s="149"/>
      <c r="X12" s="234"/>
      <c r="Y12" s="147"/>
      <c r="Z12" s="147"/>
      <c r="AA12" s="147"/>
      <c r="AB12" s="147"/>
      <c r="AC12" s="244"/>
    </row>
    <row r="13" spans="1:29" s="293" customFormat="1" ht="18" customHeight="1">
      <c r="A13" s="51">
        <v>7</v>
      </c>
      <c r="B13" s="52">
        <v>501.2</v>
      </c>
      <c r="C13" s="53" t="s">
        <v>44</v>
      </c>
      <c r="D13" s="143">
        <f t="shared" ref="D13:D19" si="1">SUM(E13:G13)</f>
        <v>30284</v>
      </c>
      <c r="E13" s="152">
        <f>ROUND('VHČ 2013 (v Kč)'!E13/1000,0)</f>
        <v>1979</v>
      </c>
      <c r="F13" s="125">
        <f>ROUND('VHČ 2013 (v Kč)'!F13/1000,0)</f>
        <v>6455</v>
      </c>
      <c r="G13" s="145">
        <f t="shared" ref="G13:G19" si="2">SUM(H13:AC13)</f>
        <v>21850</v>
      </c>
      <c r="H13" s="152">
        <f>ROUND('VHČ 2013 (v Kč)'!H13/1000,0)</f>
        <v>2887</v>
      </c>
      <c r="I13" s="259">
        <f>ROUND('VHČ 2013 (v Kč)'!I13/1000,0)</f>
        <v>27</v>
      </c>
      <c r="J13" s="221">
        <f>ROUND('VHČ 2013 (v Kč)'!J13/1000,0)</f>
        <v>406</v>
      </c>
      <c r="K13" s="147">
        <f>ROUND('VHČ 2013 (v Kč)'!K13/1000,0)</f>
        <v>61</v>
      </c>
      <c r="L13" s="147">
        <f>ROUND('VHČ 2013 (v Kč)'!L13/1000,0)</f>
        <v>282</v>
      </c>
      <c r="M13" s="147">
        <f>ROUND('VHČ 2013 (v Kč)'!M13/1000,0)</f>
        <v>17</v>
      </c>
      <c r="N13" s="147">
        <f>ROUND('VHČ 2013 (v Kč)'!N13/1000,0)</f>
        <v>156</v>
      </c>
      <c r="O13" s="147">
        <f>ROUND('VHČ 2013 (v Kč)'!O13/1000,0)</f>
        <v>356</v>
      </c>
      <c r="P13" s="148">
        <f>ROUND('VHČ 2013 (v Kč)'!P13/1000,0)</f>
        <v>53</v>
      </c>
      <c r="Q13" s="213">
        <f>ROUND('VHČ 2013 (v Kč)'!Q13/1000,0)</f>
        <v>4</v>
      </c>
      <c r="R13" s="213">
        <f>ROUND('VHČ 2013 (v Kč)'!R13/1000,0)</f>
        <v>5527</v>
      </c>
      <c r="S13" s="147">
        <f>ROUND('VHČ 2013 (v Kč)'!S13/1000,0)</f>
        <v>478</v>
      </c>
      <c r="T13" s="147">
        <f>ROUND('VHČ 2013 (v Kč)'!T13/1000,0)</f>
        <v>627</v>
      </c>
      <c r="U13" s="147">
        <f>ROUND('VHČ 2013 (v Kč)'!U13/1000,0)</f>
        <v>5863</v>
      </c>
      <c r="V13" s="147">
        <f>ROUND('VHČ 2013 (v Kč)'!V13/1000,0)</f>
        <v>71</v>
      </c>
      <c r="W13" s="149">
        <f>ROUND('VHČ 2013 (v Kč)'!W13/1000,0)</f>
        <v>50</v>
      </c>
      <c r="X13" s="234">
        <f>ROUND('VHČ 2013 (v Kč)'!X13/1000,0)</f>
        <v>15</v>
      </c>
      <c r="Y13" s="147">
        <f>ROUND('VHČ 2013 (v Kč)'!Y13/1000,0)</f>
        <v>128</v>
      </c>
      <c r="Z13" s="147"/>
      <c r="AA13" s="147">
        <f>ROUND('VHČ 2013 (v Kč)'!AA13/1000,0)</f>
        <v>5477</v>
      </c>
      <c r="AB13" s="147">
        <f>ROUND('VHČ 2013 (v Kč)'!AB13/1000,0)</f>
        <v>0</v>
      </c>
      <c r="AC13" s="244">
        <f>ROUND('VHČ 2013 (v Kč)'!AC13/1000,0)</f>
        <v>-635</v>
      </c>
    </row>
    <row r="14" spans="1:29" s="293" customFormat="1" ht="18" customHeight="1">
      <c r="A14" s="51">
        <v>8</v>
      </c>
      <c r="B14" s="52">
        <v>511</v>
      </c>
      <c r="C14" s="53" t="s">
        <v>45</v>
      </c>
      <c r="D14" s="143">
        <f t="shared" si="1"/>
        <v>481726</v>
      </c>
      <c r="E14" s="146">
        <f>ROUND('VHČ 2013 (v Kč)'!E14/1000,0)</f>
        <v>986</v>
      </c>
      <c r="F14" s="125"/>
      <c r="G14" s="145">
        <f t="shared" si="2"/>
        <v>480740</v>
      </c>
      <c r="H14" s="146">
        <f>ROUND('VHČ 2013 (v Kč)'!H14/1000,0)</f>
        <v>109726</v>
      </c>
      <c r="I14" s="259">
        <f>ROUND('VHČ 2013 (v Kč)'!I14/1000,0)</f>
        <v>147</v>
      </c>
      <c r="J14" s="221">
        <f>ROUND('VHČ 2013 (v Kč)'!J14/1000,0)</f>
        <v>2132</v>
      </c>
      <c r="K14" s="147">
        <f>ROUND('VHČ 2013 (v Kč)'!K14/1000,0)</f>
        <v>8700</v>
      </c>
      <c r="L14" s="147">
        <f>ROUND('VHČ 2013 (v Kč)'!L14/1000,0)</f>
        <v>25624</v>
      </c>
      <c r="M14" s="147">
        <f>ROUND('VHČ 2013 (v Kč)'!M14/1000,0)</f>
        <v>57</v>
      </c>
      <c r="N14" s="147">
        <f>ROUND('VHČ 2013 (v Kč)'!N14/1000,0)</f>
        <v>17995</v>
      </c>
      <c r="O14" s="147">
        <f>ROUND('VHČ 2013 (v Kč)'!O14/1000,0)</f>
        <v>12754</v>
      </c>
      <c r="P14" s="148">
        <f>ROUND('VHČ 2013 (v Kč)'!P14/1000,0)</f>
        <v>664</v>
      </c>
      <c r="Q14" s="234">
        <f>ROUND('VHČ 2013 (v Kč)'!Q14/1000,0)</f>
        <v>834</v>
      </c>
      <c r="R14" s="213">
        <f>ROUND('VHČ 2013 (v Kč)'!R14/1000,0)</f>
        <v>129589</v>
      </c>
      <c r="S14" s="147">
        <f>ROUND('VHČ 2013 (v Kč)'!S14/1000,0)</f>
        <v>970</v>
      </c>
      <c r="T14" s="147">
        <f>ROUND('VHČ 2013 (v Kč)'!T14/1000,0)</f>
        <v>19151</v>
      </c>
      <c r="U14" s="147">
        <f>ROUND('VHČ 2013 (v Kč)'!U14/1000,0)</f>
        <v>21863</v>
      </c>
      <c r="V14" s="147">
        <f>ROUND('VHČ 2013 (v Kč)'!V14/1000,0)</f>
        <v>10216</v>
      </c>
      <c r="W14" s="149">
        <f>ROUND('VHČ 2013 (v Kč)'!W14/1000,0)</f>
        <v>9892</v>
      </c>
      <c r="X14" s="234">
        <f>ROUND('VHČ 2013 (v Kč)'!X14/1000,0)</f>
        <v>26685</v>
      </c>
      <c r="Y14" s="147">
        <f>ROUND('VHČ 2013 (v Kč)'!Y14/1000,0)</f>
        <v>11045</v>
      </c>
      <c r="Z14" s="147">
        <f>ROUND('VHČ 2013 (v Kč)'!Z14/1000,0)</f>
        <v>3</v>
      </c>
      <c r="AA14" s="147">
        <f>ROUND('VHČ 2013 (v Kč)'!AA14/1000,0)</f>
        <v>66935</v>
      </c>
      <c r="AB14" s="147">
        <f>ROUND('VHČ 2013 (v Kč)'!AB14/1000,0)</f>
        <v>294</v>
      </c>
      <c r="AC14" s="244">
        <f>ROUND('VHČ 2013 (v Kč)'!AC14/1000,0)</f>
        <v>5464</v>
      </c>
    </row>
    <row r="15" spans="1:29" s="293" customFormat="1" ht="18" customHeight="1">
      <c r="A15" s="51">
        <v>9</v>
      </c>
      <c r="B15" s="52" t="s">
        <v>46</v>
      </c>
      <c r="C15" s="53" t="s">
        <v>47</v>
      </c>
      <c r="D15" s="143">
        <f t="shared" si="1"/>
        <v>179094</v>
      </c>
      <c r="E15" s="146">
        <f>ROUND('VHČ 2013 (v Kč)'!E15/1000,0)</f>
        <v>46710</v>
      </c>
      <c r="F15" s="125">
        <f>ROUND('VHČ 2013 (v Kč)'!F15/1000,0)</f>
        <v>169</v>
      </c>
      <c r="G15" s="145">
        <f t="shared" si="2"/>
        <v>132215</v>
      </c>
      <c r="H15" s="146">
        <f>ROUND('VHČ 2013 (v Kč)'!H15/1000,0)</f>
        <v>24519</v>
      </c>
      <c r="I15" s="259">
        <f>ROUND('VHČ 2013 (v Kč)'!I15/1000,0)</f>
        <v>59</v>
      </c>
      <c r="J15" s="221">
        <f>ROUND('VHČ 2013 (v Kč)'!J15/1000,0)</f>
        <v>1674</v>
      </c>
      <c r="K15" s="147">
        <f>ROUND('VHČ 2013 (v Kč)'!K15/1000,0)</f>
        <v>2247</v>
      </c>
      <c r="L15" s="147">
        <f>ROUND('VHČ 2013 (v Kč)'!L15/1000,0)</f>
        <v>7496</v>
      </c>
      <c r="M15" s="147">
        <f>ROUND('VHČ 2013 (v Kč)'!M15/1000,0)</f>
        <v>98</v>
      </c>
      <c r="N15" s="147">
        <f>ROUND('VHČ 2013 (v Kč)'!N15/1000,0)</f>
        <v>7003</v>
      </c>
      <c r="O15" s="147">
        <f>ROUND('VHČ 2013 (v Kč)'!O15/1000,0)</f>
        <v>6904</v>
      </c>
      <c r="P15" s="148">
        <f>ROUND('VHČ 2013 (v Kč)'!P15/1000,0)</f>
        <v>314</v>
      </c>
      <c r="Q15" s="234">
        <f>ROUND('VHČ 2013 (v Kč)'!Q15/1000,0)</f>
        <v>401</v>
      </c>
      <c r="R15" s="213">
        <f>ROUND('VHČ 2013 (v Kč)'!R15/1000,0)</f>
        <v>38921</v>
      </c>
      <c r="S15" s="147">
        <f>ROUND('VHČ 2013 (v Kč)'!S15/1000,0)</f>
        <v>428</v>
      </c>
      <c r="T15" s="147">
        <f>ROUND('VHČ 2013 (v Kč)'!T15/1000,0)</f>
        <v>11803</v>
      </c>
      <c r="U15" s="147">
        <f>ROUND('VHČ 2013 (v Kč)'!U15/1000,0)</f>
        <v>3670</v>
      </c>
      <c r="V15" s="147">
        <f>ROUND('VHČ 2013 (v Kč)'!V15/1000,0)</f>
        <v>1871</v>
      </c>
      <c r="W15" s="149">
        <f>ROUND('VHČ 2013 (v Kč)'!W15/1000,0)</f>
        <v>3702</v>
      </c>
      <c r="X15" s="234">
        <f>ROUND('VHČ 2013 (v Kč)'!X15/1000,0)</f>
        <v>8551</v>
      </c>
      <c r="Y15" s="147">
        <f>ROUND('VHČ 2013 (v Kč)'!Y15/1000,0)</f>
        <v>1389</v>
      </c>
      <c r="Z15" s="147">
        <f>ROUND('VHČ 2013 (v Kč)'!Z15/1000,0)</f>
        <v>52</v>
      </c>
      <c r="AA15" s="147">
        <f>ROUND('VHČ 2013 (v Kč)'!AA15/1000,0)</f>
        <v>9235</v>
      </c>
      <c r="AB15" s="147">
        <f>ROUND('VHČ 2013 (v Kč)'!AB15/1000,0)</f>
        <v>1646</v>
      </c>
      <c r="AC15" s="244">
        <f>ROUND('VHČ 2013 (v Kč)'!AC15/1000,0)</f>
        <v>232</v>
      </c>
    </row>
    <row r="16" spans="1:29" s="293" customFormat="1" ht="18" customHeight="1">
      <c r="A16" s="51">
        <v>10</v>
      </c>
      <c r="B16" s="52" t="s">
        <v>48</v>
      </c>
      <c r="C16" s="53" t="s">
        <v>49</v>
      </c>
      <c r="D16" s="143">
        <f t="shared" si="1"/>
        <v>43300</v>
      </c>
      <c r="E16" s="146"/>
      <c r="F16" s="125">
        <f>ROUND('VHČ 2013 (v Kč)'!F16/1000,0)</f>
        <v>3346</v>
      </c>
      <c r="G16" s="145">
        <f t="shared" si="2"/>
        <v>39954</v>
      </c>
      <c r="H16" s="146">
        <f>ROUND('VHČ 2013 (v Kč)'!H16/1000,0)</f>
        <v>8085</v>
      </c>
      <c r="I16" s="259"/>
      <c r="J16" s="221">
        <f>ROUND('VHČ 2013 (v Kč)'!J16/1000,0)</f>
        <v>5417</v>
      </c>
      <c r="K16" s="147">
        <f>ROUND('VHČ 2013 (v Kč)'!K16/1000,0)</f>
        <v>2917</v>
      </c>
      <c r="L16" s="147">
        <f>ROUND('VHČ 2013 (v Kč)'!L16/1000,0)</f>
        <v>3149</v>
      </c>
      <c r="M16" s="147">
        <f>ROUND('VHČ 2013 (v Kč)'!M16/1000,0)</f>
        <v>14</v>
      </c>
      <c r="N16" s="147"/>
      <c r="O16" s="147"/>
      <c r="P16" s="148"/>
      <c r="Q16" s="234">
        <f>ROUND('VHČ 2013 (v Kč)'!Q16/1000,0)</f>
        <v>415</v>
      </c>
      <c r="R16" s="415">
        <f>ROUND('VHČ 2013 (v Kč)'!R16/1000,0)</f>
        <v>1373</v>
      </c>
      <c r="S16" s="147">
        <f>ROUND('VHČ 2013 (v Kč)'!S16/1000,0)</f>
        <v>43</v>
      </c>
      <c r="T16" s="147"/>
      <c r="U16" s="147">
        <f>ROUND('VHČ 2013 (v Kč)'!U16/1000,0)</f>
        <v>5153</v>
      </c>
      <c r="V16" s="147">
        <f>ROUND('VHČ 2013 (v Kč)'!V16/1000,0)</f>
        <v>1929</v>
      </c>
      <c r="W16" s="149"/>
      <c r="X16" s="234"/>
      <c r="Y16" s="147">
        <f>ROUND('VHČ 2013 (v Kč)'!Y16/1000,0)</f>
        <v>2588</v>
      </c>
      <c r="Z16" s="147">
        <f>ROUND('VHČ 2013 (v Kč)'!Z16/1000,0)</f>
        <v>26</v>
      </c>
      <c r="AA16" s="147">
        <f>ROUND('VHČ 2013 (v Kč)'!AA16/1000,0)</f>
        <v>7111</v>
      </c>
      <c r="AB16" s="147"/>
      <c r="AC16" s="244">
        <f>ROUND('VHČ 2013 (v Kč)'!AC16/1000,0)</f>
        <v>1734</v>
      </c>
    </row>
    <row r="17" spans="1:219" s="293" customFormat="1" ht="18" customHeight="1">
      <c r="A17" s="51">
        <v>11</v>
      </c>
      <c r="B17" s="52" t="s">
        <v>50</v>
      </c>
      <c r="C17" s="53" t="s">
        <v>51</v>
      </c>
      <c r="D17" s="143">
        <f t="shared" si="1"/>
        <v>1885</v>
      </c>
      <c r="E17" s="146"/>
      <c r="F17" s="125"/>
      <c r="G17" s="145">
        <f t="shared" si="2"/>
        <v>1885</v>
      </c>
      <c r="H17" s="146">
        <f>ROUND('VHČ 2013 (v Kč)'!H17/1000,0)</f>
        <v>1232</v>
      </c>
      <c r="I17" s="259"/>
      <c r="J17" s="221">
        <f>ROUND('VHČ 2013 (v Kč)'!J17/1000,0)</f>
        <v>244</v>
      </c>
      <c r="K17" s="147">
        <f>ROUND('VHČ 2013 (v Kč)'!K17/1000,0)</f>
        <v>86</v>
      </c>
      <c r="L17" s="147">
        <f>ROUND('VHČ 2013 (v Kč)'!L17/1000,0)</f>
        <v>90</v>
      </c>
      <c r="M17" s="147"/>
      <c r="N17" s="147"/>
      <c r="O17" s="147"/>
      <c r="P17" s="148"/>
      <c r="Q17" s="234"/>
      <c r="R17" s="213">
        <f>ROUND('VHČ 2013 (v Kč)'!R17/1000,0)</f>
        <v>156</v>
      </c>
      <c r="S17" s="147"/>
      <c r="T17" s="147"/>
      <c r="U17" s="147"/>
      <c r="V17" s="147">
        <f>ROUND('VHČ 2013 (v Kč)'!V17/1000,0)</f>
        <v>57</v>
      </c>
      <c r="W17" s="149"/>
      <c r="X17" s="234">
        <f>ROUND('VHČ 2013 (v Kč)'!X17/1000,0)</f>
        <v>2</v>
      </c>
      <c r="Y17" s="147"/>
      <c r="Z17" s="147"/>
      <c r="AA17" s="147"/>
      <c r="AB17" s="147"/>
      <c r="AC17" s="244">
        <f>ROUND('VHČ 2013 (v Kč)'!AC17/1000,0)</f>
        <v>18</v>
      </c>
    </row>
    <row r="18" spans="1:219" s="293" customFormat="1" ht="18" customHeight="1">
      <c r="A18" s="51">
        <v>12</v>
      </c>
      <c r="B18" s="52" t="s">
        <v>52</v>
      </c>
      <c r="C18" s="294" t="s">
        <v>53</v>
      </c>
      <c r="D18" s="143">
        <f t="shared" si="1"/>
        <v>71147</v>
      </c>
      <c r="E18" s="146">
        <f>ROUND('VHČ 2013 (v Kč)'!E18/1000,0)</f>
        <v>2684</v>
      </c>
      <c r="F18" s="125"/>
      <c r="G18" s="145">
        <f t="shared" si="2"/>
        <v>68463</v>
      </c>
      <c r="H18" s="146">
        <f>ROUND('VHČ 2013 (v Kč)'!H18/1000,0)</f>
        <v>32533</v>
      </c>
      <c r="I18" s="259">
        <f>ROUND('VHČ 2013 (v Kč)'!I18/1000,0)</f>
        <v>-304</v>
      </c>
      <c r="J18" s="221">
        <f>ROUND('VHČ 2013 (v Kč)'!J18/1000,0)</f>
        <v>663</v>
      </c>
      <c r="K18" s="147">
        <f>ROUND('VHČ 2013 (v Kč)'!K18/1000,0)</f>
        <v>1815</v>
      </c>
      <c r="L18" s="147">
        <f>ROUND('VHČ 2013 (v Kč)'!L18/1000,0)</f>
        <v>402</v>
      </c>
      <c r="M18" s="147"/>
      <c r="N18" s="147">
        <f>ROUND('VHČ 2013 (v Kč)'!N18/1000,0)</f>
        <v>-230</v>
      </c>
      <c r="O18" s="147">
        <f>ROUND('VHČ 2013 (v Kč)'!O18/1000,0)</f>
        <v>-327</v>
      </c>
      <c r="P18" s="148"/>
      <c r="Q18" s="234">
        <f>ROUND('VHČ 2013 (v Kč)'!Q18/1000,0)</f>
        <v>-28</v>
      </c>
      <c r="R18" s="213">
        <f>ROUND('VHČ 2013 (v Kč)'!R18/1000,0)</f>
        <v>28846</v>
      </c>
      <c r="S18" s="147"/>
      <c r="T18" s="147">
        <f>ROUND('VHČ 2013 (v Kč)'!T18/1000,0)</f>
        <v>1391</v>
      </c>
      <c r="U18" s="147">
        <f>ROUND('VHČ 2013 (v Kč)'!U18/1000,0)</f>
        <v>157</v>
      </c>
      <c r="V18" s="147">
        <f>ROUND('VHČ 2013 (v Kč)'!V18/1000,0)</f>
        <v>341</v>
      </c>
      <c r="W18" s="149">
        <f>ROUND('VHČ 2013 (v Kč)'!W18/1000,0)</f>
        <v>1203</v>
      </c>
      <c r="X18" s="234">
        <f>ROUND('VHČ 2013 (v Kč)'!X18/1000,0)</f>
        <v>311</v>
      </c>
      <c r="Y18" s="147">
        <f>ROUND('VHČ 2013 (v Kč)'!Y18/1000,0)</f>
        <v>131</v>
      </c>
      <c r="Z18" s="147"/>
      <c r="AA18" s="147">
        <f>ROUND('VHČ 2013 (v Kč)'!AA18/1000,0)</f>
        <v>1450</v>
      </c>
      <c r="AB18" s="147"/>
      <c r="AC18" s="244">
        <f>ROUND('VHČ 2013 (v Kč)'!AC18/1000,0)</f>
        <v>109</v>
      </c>
    </row>
    <row r="19" spans="1:219" s="293" customFormat="1" ht="18" customHeight="1" thickBot="1">
      <c r="A19" s="51">
        <v>13</v>
      </c>
      <c r="B19" s="52" t="s">
        <v>62</v>
      </c>
      <c r="C19" s="53" t="s">
        <v>54</v>
      </c>
      <c r="D19" s="143">
        <f t="shared" si="1"/>
        <v>13791</v>
      </c>
      <c r="E19" s="152"/>
      <c r="F19" s="125">
        <f>ROUND('VHČ 2013 (v Kč)'!F19/1000,0)</f>
        <v>11</v>
      </c>
      <c r="G19" s="150">
        <f t="shared" si="2"/>
        <v>13780</v>
      </c>
      <c r="H19" s="152">
        <f>ROUND('VHČ 2013 (v Kč)'!H19/1000,0)</f>
        <v>4751</v>
      </c>
      <c r="I19" s="261">
        <f>ROUND('VHČ 2013 (v Kč)'!I19/1000,0)</f>
        <v>0</v>
      </c>
      <c r="J19" s="222">
        <f>ROUND('VHČ 2013 (v Kč)'!J19/1000,0)</f>
        <v>10</v>
      </c>
      <c r="K19" s="170">
        <f>ROUND('VHČ 2013 (v Kč)'!K19/1000,0)</f>
        <v>105</v>
      </c>
      <c r="L19" s="170">
        <f>ROUND('VHČ 2013 (v Kč)'!L19/1000,0)</f>
        <v>269</v>
      </c>
      <c r="M19" s="170">
        <f>ROUND('VHČ 2013 (v Kč)'!M19/1000,0)</f>
        <v>5</v>
      </c>
      <c r="N19" s="170">
        <f>ROUND('VHČ 2013 (v Kč)'!N19/1000,0)</f>
        <v>546</v>
      </c>
      <c r="O19" s="170">
        <f>ROUND('VHČ 2013 (v Kč)'!O19/1000,0)</f>
        <v>602</v>
      </c>
      <c r="P19" s="205">
        <f>ROUND('VHČ 2013 (v Kč)'!P19/1000,0)</f>
        <v>0</v>
      </c>
      <c r="Q19" s="292">
        <f>ROUND('VHČ 2013 (v Kč)'!Q19/1000,0)</f>
        <v>21</v>
      </c>
      <c r="R19" s="170">
        <f>ROUND('VHČ 2013 (v Kč)'!R19/1000,0)</f>
        <v>3138</v>
      </c>
      <c r="S19" s="170">
        <f>ROUND('VHČ 2013 (v Kč)'!S19/1000,0)</f>
        <v>160</v>
      </c>
      <c r="T19" s="170">
        <f>ROUND('VHČ 2013 (v Kč)'!T19/1000,0)</f>
        <v>860</v>
      </c>
      <c r="U19" s="170">
        <f>ROUND('VHČ 2013 (v Kč)'!U19/1000,0)</f>
        <v>510</v>
      </c>
      <c r="V19" s="170">
        <f>ROUND('VHČ 2013 (v Kč)'!V19/1000,0)</f>
        <v>338</v>
      </c>
      <c r="W19" s="287">
        <f>ROUND('VHČ 2013 (v Kč)'!W19/1000,0)</f>
        <v>603</v>
      </c>
      <c r="X19" s="292">
        <f>ROUND('VHČ 2013 (v Kč)'!X19/1000,0)</f>
        <v>191</v>
      </c>
      <c r="Y19" s="170">
        <f>ROUND('VHČ 2013 (v Kč)'!Y19/1000,0)</f>
        <v>26</v>
      </c>
      <c r="Z19" s="170">
        <f>ROUND('VHČ 2013 (v Kč)'!Z19/1000,0)</f>
        <v>11</v>
      </c>
      <c r="AA19" s="170">
        <f>ROUND('VHČ 2013 (v Kč)'!AA19/1000,0)</f>
        <v>1509</v>
      </c>
      <c r="AB19" s="170">
        <f>ROUND('VHČ 2013 (v Kč)'!AB19/1000,0)</f>
        <v>11</v>
      </c>
      <c r="AC19" s="170">
        <f>ROUND('VHČ 2013 (v Kč)'!AC19/1000,0)</f>
        <v>114</v>
      </c>
    </row>
    <row r="20" spans="1:219" s="293" customFormat="1" ht="23.25" customHeight="1" thickBot="1">
      <c r="A20" s="63">
        <v>14</v>
      </c>
      <c r="B20" s="64"/>
      <c r="C20" s="65" t="s">
        <v>72</v>
      </c>
      <c r="D20" s="172">
        <f>SUM(D13:D19)</f>
        <v>821227</v>
      </c>
      <c r="E20" s="173">
        <f>SUM(E13:E19)</f>
        <v>52359</v>
      </c>
      <c r="F20" s="174">
        <f>SUM(F13:F19)</f>
        <v>9981</v>
      </c>
      <c r="G20" s="161">
        <f>SUM(G13:G19)</f>
        <v>758887</v>
      </c>
      <c r="H20" s="183">
        <f>SUM(H13:H19)</f>
        <v>183733</v>
      </c>
      <c r="I20" s="154">
        <f t="shared" ref="I20:AC20" si="3">SUM(I13:I19)</f>
        <v>-71</v>
      </c>
      <c r="J20" s="224">
        <f t="shared" si="3"/>
        <v>10546</v>
      </c>
      <c r="K20" s="184">
        <f t="shared" si="3"/>
        <v>15931</v>
      </c>
      <c r="L20" s="184">
        <f t="shared" si="3"/>
        <v>37312</v>
      </c>
      <c r="M20" s="159">
        <f t="shared" si="3"/>
        <v>191</v>
      </c>
      <c r="N20" s="159">
        <f t="shared" si="3"/>
        <v>25470</v>
      </c>
      <c r="O20" s="159">
        <f t="shared" si="3"/>
        <v>20289</v>
      </c>
      <c r="P20" s="160">
        <f t="shared" si="3"/>
        <v>1031</v>
      </c>
      <c r="Q20" s="158">
        <f t="shared" si="3"/>
        <v>1647</v>
      </c>
      <c r="R20" s="214">
        <f t="shared" si="3"/>
        <v>207550</v>
      </c>
      <c r="S20" s="159">
        <f t="shared" si="3"/>
        <v>2079</v>
      </c>
      <c r="T20" s="159">
        <f t="shared" si="3"/>
        <v>33832</v>
      </c>
      <c r="U20" s="159">
        <f t="shared" si="3"/>
        <v>37216</v>
      </c>
      <c r="V20" s="159">
        <f t="shared" si="3"/>
        <v>14823</v>
      </c>
      <c r="W20" s="162">
        <f t="shared" si="3"/>
        <v>15450</v>
      </c>
      <c r="X20" s="158">
        <f t="shared" si="3"/>
        <v>35755</v>
      </c>
      <c r="Y20" s="159">
        <f t="shared" si="3"/>
        <v>15307</v>
      </c>
      <c r="Z20" s="159">
        <f t="shared" si="3"/>
        <v>92</v>
      </c>
      <c r="AA20" s="159">
        <f t="shared" si="3"/>
        <v>91717</v>
      </c>
      <c r="AB20" s="159">
        <f t="shared" si="3"/>
        <v>1951</v>
      </c>
      <c r="AC20" s="160">
        <f t="shared" si="3"/>
        <v>7036</v>
      </c>
    </row>
    <row r="21" spans="1:219" s="293" customFormat="1" ht="18" customHeight="1" thickBot="1">
      <c r="A21" s="9"/>
      <c r="B21" s="10"/>
      <c r="C21" s="82"/>
      <c r="D21" s="175"/>
      <c r="E21" s="176"/>
      <c r="F21" s="177"/>
      <c r="G21" s="176"/>
      <c r="H21" s="178"/>
      <c r="I21" s="181"/>
      <c r="J21" s="93"/>
      <c r="K21" s="179"/>
      <c r="L21" s="179"/>
      <c r="M21" s="179"/>
      <c r="N21" s="179"/>
      <c r="O21" s="179"/>
      <c r="P21" s="180"/>
      <c r="Q21" s="178"/>
      <c r="R21" s="216"/>
      <c r="S21" s="179"/>
      <c r="T21" s="179"/>
      <c r="U21" s="179"/>
      <c r="V21" s="179"/>
      <c r="W21" s="181"/>
      <c r="X21" s="178"/>
      <c r="Y21" s="179"/>
      <c r="Z21" s="179"/>
      <c r="AA21" s="179"/>
      <c r="AB21" s="179"/>
      <c r="AC21" s="180"/>
    </row>
    <row r="22" spans="1:219" s="295" customFormat="1" ht="24" customHeight="1" thickBot="1">
      <c r="A22" s="63">
        <v>15</v>
      </c>
      <c r="B22" s="64"/>
      <c r="C22" s="65" t="s">
        <v>75</v>
      </c>
      <c r="D22" s="172">
        <f>SUM(D10-D20)</f>
        <v>1244615</v>
      </c>
      <c r="E22" s="173">
        <f>0+E10-E20</f>
        <v>432979</v>
      </c>
      <c r="F22" s="182">
        <f>0+F10-F20</f>
        <v>286</v>
      </c>
      <c r="G22" s="173">
        <f t="shared" ref="G22:AC22" si="4">SUM(G10-G20)</f>
        <v>811350</v>
      </c>
      <c r="H22" s="183">
        <f t="shared" si="4"/>
        <v>156903</v>
      </c>
      <c r="I22" s="154">
        <f t="shared" si="4"/>
        <v>628</v>
      </c>
      <c r="J22" s="224">
        <f t="shared" si="4"/>
        <v>38713</v>
      </c>
      <c r="K22" s="184">
        <f t="shared" si="4"/>
        <v>28491</v>
      </c>
      <c r="L22" s="184">
        <f t="shared" si="4"/>
        <v>43368</v>
      </c>
      <c r="M22" s="184">
        <f t="shared" si="4"/>
        <v>403</v>
      </c>
      <c r="N22" s="184">
        <f t="shared" si="4"/>
        <v>55879</v>
      </c>
      <c r="O22" s="184">
        <f t="shared" si="4"/>
        <v>66346</v>
      </c>
      <c r="P22" s="185">
        <f t="shared" si="4"/>
        <v>2730</v>
      </c>
      <c r="Q22" s="183">
        <f t="shared" si="4"/>
        <v>6381</v>
      </c>
      <c r="R22" s="217">
        <f t="shared" si="4"/>
        <v>99987</v>
      </c>
      <c r="S22" s="184">
        <f t="shared" si="4"/>
        <v>2557</v>
      </c>
      <c r="T22" s="184">
        <f t="shared" si="4"/>
        <v>81597</v>
      </c>
      <c r="U22" s="184">
        <f t="shared" si="4"/>
        <v>17374</v>
      </c>
      <c r="V22" s="184">
        <f t="shared" si="4"/>
        <v>26199</v>
      </c>
      <c r="W22" s="154">
        <f t="shared" si="4"/>
        <v>20357</v>
      </c>
      <c r="X22" s="248">
        <f t="shared" si="4"/>
        <v>77263</v>
      </c>
      <c r="Y22" s="184">
        <f t="shared" si="4"/>
        <v>20097</v>
      </c>
      <c r="Z22" s="184">
        <f t="shared" si="4"/>
        <v>313</v>
      </c>
      <c r="AA22" s="184">
        <f t="shared" si="4"/>
        <v>50604</v>
      </c>
      <c r="AB22" s="184">
        <f t="shared" si="4"/>
        <v>-1171</v>
      </c>
      <c r="AC22" s="185">
        <f t="shared" si="4"/>
        <v>16331</v>
      </c>
    </row>
    <row r="23" spans="1:219" s="293" customFormat="1" ht="18" customHeight="1">
      <c r="A23" s="9"/>
      <c r="B23" s="10"/>
      <c r="C23" s="82"/>
      <c r="D23" s="175"/>
      <c r="E23" s="176"/>
      <c r="F23" s="177"/>
      <c r="G23" s="176"/>
      <c r="H23" s="186"/>
      <c r="I23" s="262"/>
      <c r="J23" s="225"/>
      <c r="K23" s="187"/>
      <c r="L23" s="187"/>
      <c r="M23" s="187"/>
      <c r="N23" s="187"/>
      <c r="O23" s="187"/>
      <c r="P23" s="188"/>
      <c r="Q23" s="178"/>
      <c r="R23" s="218"/>
      <c r="S23" s="187"/>
      <c r="T23" s="187"/>
      <c r="U23" s="187"/>
      <c r="V23" s="187"/>
      <c r="W23" s="181"/>
      <c r="X23" s="178"/>
      <c r="Y23" s="187"/>
      <c r="Z23" s="187"/>
      <c r="AA23" s="187"/>
      <c r="AB23" s="187"/>
      <c r="AC23" s="249"/>
    </row>
    <row r="24" spans="1:219" s="293" customFormat="1" ht="18" customHeight="1">
      <c r="A24" s="51">
        <v>16</v>
      </c>
      <c r="B24" s="52">
        <v>591</v>
      </c>
      <c r="C24" s="53" t="s">
        <v>55</v>
      </c>
      <c r="D24" s="143">
        <f>SUM(E24:G24)</f>
        <v>145620</v>
      </c>
      <c r="E24" s="146">
        <f>ROUND('VHČ 2013 (v Kč)'!E24/1000,0)</f>
        <v>2832</v>
      </c>
      <c r="F24" s="125">
        <f>ROUND('VHČ 2013 (v Kč)'!F24/1000,0)</f>
        <v>93</v>
      </c>
      <c r="G24" s="145">
        <f>SUM(H24:AC24)</f>
        <v>142695</v>
      </c>
      <c r="H24" s="146">
        <f>ROUND('VHČ 2013 (v Kč)'!H24/1000,0)</f>
        <v>25249</v>
      </c>
      <c r="I24" s="259">
        <f>ROUND('VHČ 2013 (v Kč)'!I24/1000,0)</f>
        <v>119</v>
      </c>
      <c r="J24" s="221">
        <f>ROUND('VHČ 2013 (v Kč)'!J24/1000,0)</f>
        <v>6073</v>
      </c>
      <c r="K24" s="147">
        <f>ROUND('VHČ 2013 (v Kč)'!K24/1000,0)-1</f>
        <v>7894</v>
      </c>
      <c r="L24" s="147">
        <f>ROUND('VHČ 2013 (v Kč)'!L24/1000,0)</f>
        <v>8229</v>
      </c>
      <c r="M24" s="147">
        <f>ROUND('VHČ 2013 (v Kč)'!M24/1000,0)</f>
        <v>42</v>
      </c>
      <c r="N24" s="147">
        <f>ROUND('VHČ 2013 (v Kč)'!N24/1000,0)</f>
        <v>10642</v>
      </c>
      <c r="O24" s="147">
        <f>ROUND('VHČ 2013 (v Kč)'!O24/1000,0)</f>
        <v>12517</v>
      </c>
      <c r="P24" s="148">
        <f>ROUND('VHČ 2013 (v Kč)'!P24/1000,0)</f>
        <v>672</v>
      </c>
      <c r="Q24" s="234">
        <f>ROUND('VHČ 2013 (v Kč)'!Q24/1000,0)</f>
        <v>1190</v>
      </c>
      <c r="R24" s="213">
        <f>ROUND('VHČ 2013 (v Kč)'!R24/1000,0)</f>
        <v>9118</v>
      </c>
      <c r="S24" s="147">
        <f>ROUND('VHČ 2013 (v Kč)'!S24/1000,0)</f>
        <v>480</v>
      </c>
      <c r="T24" s="147">
        <f>ROUND('VHČ 2013 (v Kč)'!T24/1000,0)</f>
        <v>15913</v>
      </c>
      <c r="U24" s="147">
        <f>ROUND('VHČ 2013 (v Kč)'!U24/1000,0)</f>
        <v>1089</v>
      </c>
      <c r="V24" s="147">
        <f>ROUND('VHČ 2013 (v Kč)'!V24/1000,0)</f>
        <v>5529</v>
      </c>
      <c r="W24" s="149">
        <f>ROUND('VHČ 2013 (v Kč)'!W24/1000,0)</f>
        <v>4142</v>
      </c>
      <c r="X24" s="234">
        <f>ROUND('VHČ 2013 (v Kč)'!X24/1000,0)</f>
        <v>14758</v>
      </c>
      <c r="Y24" s="147">
        <f>ROUND('VHČ 2013 (v Kč)'!Y24/1000,0)</f>
        <v>3819</v>
      </c>
      <c r="Z24" s="147">
        <f>ROUND('VHČ 2013 (v Kč)'!Z24/1000,0)</f>
        <v>59</v>
      </c>
      <c r="AA24" s="147">
        <f>ROUND('VHČ 2013 (v Kč)'!AA24/1000,0)</f>
        <v>12175</v>
      </c>
      <c r="AB24" s="147">
        <f>ROUND('VHČ 2013 (v Kč)'!AB24/1000,0)</f>
        <v>-1</v>
      </c>
      <c r="AC24" s="244">
        <f>ROUND('VHČ 2013 (v Kč)'!AC24/1000,0)</f>
        <v>2987</v>
      </c>
    </row>
    <row r="25" spans="1:219" s="293" customFormat="1" ht="18" customHeight="1" thickBot="1">
      <c r="A25" s="9"/>
      <c r="B25" s="10"/>
      <c r="C25" s="82"/>
      <c r="D25" s="175"/>
      <c r="E25" s="176"/>
      <c r="F25" s="177"/>
      <c r="G25" s="176"/>
      <c r="H25" s="152"/>
      <c r="I25" s="261"/>
      <c r="J25" s="226"/>
      <c r="K25" s="228"/>
      <c r="L25" s="189"/>
      <c r="M25" s="189"/>
      <c r="N25" s="190"/>
      <c r="O25" s="189"/>
      <c r="P25" s="191"/>
      <c r="Q25" s="236"/>
      <c r="R25" s="192"/>
      <c r="S25" s="193"/>
      <c r="T25" s="194"/>
      <c r="U25" s="193"/>
      <c r="V25" s="194"/>
      <c r="W25" s="195"/>
      <c r="X25" s="250"/>
      <c r="Y25" s="251"/>
      <c r="Z25" s="251"/>
      <c r="AA25" s="251"/>
      <c r="AB25" s="251"/>
      <c r="AC25" s="252"/>
    </row>
    <row r="26" spans="1:219" s="293" customFormat="1" ht="21" customHeight="1" thickBot="1">
      <c r="A26" s="63">
        <v>17</v>
      </c>
      <c r="B26" s="64"/>
      <c r="C26" s="65" t="s">
        <v>74</v>
      </c>
      <c r="D26" s="172">
        <f>D22-D24</f>
        <v>1098995</v>
      </c>
      <c r="E26" s="173">
        <f>0+E22-E24</f>
        <v>430147</v>
      </c>
      <c r="F26" s="182">
        <f>0+F22-F24</f>
        <v>193</v>
      </c>
      <c r="G26" s="173">
        <f t="shared" ref="G26:AC26" si="5">SUM(G22-G24)</f>
        <v>668655</v>
      </c>
      <c r="H26" s="288">
        <f t="shared" si="5"/>
        <v>131654</v>
      </c>
      <c r="I26" s="289">
        <f t="shared" si="5"/>
        <v>509</v>
      </c>
      <c r="J26" s="290">
        <f t="shared" si="5"/>
        <v>32640</v>
      </c>
      <c r="K26" s="229">
        <f t="shared" si="5"/>
        <v>20597</v>
      </c>
      <c r="L26" s="196">
        <f t="shared" si="5"/>
        <v>35139</v>
      </c>
      <c r="M26" s="196">
        <f t="shared" si="5"/>
        <v>361</v>
      </c>
      <c r="N26" s="197">
        <f t="shared" si="5"/>
        <v>45237</v>
      </c>
      <c r="O26" s="196">
        <f t="shared" si="5"/>
        <v>53829</v>
      </c>
      <c r="P26" s="198">
        <f t="shared" si="5"/>
        <v>2058</v>
      </c>
      <c r="Q26" s="237">
        <f t="shared" si="5"/>
        <v>5191</v>
      </c>
      <c r="R26" s="199">
        <f t="shared" si="5"/>
        <v>90869</v>
      </c>
      <c r="S26" s="200">
        <f t="shared" si="5"/>
        <v>2077</v>
      </c>
      <c r="T26" s="201">
        <f t="shared" si="5"/>
        <v>65684</v>
      </c>
      <c r="U26" s="200">
        <f t="shared" si="5"/>
        <v>16285</v>
      </c>
      <c r="V26" s="201">
        <f t="shared" si="5"/>
        <v>20670</v>
      </c>
      <c r="W26" s="202">
        <f t="shared" si="5"/>
        <v>16215</v>
      </c>
      <c r="X26" s="253">
        <f t="shared" si="5"/>
        <v>62505</v>
      </c>
      <c r="Y26" s="254">
        <f t="shared" si="5"/>
        <v>16278</v>
      </c>
      <c r="Z26" s="254">
        <f t="shared" si="5"/>
        <v>254</v>
      </c>
      <c r="AA26" s="254">
        <f t="shared" si="5"/>
        <v>38429</v>
      </c>
      <c r="AB26" s="254">
        <f t="shared" si="5"/>
        <v>-1170</v>
      </c>
      <c r="AC26" s="255">
        <f t="shared" si="5"/>
        <v>13344</v>
      </c>
    </row>
    <row r="27" spans="1:219" s="293" customFormat="1" ht="15" customHeight="1">
      <c r="A27" s="91"/>
      <c r="B27" s="91"/>
      <c r="C27" s="203"/>
      <c r="D27" s="93"/>
      <c r="E27" s="94"/>
      <c r="F27" s="94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</row>
    <row r="28" spans="1:219" s="293" customFormat="1" ht="18.75" customHeight="1" thickBot="1">
      <c r="A28" s="91"/>
      <c r="B28" s="91"/>
      <c r="C28" s="203"/>
      <c r="D28" s="93"/>
      <c r="E28" s="94"/>
      <c r="F28" s="94"/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</row>
    <row r="29" spans="1:219" s="293" customFormat="1" ht="19.5" thickBot="1">
      <c r="A29" s="392">
        <v>18</v>
      </c>
      <c r="B29" s="393">
        <v>241</v>
      </c>
      <c r="C29" s="394" t="s">
        <v>64</v>
      </c>
      <c r="D29" s="395">
        <f>SUM(E29:G29)</f>
        <v>1020239</v>
      </c>
      <c r="E29" s="398">
        <f>ROUND('VHČ 2013 (v Kč)'!E32/1000,0)</f>
        <v>51821</v>
      </c>
      <c r="F29" s="397">
        <f>ROUND('VHČ 2013 (v Kč)'!F32/1000,0)</f>
        <v>506</v>
      </c>
      <c r="G29" s="396">
        <f>SUM(H29:AC29)</f>
        <v>967912</v>
      </c>
      <c r="H29" s="398">
        <f>ROUND('VHČ 2013 (v Kč)'!H32/1000,0)</f>
        <v>249076</v>
      </c>
      <c r="I29" s="399">
        <f>ROUND('VHČ 2013 (v Kč)'!I32/1000,0)</f>
        <v>739</v>
      </c>
      <c r="J29" s="400">
        <f>ROUND('VHČ 2013 (v Kč)'!J32/1000,0)</f>
        <v>91554</v>
      </c>
      <c r="K29" s="401">
        <f>ROUND('VHČ 2013 (v Kč)'!K32/1000,0)</f>
        <v>22448</v>
      </c>
      <c r="L29" s="401">
        <f>ROUND('VHČ 2013 (v Kč)'!L32/1000,0)</f>
        <v>56209</v>
      </c>
      <c r="M29" s="401">
        <f>ROUND('VHČ 2013 (v Kč)'!M32/1000,0)</f>
        <v>3706</v>
      </c>
      <c r="N29" s="401">
        <f>ROUND('VHČ 2013 (v Kč)'!N32/1000,0)</f>
        <v>29004</v>
      </c>
      <c r="O29" s="401">
        <f>ROUND('VHČ 2013 (v Kč)'!O32/1000,0)</f>
        <v>63763</v>
      </c>
      <c r="P29" s="399">
        <f>ROUND('VHČ 2013 (v Kč)'!P32/1000,0)</f>
        <v>1667</v>
      </c>
      <c r="Q29" s="402">
        <f>ROUND('VHČ 2013 (v Kč)'!Q32/1000,0)</f>
        <v>7782</v>
      </c>
      <c r="R29" s="401">
        <f>ROUND('VHČ 2013 (v Kč)'!R32/1000,0)</f>
        <v>105968</v>
      </c>
      <c r="S29" s="401">
        <f>ROUND('VHČ 2013 (v Kč)'!S32/1000,0)</f>
        <v>6468</v>
      </c>
      <c r="T29" s="401">
        <f>ROUND('VHČ 2013 (v Kč)'!T32/1000,0)</f>
        <v>68476</v>
      </c>
      <c r="U29" s="401">
        <f>ROUND('VHČ 2013 (v Kč)'!U32/1000,0)</f>
        <v>22550</v>
      </c>
      <c r="V29" s="401">
        <f>ROUND('VHČ 2013 (v Kč)'!V32/1000,0)</f>
        <v>9322</v>
      </c>
      <c r="W29" s="403">
        <f>ROUND('VHČ 2013 (v Kč)'!W32/1000,0)</f>
        <v>40952</v>
      </c>
      <c r="X29" s="402">
        <f>ROUND('VHČ 2013 (v Kč)'!X32/1000,0)</f>
        <v>55222</v>
      </c>
      <c r="Y29" s="401">
        <f>ROUND('VHČ 2013 (v Kč)'!Y32/1000,0)</f>
        <v>33062</v>
      </c>
      <c r="Z29" s="401">
        <f>ROUND('VHČ 2013 (v Kč)'!Z32/1000,0)</f>
        <v>1835</v>
      </c>
      <c r="AA29" s="401">
        <f>ROUND('VHČ 2013 (v Kč)'!AA32/1000,0)</f>
        <v>56623</v>
      </c>
      <c r="AB29" s="401">
        <f>ROUND('VHČ 2013 (v Kč)'!AB32/1000,0)</f>
        <v>20272</v>
      </c>
      <c r="AC29" s="399">
        <f>ROUND('VHČ 2013 (v Kč)'!AC32/1000,0)</f>
        <v>21214</v>
      </c>
    </row>
    <row r="30" spans="1:219" s="293" customFormat="1" ht="15" customHeight="1">
      <c r="A30" s="95" t="s">
        <v>56</v>
      </c>
      <c r="B30" s="95"/>
      <c r="C30" s="96"/>
      <c r="D30" s="96"/>
      <c r="E30" s="97"/>
      <c r="F30" s="97"/>
      <c r="G30" s="97"/>
      <c r="H30" s="97"/>
      <c r="I30" s="97"/>
      <c r="J30" s="97"/>
      <c r="K30" s="97"/>
      <c r="L30" s="97"/>
      <c r="M30" s="97"/>
      <c r="N30" s="297"/>
      <c r="O30" s="297"/>
      <c r="P30" s="297"/>
      <c r="Q30" s="297"/>
      <c r="R30" s="297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</row>
    <row r="31" spans="1:219" s="293" customFormat="1" ht="18">
      <c r="E31" s="98"/>
      <c r="F31" s="98"/>
      <c r="G31" s="98"/>
      <c r="H31" s="98"/>
      <c r="I31" s="98"/>
      <c r="J31" s="98"/>
      <c r="K31" s="98"/>
      <c r="L31" s="98"/>
      <c r="M31" s="298"/>
    </row>
    <row r="32" spans="1:219" s="293" customFormat="1" ht="18">
      <c r="E32" s="98"/>
      <c r="F32" s="98"/>
      <c r="G32" s="100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</row>
    <row r="33" spans="5:13" ht="18">
      <c r="E33" s="98"/>
      <c r="F33" s="98"/>
      <c r="G33" s="98"/>
      <c r="H33" s="98"/>
      <c r="I33" s="98"/>
      <c r="J33" s="98"/>
      <c r="K33" s="98"/>
      <c r="L33" s="98"/>
      <c r="M33" s="99"/>
    </row>
    <row r="34" spans="5:13" ht="18">
      <c r="E34" s="101"/>
      <c r="F34" s="101"/>
      <c r="G34" s="101"/>
      <c r="H34" s="101"/>
      <c r="I34" s="101"/>
      <c r="J34" s="101"/>
      <c r="K34" s="101"/>
      <c r="L34" s="101"/>
    </row>
    <row r="35" spans="5:13" ht="18">
      <c r="E35" s="101"/>
      <c r="F35" s="101"/>
      <c r="G35" s="101"/>
      <c r="H35" s="101"/>
      <c r="I35" s="101"/>
      <c r="J35" s="101"/>
      <c r="K35" s="101"/>
      <c r="L35" s="101"/>
    </row>
    <row r="36" spans="5:13" ht="18">
      <c r="E36" s="101"/>
      <c r="F36" s="101"/>
      <c r="G36" s="101"/>
      <c r="H36" s="101"/>
      <c r="I36" s="101"/>
      <c r="J36" s="101"/>
      <c r="K36" s="101"/>
      <c r="L36" s="101"/>
    </row>
    <row r="37" spans="5:13" ht="18">
      <c r="E37" s="101"/>
      <c r="F37" s="101"/>
      <c r="G37" s="101"/>
      <c r="H37" s="101"/>
      <c r="I37" s="101"/>
      <c r="J37" s="101"/>
      <c r="K37" s="101"/>
      <c r="L37" s="101"/>
    </row>
    <row r="38" spans="5:13" ht="18">
      <c r="E38" s="101"/>
      <c r="F38" s="101"/>
      <c r="G38" s="101"/>
      <c r="H38" s="101"/>
      <c r="I38" s="101"/>
      <c r="J38" s="101"/>
      <c r="K38" s="101"/>
      <c r="L38" s="101"/>
    </row>
    <row r="39" spans="5:13" ht="18">
      <c r="E39" s="101"/>
      <c r="F39" s="101"/>
      <c r="G39" s="101"/>
      <c r="H39" s="101"/>
      <c r="I39" s="101"/>
      <c r="J39" s="101"/>
      <c r="K39" s="101"/>
      <c r="L39" s="101"/>
    </row>
    <row r="40" spans="5:13" ht="18">
      <c r="E40" s="101"/>
      <c r="F40" s="101"/>
      <c r="G40" s="101"/>
      <c r="H40" s="101"/>
      <c r="I40" s="101"/>
      <c r="J40" s="101"/>
      <c r="K40" s="101"/>
      <c r="L40" s="101"/>
    </row>
    <row r="41" spans="5:13" ht="18">
      <c r="E41" s="101"/>
      <c r="F41" s="101"/>
      <c r="G41" s="101"/>
      <c r="H41" s="101"/>
      <c r="I41" s="101"/>
      <c r="J41" s="101"/>
      <c r="K41" s="101"/>
      <c r="L41" s="101"/>
    </row>
    <row r="42" spans="5:13" ht="18">
      <c r="E42" s="101"/>
      <c r="F42" s="101"/>
      <c r="G42" s="101"/>
      <c r="H42" s="101"/>
      <c r="I42" s="101"/>
      <c r="J42" s="101"/>
      <c r="K42" s="101"/>
      <c r="L42" s="101"/>
    </row>
  </sheetData>
  <mergeCells count="1">
    <mergeCell ref="E1:F1"/>
  </mergeCells>
  <phoneticPr fontId="0" type="noConversion"/>
  <printOptions horizontalCentered="1"/>
  <pageMargins left="0.51181102362204722" right="0.51181102362204722" top="1.3385826771653544" bottom="0.86614173228346458" header="0.82677165354330717" footer="0.59055118110236227"/>
  <pageSetup paperSize="9" scale="68" fitToHeight="4" orientation="landscape" r:id="rId1"/>
  <headerFooter alignWithMargins="0">
    <oddHeader>&amp;C&amp;"Times New Roman CE,Tučné"&amp;20Přehled o vedlejší hospodářské činnosti statutárního města Brna za rok 2013 (v tis. Kč)</oddHeader>
    <oddFooter>&amp;R&amp;"Times New Roman,Obyčejné"&amp;11&amp;P</oddFooter>
  </headerFooter>
  <colBreaks count="3" manualBreakCount="3">
    <brk id="9" max="1048575" man="1"/>
    <brk id="16" max="1048575" man="1"/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K45"/>
  <sheetViews>
    <sheetView zoomScale="75" zoomScaleNormal="75" zoomScaleSheetLayoutView="75" workbookViewId="0">
      <pane xSplit="3" topLeftCell="D1" activePane="topRight" state="frozen"/>
      <selection pane="topRight" activeCell="D26" sqref="D26"/>
    </sheetView>
  </sheetViews>
  <sheetFormatPr defaultColWidth="12.6640625" defaultRowHeight="15"/>
  <cols>
    <col min="1" max="1" width="5" style="8" customWidth="1"/>
    <col min="2" max="2" width="7.5546875" style="8" customWidth="1"/>
    <col min="3" max="3" width="51.6640625" style="8" customWidth="1"/>
    <col min="4" max="4" width="16.88671875" style="8" bestFit="1" customWidth="1"/>
    <col min="5" max="6" width="14.77734375" style="8" customWidth="1"/>
    <col min="7" max="7" width="16.88671875" style="8" bestFit="1" customWidth="1"/>
    <col min="8" max="29" width="14.77734375" style="8" customWidth="1"/>
    <col min="30" max="16384" width="12.6640625" style="8"/>
  </cols>
  <sheetData>
    <row r="1" spans="1:29" s="293" customFormat="1" ht="18" customHeight="1" thickTop="1">
      <c r="A1" s="1"/>
      <c r="B1" s="2"/>
      <c r="C1" s="3"/>
      <c r="D1" s="4" t="s">
        <v>0</v>
      </c>
      <c r="E1" s="418" t="s">
        <v>1</v>
      </c>
      <c r="F1" s="419"/>
      <c r="G1" s="3" t="s">
        <v>2</v>
      </c>
      <c r="H1" s="102"/>
      <c r="I1" s="103"/>
      <c r="J1" s="104"/>
      <c r="K1" s="105"/>
      <c r="L1" s="103"/>
      <c r="M1" s="106"/>
      <c r="N1" s="106"/>
      <c r="O1" s="103"/>
      <c r="P1" s="6"/>
      <c r="Q1" s="107"/>
      <c r="R1" s="108"/>
      <c r="S1" s="6"/>
      <c r="T1" s="109"/>
      <c r="U1" s="6"/>
      <c r="V1" s="5"/>
      <c r="W1" s="6"/>
      <c r="X1" s="6"/>
      <c r="Y1" s="6"/>
      <c r="Z1" s="5"/>
      <c r="AA1" s="5"/>
      <c r="AB1" s="6"/>
      <c r="AC1" s="7"/>
    </row>
    <row r="2" spans="1:29" s="293" customFormat="1" ht="18" customHeight="1">
      <c r="A2" s="9" t="s">
        <v>3</v>
      </c>
      <c r="B2" s="10" t="s">
        <v>4</v>
      </c>
      <c r="C2" s="11" t="s">
        <v>5</v>
      </c>
      <c r="D2" s="10" t="s">
        <v>6</v>
      </c>
      <c r="E2" s="12" t="s">
        <v>7</v>
      </c>
      <c r="F2" s="13" t="s">
        <v>8</v>
      </c>
      <c r="G2" s="11" t="s">
        <v>9</v>
      </c>
      <c r="H2" s="14" t="s">
        <v>10</v>
      </c>
      <c r="I2" s="13" t="s">
        <v>11</v>
      </c>
      <c r="J2" s="110" t="s">
        <v>12</v>
      </c>
      <c r="K2" s="15" t="s">
        <v>13</v>
      </c>
      <c r="L2" s="13" t="s">
        <v>14</v>
      </c>
      <c r="M2" s="16" t="s">
        <v>15</v>
      </c>
      <c r="N2" s="16" t="s">
        <v>16</v>
      </c>
      <c r="O2" s="13" t="s">
        <v>17</v>
      </c>
      <c r="P2" s="18" t="s">
        <v>18</v>
      </c>
      <c r="Q2" s="111" t="s">
        <v>19</v>
      </c>
      <c r="R2" s="112" t="s">
        <v>20</v>
      </c>
      <c r="S2" s="18" t="s">
        <v>21</v>
      </c>
      <c r="T2" s="19" t="s">
        <v>22</v>
      </c>
      <c r="U2" s="18" t="s">
        <v>23</v>
      </c>
      <c r="V2" s="19" t="s">
        <v>24</v>
      </c>
      <c r="W2" s="18" t="s">
        <v>25</v>
      </c>
      <c r="X2" s="18" t="s">
        <v>26</v>
      </c>
      <c r="Y2" s="18" t="s">
        <v>27</v>
      </c>
      <c r="Z2" s="19" t="s">
        <v>28</v>
      </c>
      <c r="AA2" s="19" t="s">
        <v>29</v>
      </c>
      <c r="AB2" s="18" t="s">
        <v>30</v>
      </c>
      <c r="AC2" s="20" t="s">
        <v>31</v>
      </c>
    </row>
    <row r="3" spans="1:29" s="293" customFormat="1" ht="18" customHeight="1" thickBot="1">
      <c r="A3" s="21"/>
      <c r="B3" s="22"/>
      <c r="C3" s="23"/>
      <c r="D3" s="24" t="s">
        <v>32</v>
      </c>
      <c r="E3" s="25"/>
      <c r="F3" s="26" t="s">
        <v>33</v>
      </c>
      <c r="G3" s="113" t="s">
        <v>32</v>
      </c>
      <c r="H3" s="114"/>
      <c r="I3" s="115"/>
      <c r="J3" s="116" t="s">
        <v>34</v>
      </c>
      <c r="K3" s="117" t="s">
        <v>34</v>
      </c>
      <c r="L3" s="115"/>
      <c r="M3" s="118"/>
      <c r="N3" s="118"/>
      <c r="O3" s="115"/>
      <c r="P3" s="119"/>
      <c r="Q3" s="120"/>
      <c r="R3" s="121"/>
      <c r="S3" s="31" t="s">
        <v>35</v>
      </c>
      <c r="T3" s="32"/>
      <c r="U3" s="31"/>
      <c r="V3" s="32"/>
      <c r="W3" s="119"/>
      <c r="X3" s="119"/>
      <c r="Y3" s="31"/>
      <c r="Z3" s="32"/>
      <c r="AA3" s="32" t="s">
        <v>36</v>
      </c>
      <c r="AB3" s="119"/>
      <c r="AC3" s="122" t="s">
        <v>37</v>
      </c>
    </row>
    <row r="4" spans="1:29" s="293" customFormat="1" ht="18" customHeight="1">
      <c r="A4" s="34"/>
      <c r="B4" s="35"/>
      <c r="C4" s="36" t="s">
        <v>38</v>
      </c>
      <c r="D4" s="37"/>
      <c r="E4" s="38"/>
      <c r="F4" s="39"/>
      <c r="G4" s="123"/>
      <c r="H4" s="124"/>
      <c r="I4" s="299"/>
      <c r="J4" s="125"/>
      <c r="K4" s="300"/>
      <c r="L4" s="299"/>
      <c r="M4" s="301"/>
      <c r="N4" s="126"/>
      <c r="O4" s="299"/>
      <c r="P4" s="127"/>
      <c r="Q4" s="58"/>
      <c r="R4" s="128"/>
      <c r="S4" s="299"/>
      <c r="T4" s="129"/>
      <c r="U4" s="127"/>
      <c r="V4" s="126"/>
      <c r="W4" s="299"/>
      <c r="X4" s="299"/>
      <c r="Y4" s="299"/>
      <c r="Z4" s="301"/>
      <c r="AA4" s="301"/>
      <c r="AB4" s="299"/>
      <c r="AC4" s="302"/>
    </row>
    <row r="5" spans="1:29" s="293" customFormat="1" ht="18" customHeight="1">
      <c r="A5" s="51">
        <v>1</v>
      </c>
      <c r="B5" s="52">
        <v>601.20000000000005</v>
      </c>
      <c r="C5" s="53" t="s">
        <v>39</v>
      </c>
      <c r="D5" s="54">
        <f>SUM(E5:G5)</f>
        <v>62446051.550000004</v>
      </c>
      <c r="E5" s="55">
        <f>272117.29+33771972.56</f>
        <v>34044089.850000001</v>
      </c>
      <c r="F5" s="56">
        <v>10264582.99</v>
      </c>
      <c r="G5" s="328">
        <f>SUM(H5:AC5)</f>
        <v>18137378.710000001</v>
      </c>
      <c r="H5" s="128">
        <v>1482745.96</v>
      </c>
      <c r="I5" s="127"/>
      <c r="J5" s="58">
        <v>231041</v>
      </c>
      <c r="K5" s="130">
        <v>11034.07</v>
      </c>
      <c r="L5" s="127"/>
      <c r="M5" s="127"/>
      <c r="N5" s="126"/>
      <c r="O5" s="127"/>
      <c r="P5" s="127"/>
      <c r="Q5" s="58"/>
      <c r="R5" s="128"/>
      <c r="S5" s="127"/>
      <c r="T5" s="126"/>
      <c r="U5" s="127">
        <v>6819908.6799999997</v>
      </c>
      <c r="V5" s="126"/>
      <c r="W5" s="127"/>
      <c r="X5" s="127"/>
      <c r="Y5" s="127"/>
      <c r="Z5" s="126"/>
      <c r="AA5" s="126">
        <f>20316+9572333</f>
        <v>9592649</v>
      </c>
      <c r="AB5" s="127"/>
      <c r="AC5" s="329"/>
    </row>
    <row r="6" spans="1:29" s="293" customFormat="1" ht="18" customHeight="1">
      <c r="A6" s="51">
        <v>2</v>
      </c>
      <c r="B6" s="52">
        <v>603</v>
      </c>
      <c r="C6" s="53" t="s">
        <v>60</v>
      </c>
      <c r="D6" s="54">
        <f>SUM(E6:G6)</f>
        <v>1891802376.48</v>
      </c>
      <c r="E6" s="55">
        <v>450972372.64999998</v>
      </c>
      <c r="F6" s="56"/>
      <c r="G6" s="328">
        <f>SUM(H6:AC6)</f>
        <v>1440830003.8299999</v>
      </c>
      <c r="H6" s="128">
        <v>325538408.23000002</v>
      </c>
      <c r="I6" s="127">
        <v>531333</v>
      </c>
      <c r="J6" s="58">
        <v>40504602.140000001</v>
      </c>
      <c r="K6" s="130">
        <v>40618876.689999998</v>
      </c>
      <c r="L6" s="127">
        <v>79151315.420000002</v>
      </c>
      <c r="M6" s="127">
        <v>585168</v>
      </c>
      <c r="N6" s="126">
        <v>78188262.5</v>
      </c>
      <c r="O6" s="127">
        <v>83605371</v>
      </c>
      <c r="P6" s="127">
        <v>3737233</v>
      </c>
      <c r="Q6" s="58">
        <v>7752199</v>
      </c>
      <c r="R6" s="128">
        <v>274673687.98000002</v>
      </c>
      <c r="S6" s="127">
        <v>4619228</v>
      </c>
      <c r="T6" s="126">
        <v>114258967.92</v>
      </c>
      <c r="U6" s="127">
        <f>46488834.84+44542</f>
        <v>46533376.840000004</v>
      </c>
      <c r="V6" s="126">
        <v>40783520</v>
      </c>
      <c r="W6" s="127">
        <v>35240163.460000001</v>
      </c>
      <c r="X6" s="127">
        <v>112300571.77</v>
      </c>
      <c r="Y6" s="127">
        <v>35155197.079999998</v>
      </c>
      <c r="Z6" s="126">
        <v>401720</v>
      </c>
      <c r="AA6" s="126">
        <v>93865864.540000007</v>
      </c>
      <c r="AB6" s="127">
        <v>771559.26</v>
      </c>
      <c r="AC6" s="329">
        <v>22013378</v>
      </c>
    </row>
    <row r="7" spans="1:29" s="293" customFormat="1" ht="18" customHeight="1">
      <c r="A7" s="51">
        <v>3</v>
      </c>
      <c r="B7" s="52" t="s">
        <v>40</v>
      </c>
      <c r="C7" s="53" t="s">
        <v>41</v>
      </c>
      <c r="D7" s="54">
        <f>SUM(E7:G7)</f>
        <v>252981.76000000001</v>
      </c>
      <c r="E7" s="57">
        <v>252640.1</v>
      </c>
      <c r="F7" s="58"/>
      <c r="G7" s="328">
        <f>SUM(H7:AC7)</f>
        <v>341.66</v>
      </c>
      <c r="H7" s="330"/>
      <c r="I7" s="127"/>
      <c r="J7" s="58"/>
      <c r="K7" s="130"/>
      <c r="L7" s="127"/>
      <c r="M7" s="127"/>
      <c r="N7" s="126"/>
      <c r="O7" s="127"/>
      <c r="P7" s="127"/>
      <c r="Q7" s="58"/>
      <c r="R7" s="128">
        <v>341.66</v>
      </c>
      <c r="S7" s="127"/>
      <c r="T7" s="126"/>
      <c r="U7" s="127"/>
      <c r="V7" s="126"/>
      <c r="W7" s="127"/>
      <c r="X7" s="127"/>
      <c r="Y7" s="127"/>
      <c r="Z7" s="126"/>
      <c r="AA7" s="126"/>
      <c r="AB7" s="127"/>
      <c r="AC7" s="131"/>
    </row>
    <row r="8" spans="1:29" s="293" customFormat="1" ht="18" customHeight="1">
      <c r="A8" s="51">
        <v>4</v>
      </c>
      <c r="B8" s="52">
        <v>672</v>
      </c>
      <c r="C8" s="53" t="s">
        <v>68</v>
      </c>
      <c r="D8" s="54">
        <f>SUM(E8:G8)</f>
        <v>40935000</v>
      </c>
      <c r="E8" s="59"/>
      <c r="F8" s="60"/>
      <c r="G8" s="328">
        <f>SUM(H8:AC8)</f>
        <v>40935000</v>
      </c>
      <c r="H8" s="331">
        <v>5394000</v>
      </c>
      <c r="I8" s="48"/>
      <c r="J8" s="60"/>
      <c r="K8" s="332"/>
      <c r="L8" s="48"/>
      <c r="M8" s="48"/>
      <c r="N8" s="49"/>
      <c r="O8" s="48"/>
      <c r="P8" s="48"/>
      <c r="Q8" s="60"/>
      <c r="R8" s="295"/>
      <c r="S8" s="48"/>
      <c r="T8" s="49"/>
      <c r="U8" s="48"/>
      <c r="V8" s="49"/>
      <c r="W8" s="48"/>
      <c r="X8" s="48"/>
      <c r="Y8" s="48"/>
      <c r="Z8" s="49"/>
      <c r="AA8" s="49">
        <v>35541000</v>
      </c>
      <c r="AB8" s="48"/>
      <c r="AC8" s="333"/>
    </row>
    <row r="9" spans="1:29" s="293" customFormat="1" ht="18" customHeight="1" thickBot="1">
      <c r="A9" s="61">
        <v>5</v>
      </c>
      <c r="B9" s="62" t="s">
        <v>61</v>
      </c>
      <c r="C9" s="53" t="s">
        <v>42</v>
      </c>
      <c r="D9" s="54">
        <f>SUM(E9:G9)</f>
        <v>70405684.059999973</v>
      </c>
      <c r="E9" s="59">
        <f>53160.44+15563.59</f>
        <v>68724.03</v>
      </c>
      <c r="F9" s="60">
        <v>2670</v>
      </c>
      <c r="G9" s="328">
        <f>SUM(H9:AC9)</f>
        <v>70334290.029999971</v>
      </c>
      <c r="H9" s="331">
        <f>H10-H5-H6-H7-H8</f>
        <v>8219979.8399999738</v>
      </c>
      <c r="I9" s="404">
        <f t="shared" ref="I9:AC9" si="0">I10-I5-I6-I7-I8</f>
        <v>25593.859999999986</v>
      </c>
      <c r="J9" s="334">
        <f t="shared" si="0"/>
        <v>8522852.3500000015</v>
      </c>
      <c r="K9" s="331">
        <f t="shared" si="0"/>
        <v>3792411.0100000054</v>
      </c>
      <c r="L9" s="405">
        <f t="shared" si="0"/>
        <v>1529375.599999994</v>
      </c>
      <c r="M9" s="405">
        <f t="shared" si="0"/>
        <v>8545.359999999986</v>
      </c>
      <c r="N9" s="405">
        <f t="shared" si="0"/>
        <v>3161323.5400000066</v>
      </c>
      <c r="O9" s="405">
        <f t="shared" si="0"/>
        <v>3029783.9800000042</v>
      </c>
      <c r="P9" s="404">
        <f t="shared" si="0"/>
        <v>23639.589999999851</v>
      </c>
      <c r="Q9" s="405">
        <f t="shared" si="0"/>
        <v>276216.54999999981</v>
      </c>
      <c r="R9" s="406">
        <f t="shared" si="0"/>
        <v>32863454.179999974</v>
      </c>
      <c r="S9" s="405">
        <f t="shared" si="0"/>
        <v>16762.730000000447</v>
      </c>
      <c r="T9" s="405">
        <f t="shared" si="0"/>
        <v>1170058.6200000048</v>
      </c>
      <c r="U9" s="405">
        <f t="shared" si="0"/>
        <v>1237469.859999992</v>
      </c>
      <c r="V9" s="405">
        <f t="shared" si="0"/>
        <v>237500.38000000268</v>
      </c>
      <c r="W9" s="404">
        <f t="shared" si="0"/>
        <v>566926.93999999762</v>
      </c>
      <c r="X9" s="405">
        <f t="shared" si="0"/>
        <v>716788.01000000536</v>
      </c>
      <c r="Y9" s="405">
        <f t="shared" si="0"/>
        <v>249078.95000000298</v>
      </c>
      <c r="Z9" s="405">
        <f t="shared" si="0"/>
        <v>3381.0900000000256</v>
      </c>
      <c r="AA9" s="405">
        <f t="shared" si="0"/>
        <v>3320924.6799999923</v>
      </c>
      <c r="AB9" s="405">
        <f t="shared" si="0"/>
        <v>8223.1799999999348</v>
      </c>
      <c r="AC9" s="407">
        <f t="shared" si="0"/>
        <v>1353999.7300000004</v>
      </c>
    </row>
    <row r="10" spans="1:29" s="293" customFormat="1" ht="18" customHeight="1" thickBot="1">
      <c r="A10" s="63">
        <v>6</v>
      </c>
      <c r="B10" s="64"/>
      <c r="C10" s="65" t="s">
        <v>59</v>
      </c>
      <c r="D10" s="66">
        <f>SUM(D5:D9)</f>
        <v>2065842093.8499999</v>
      </c>
      <c r="E10" s="67">
        <f>SUM(E5:E9)</f>
        <v>485337826.63</v>
      </c>
      <c r="F10" s="68">
        <f>SUM(F5:F9)</f>
        <v>10267252.99</v>
      </c>
      <c r="G10" s="335">
        <f>SUM(G5:G9)</f>
        <v>1570237014.23</v>
      </c>
      <c r="H10" s="336">
        <v>340635134.02999997</v>
      </c>
      <c r="I10" s="409">
        <v>556926.86</v>
      </c>
      <c r="J10" s="410">
        <v>49258495.490000002</v>
      </c>
      <c r="K10" s="411">
        <v>44422321.770000003</v>
      </c>
      <c r="L10" s="409">
        <v>80680691.019999996</v>
      </c>
      <c r="M10" s="409">
        <v>593713.36</v>
      </c>
      <c r="N10" s="409">
        <v>81349586.040000007</v>
      </c>
      <c r="O10" s="409">
        <v>86635154.980000004</v>
      </c>
      <c r="P10" s="409">
        <v>3760872.59</v>
      </c>
      <c r="Q10" s="410">
        <v>8028415.5499999998</v>
      </c>
      <c r="R10" s="411">
        <v>307537483.81999999</v>
      </c>
      <c r="S10" s="409">
        <v>4635990.7300000004</v>
      </c>
      <c r="T10" s="409">
        <v>115429026.54000001</v>
      </c>
      <c r="U10" s="409">
        <f>47725272.8+6865482.58</f>
        <v>54590755.379999995</v>
      </c>
      <c r="V10" s="409">
        <v>41021020.380000003</v>
      </c>
      <c r="W10" s="409">
        <v>35807090.399999999</v>
      </c>
      <c r="X10" s="409">
        <v>113017359.78</v>
      </c>
      <c r="Y10" s="409">
        <v>35404276.030000001</v>
      </c>
      <c r="Z10" s="409">
        <v>405101.09</v>
      </c>
      <c r="AA10" s="409">
        <f>132746981.39+9573456.83</f>
        <v>142320438.22</v>
      </c>
      <c r="AB10" s="409">
        <v>779782.44</v>
      </c>
      <c r="AC10" s="410">
        <v>23367377.73</v>
      </c>
    </row>
    <row r="11" spans="1:29" s="293" customFormat="1" ht="18" customHeight="1">
      <c r="A11" s="69"/>
      <c r="B11" s="70"/>
      <c r="C11" s="53"/>
      <c r="D11" s="71"/>
      <c r="E11" s="72"/>
      <c r="F11" s="73"/>
      <c r="G11" s="132"/>
      <c r="H11" s="133"/>
      <c r="I11" s="134"/>
      <c r="J11" s="135"/>
      <c r="K11" s="408"/>
      <c r="L11" s="134"/>
      <c r="M11" s="134"/>
      <c r="N11" s="136"/>
      <c r="O11" s="134"/>
      <c r="P11" s="134"/>
      <c r="Q11" s="135"/>
      <c r="R11" s="133"/>
      <c r="S11" s="134"/>
      <c r="T11" s="136"/>
      <c r="U11" s="134"/>
      <c r="V11" s="136"/>
      <c r="W11" s="134"/>
      <c r="X11" s="134"/>
      <c r="Y11" s="134"/>
      <c r="Z11" s="136"/>
      <c r="AA11" s="136"/>
      <c r="AB11" s="134"/>
      <c r="AC11" s="137"/>
    </row>
    <row r="12" spans="1:29" s="293" customFormat="1" ht="18" customHeight="1">
      <c r="A12" s="74"/>
      <c r="B12" s="75"/>
      <c r="C12" s="36" t="s">
        <v>43</v>
      </c>
      <c r="D12" s="76"/>
      <c r="E12" s="77"/>
      <c r="F12" s="78"/>
      <c r="G12" s="138"/>
      <c r="H12" s="128"/>
      <c r="I12" s="127"/>
      <c r="J12" s="58"/>
      <c r="K12" s="130"/>
      <c r="L12" s="127"/>
      <c r="M12" s="127"/>
      <c r="N12" s="126"/>
      <c r="O12" s="127"/>
      <c r="P12" s="127"/>
      <c r="Q12" s="58"/>
      <c r="R12" s="128"/>
      <c r="S12" s="127"/>
      <c r="T12" s="126"/>
      <c r="U12" s="127"/>
      <c r="V12" s="126"/>
      <c r="W12" s="127"/>
      <c r="X12" s="127"/>
      <c r="Y12" s="127"/>
      <c r="Z12" s="126"/>
      <c r="AA12" s="126"/>
      <c r="AB12" s="127"/>
      <c r="AC12" s="131"/>
    </row>
    <row r="13" spans="1:29" s="293" customFormat="1" ht="18" customHeight="1">
      <c r="A13" s="51">
        <v>7</v>
      </c>
      <c r="B13" s="52">
        <v>501.2</v>
      </c>
      <c r="C13" s="53" t="s">
        <v>44</v>
      </c>
      <c r="D13" s="54">
        <f t="shared" ref="D13:D19" si="1">SUM(E13:G13)</f>
        <v>30283974.609999996</v>
      </c>
      <c r="E13" s="57">
        <v>1978998.95</v>
      </c>
      <c r="F13" s="58">
        <f>5714209.75+741000</f>
        <v>6455209.75</v>
      </c>
      <c r="G13" s="328">
        <f t="shared" ref="G13:G19" si="2">SUM(H13:AC13)</f>
        <v>21849765.909999996</v>
      </c>
      <c r="H13" s="128">
        <v>2887255.44</v>
      </c>
      <c r="I13" s="127">
        <v>27017.52</v>
      </c>
      <c r="J13" s="58">
        <v>405839.7</v>
      </c>
      <c r="K13" s="130">
        <v>60760.88</v>
      </c>
      <c r="L13" s="127">
        <v>282151.23</v>
      </c>
      <c r="M13" s="127">
        <v>17193.54</v>
      </c>
      <c r="N13" s="126">
        <v>155701.69</v>
      </c>
      <c r="O13" s="127">
        <v>356328.52</v>
      </c>
      <c r="P13" s="127">
        <v>53349</v>
      </c>
      <c r="Q13" s="58">
        <v>4229.05</v>
      </c>
      <c r="R13" s="128">
        <v>5526871.71</v>
      </c>
      <c r="S13" s="127">
        <v>477594.74</v>
      </c>
      <c r="T13" s="126">
        <v>626827.17000000004</v>
      </c>
      <c r="U13" s="127">
        <f>1634231.59+4228772.34</f>
        <v>5863003.9299999997</v>
      </c>
      <c r="V13" s="126">
        <v>70845.440000000002</v>
      </c>
      <c r="W13" s="127">
        <v>50023.49</v>
      </c>
      <c r="X13" s="127">
        <v>14751.73</v>
      </c>
      <c r="Y13" s="127">
        <v>128238.3</v>
      </c>
      <c r="Z13" s="126"/>
      <c r="AA13" s="126">
        <f>153581+5323079.15</f>
        <v>5476660.1500000004</v>
      </c>
      <c r="AB13" s="127"/>
      <c r="AC13" s="131">
        <v>-634877.31999999995</v>
      </c>
    </row>
    <row r="14" spans="1:29" s="293" customFormat="1" ht="18" customHeight="1">
      <c r="A14" s="51">
        <v>8</v>
      </c>
      <c r="B14" s="52">
        <v>511</v>
      </c>
      <c r="C14" s="53" t="s">
        <v>45</v>
      </c>
      <c r="D14" s="54">
        <f t="shared" si="1"/>
        <v>481726062.30000007</v>
      </c>
      <c r="E14" s="57">
        <v>986100</v>
      </c>
      <c r="F14" s="58"/>
      <c r="G14" s="328">
        <f t="shared" si="2"/>
        <v>480739962.30000007</v>
      </c>
      <c r="H14" s="128">
        <v>109725870.27</v>
      </c>
      <c r="I14" s="127">
        <v>146770.38</v>
      </c>
      <c r="J14" s="58">
        <v>2132120</v>
      </c>
      <c r="K14" s="130">
        <v>8700073.0999999996</v>
      </c>
      <c r="L14" s="127">
        <v>25623829.620000001</v>
      </c>
      <c r="M14" s="127">
        <v>56514.84</v>
      </c>
      <c r="N14" s="126">
        <v>17995176.93</v>
      </c>
      <c r="O14" s="127">
        <v>12753700.34</v>
      </c>
      <c r="P14" s="127">
        <v>663660.1</v>
      </c>
      <c r="Q14" s="58">
        <v>834235.83</v>
      </c>
      <c r="R14" s="128">
        <v>129589499.29000001</v>
      </c>
      <c r="S14" s="127">
        <v>970444.35</v>
      </c>
      <c r="T14" s="126">
        <v>19150650.300000001</v>
      </c>
      <c r="U14" s="127">
        <f>21773520.43+89730</f>
        <v>21863250.43</v>
      </c>
      <c r="V14" s="126">
        <v>10216425.35</v>
      </c>
      <c r="W14" s="127">
        <v>9891531.8900000006</v>
      </c>
      <c r="X14" s="127">
        <v>26684700.91</v>
      </c>
      <c r="Y14" s="127">
        <v>11045093.560000001</v>
      </c>
      <c r="Z14" s="126">
        <v>2884</v>
      </c>
      <c r="AA14" s="126">
        <f>66768523.41+166659.53</f>
        <v>66935182.939999998</v>
      </c>
      <c r="AB14" s="127">
        <v>294491.83</v>
      </c>
      <c r="AC14" s="131">
        <v>5463856.04</v>
      </c>
    </row>
    <row r="15" spans="1:29" s="293" customFormat="1" ht="18" customHeight="1">
      <c r="A15" s="51">
        <v>9</v>
      </c>
      <c r="B15" s="52" t="s">
        <v>46</v>
      </c>
      <c r="C15" s="53" t="s">
        <v>47</v>
      </c>
      <c r="D15" s="54">
        <f t="shared" si="1"/>
        <v>179095007.66</v>
      </c>
      <c r="E15" s="57">
        <v>46710284.409999996</v>
      </c>
      <c r="F15" s="58">
        <v>169177.25</v>
      </c>
      <c r="G15" s="328">
        <f t="shared" si="2"/>
        <v>132215546</v>
      </c>
      <c r="H15" s="128">
        <v>24519103.260000002</v>
      </c>
      <c r="I15" s="127">
        <v>58732.1</v>
      </c>
      <c r="J15" s="58">
        <v>1673625.57</v>
      </c>
      <c r="K15" s="130">
        <v>2246869.36</v>
      </c>
      <c r="L15" s="127">
        <v>7496121.21</v>
      </c>
      <c r="M15" s="127">
        <v>98234.8</v>
      </c>
      <c r="N15" s="126">
        <v>7003102.54</v>
      </c>
      <c r="O15" s="127">
        <v>6904323.1799999997</v>
      </c>
      <c r="P15" s="127">
        <v>314001.11</v>
      </c>
      <c r="Q15" s="58">
        <v>401266.39</v>
      </c>
      <c r="R15" s="128">
        <v>38920577.509999998</v>
      </c>
      <c r="S15" s="127">
        <v>428407.27</v>
      </c>
      <c r="T15" s="126">
        <v>11803323.42</v>
      </c>
      <c r="U15" s="127">
        <f>3504779.4+165567.43</f>
        <v>3670346.83</v>
      </c>
      <c r="V15" s="126">
        <v>1871155.81</v>
      </c>
      <c r="W15" s="127">
        <v>3701819.64</v>
      </c>
      <c r="X15" s="127">
        <v>8550898.5399999991</v>
      </c>
      <c r="Y15" s="127">
        <v>1389342</v>
      </c>
      <c r="Z15" s="126">
        <v>51720</v>
      </c>
      <c r="AA15" s="126">
        <f>9171951.89+63443</f>
        <v>9235394.8900000006</v>
      </c>
      <c r="AB15" s="127">
        <v>1645580.4</v>
      </c>
      <c r="AC15" s="131">
        <v>231600.17</v>
      </c>
    </row>
    <row r="16" spans="1:29" s="293" customFormat="1" ht="18" customHeight="1">
      <c r="A16" s="51">
        <v>10</v>
      </c>
      <c r="B16" s="52" t="s">
        <v>48</v>
      </c>
      <c r="C16" s="53" t="s">
        <v>49</v>
      </c>
      <c r="D16" s="328">
        <f t="shared" si="1"/>
        <v>43299466</v>
      </c>
      <c r="E16" s="57"/>
      <c r="F16" s="58">
        <f>2340332+793662+38859+172795</f>
        <v>3345648</v>
      </c>
      <c r="G16" s="328">
        <f t="shared" si="2"/>
        <v>39953818</v>
      </c>
      <c r="H16" s="128">
        <v>8085215</v>
      </c>
      <c r="I16" s="127"/>
      <c r="J16" s="58">
        <v>5416946</v>
      </c>
      <c r="K16" s="130">
        <v>2916833</v>
      </c>
      <c r="L16" s="127">
        <v>3148864</v>
      </c>
      <c r="M16" s="127">
        <v>14050</v>
      </c>
      <c r="N16" s="126"/>
      <c r="O16" s="127"/>
      <c r="P16" s="127"/>
      <c r="Q16" s="58">
        <v>414863</v>
      </c>
      <c r="R16" s="128">
        <v>1372998</v>
      </c>
      <c r="S16" s="127">
        <v>43332</v>
      </c>
      <c r="T16" s="126"/>
      <c r="U16" s="127">
        <f>2855569+2297059</f>
        <v>5152628</v>
      </c>
      <c r="V16" s="126">
        <v>1928531</v>
      </c>
      <c r="W16" s="127"/>
      <c r="X16" s="127"/>
      <c r="Y16" s="127">
        <v>2588251</v>
      </c>
      <c r="Z16" s="126">
        <v>26293</v>
      </c>
      <c r="AA16" s="126">
        <f>3875681+3235034</f>
        <v>7110715</v>
      </c>
      <c r="AB16" s="127"/>
      <c r="AC16" s="131">
        <v>1734299</v>
      </c>
    </row>
    <row r="17" spans="1:29" s="293" customFormat="1" ht="18" customHeight="1">
      <c r="A17" s="51">
        <v>11</v>
      </c>
      <c r="B17" s="52" t="s">
        <v>50</v>
      </c>
      <c r="C17" s="53" t="s">
        <v>51</v>
      </c>
      <c r="D17" s="328">
        <f t="shared" si="1"/>
        <v>1884659</v>
      </c>
      <c r="E17" s="57"/>
      <c r="F17" s="58"/>
      <c r="G17" s="328">
        <f t="shared" si="2"/>
        <v>1884659</v>
      </c>
      <c r="H17" s="128">
        <v>1231655</v>
      </c>
      <c r="I17" s="127"/>
      <c r="J17" s="58">
        <v>243890</v>
      </c>
      <c r="K17" s="130">
        <v>85550</v>
      </c>
      <c r="L17" s="127">
        <v>90350</v>
      </c>
      <c r="M17" s="127"/>
      <c r="N17" s="126"/>
      <c r="O17" s="127"/>
      <c r="P17" s="127"/>
      <c r="Q17" s="58"/>
      <c r="R17" s="128">
        <v>155908</v>
      </c>
      <c r="S17" s="127"/>
      <c r="T17" s="126"/>
      <c r="U17" s="127">
        <v>336</v>
      </c>
      <c r="V17" s="126">
        <v>56910</v>
      </c>
      <c r="W17" s="127"/>
      <c r="X17" s="127">
        <v>2000</v>
      </c>
      <c r="Y17" s="127"/>
      <c r="Z17" s="126"/>
      <c r="AA17" s="126"/>
      <c r="AB17" s="127"/>
      <c r="AC17" s="329">
        <v>18060</v>
      </c>
    </row>
    <row r="18" spans="1:29" s="293" customFormat="1" ht="18" customHeight="1">
      <c r="A18" s="51">
        <v>12</v>
      </c>
      <c r="B18" s="52" t="s">
        <v>52</v>
      </c>
      <c r="C18" s="294" t="s">
        <v>53</v>
      </c>
      <c r="D18" s="328">
        <f t="shared" si="1"/>
        <v>71146716.679999992</v>
      </c>
      <c r="E18" s="57">
        <v>2683503.66</v>
      </c>
      <c r="F18" s="58"/>
      <c r="G18" s="328">
        <f t="shared" si="2"/>
        <v>68463213.019999996</v>
      </c>
      <c r="H18" s="128">
        <v>32533330.09</v>
      </c>
      <c r="I18" s="127">
        <v>-304378</v>
      </c>
      <c r="J18" s="58">
        <v>662899</v>
      </c>
      <c r="K18" s="130">
        <v>1815252.47</v>
      </c>
      <c r="L18" s="127">
        <v>402466.85</v>
      </c>
      <c r="M18" s="127"/>
      <c r="N18" s="126">
        <v>-230307</v>
      </c>
      <c r="O18" s="127">
        <v>-327465</v>
      </c>
      <c r="P18" s="127"/>
      <c r="Q18" s="58">
        <v>-27909.5</v>
      </c>
      <c r="R18" s="128">
        <v>28845634.32</v>
      </c>
      <c r="S18" s="127"/>
      <c r="T18" s="126">
        <v>1390629</v>
      </c>
      <c r="U18" s="127">
        <f>127360+29695.15</f>
        <v>157055.15</v>
      </c>
      <c r="V18" s="126">
        <v>340876</v>
      </c>
      <c r="W18" s="127">
        <v>1203240.6000000001</v>
      </c>
      <c r="X18" s="127">
        <v>311336</v>
      </c>
      <c r="Y18" s="127">
        <v>130699</v>
      </c>
      <c r="Z18" s="126">
        <v>210</v>
      </c>
      <c r="AA18" s="126">
        <f>1366656.7+83655.24</f>
        <v>1450311.94</v>
      </c>
      <c r="AB18" s="127"/>
      <c r="AC18" s="329">
        <v>109332.1</v>
      </c>
    </row>
    <row r="19" spans="1:29" s="293" customFormat="1" ht="18" customHeight="1" thickBot="1">
      <c r="A19" s="51">
        <v>13</v>
      </c>
      <c r="B19" s="52" t="s">
        <v>62</v>
      </c>
      <c r="C19" s="53" t="s">
        <v>54</v>
      </c>
      <c r="D19" s="380">
        <f t="shared" si="1"/>
        <v>13790719.749999968</v>
      </c>
      <c r="E19" s="381">
        <v>14.46</v>
      </c>
      <c r="F19" s="135">
        <f>2669.8+8062.38</f>
        <v>10732.18</v>
      </c>
      <c r="G19" s="382">
        <f t="shared" si="2"/>
        <v>13779973.109999968</v>
      </c>
      <c r="H19" s="133">
        <f>H20-H13-H14-H15-H16-H17-H18</f>
        <v>4751242.9400000013</v>
      </c>
      <c r="I19" s="341">
        <f>I20-I13-I14-I15-I16-I17-I18</f>
        <v>4.1799999999930151</v>
      </c>
      <c r="J19" s="383">
        <f t="shared" ref="J19:AC19" si="3">J20-J13-J14-J15-J16-J17-J18</f>
        <v>9785.1500000003725</v>
      </c>
      <c r="K19" s="384">
        <f t="shared" si="3"/>
        <v>105090.67000000062</v>
      </c>
      <c r="L19" s="341">
        <f t="shared" si="3"/>
        <v>269041.99999999872</v>
      </c>
      <c r="M19" s="341">
        <f t="shared" si="3"/>
        <v>4923.2599999999948</v>
      </c>
      <c r="N19" s="341">
        <f t="shared" si="3"/>
        <v>546398.78999999817</v>
      </c>
      <c r="O19" s="341">
        <f t="shared" si="3"/>
        <v>602163.60000000149</v>
      </c>
      <c r="P19" s="341">
        <f t="shared" si="3"/>
        <v>0.85999999998603016</v>
      </c>
      <c r="Q19" s="380">
        <f t="shared" si="3"/>
        <v>21382.159999999916</v>
      </c>
      <c r="R19" s="341">
        <f t="shared" si="3"/>
        <v>3137640.4299999774</v>
      </c>
      <c r="S19" s="341">
        <f t="shared" si="3"/>
        <v>159816.52999999991</v>
      </c>
      <c r="T19" s="341">
        <f t="shared" si="3"/>
        <v>859956.00999999605</v>
      </c>
      <c r="U19" s="341">
        <f t="shared" si="3"/>
        <v>509728.1999999996</v>
      </c>
      <c r="V19" s="341">
        <f t="shared" si="3"/>
        <v>337534.47000000114</v>
      </c>
      <c r="W19" s="341">
        <f t="shared" si="3"/>
        <v>603123.32999999821</v>
      </c>
      <c r="X19" s="341">
        <f t="shared" si="3"/>
        <v>190667.57000000402</v>
      </c>
      <c r="Y19" s="341">
        <f t="shared" si="3"/>
        <v>26179.379999998957</v>
      </c>
      <c r="Z19" s="341">
        <f t="shared" si="3"/>
        <v>11486</v>
      </c>
      <c r="AA19" s="341">
        <f t="shared" si="3"/>
        <v>1508983.8499999917</v>
      </c>
      <c r="AB19" s="341">
        <f t="shared" si="3"/>
        <v>10926.080000000075</v>
      </c>
      <c r="AC19" s="385">
        <f t="shared" si="3"/>
        <v>113897.65</v>
      </c>
    </row>
    <row r="20" spans="1:29" s="293" customFormat="1" ht="18" customHeight="1" thickBot="1">
      <c r="A20" s="63">
        <v>14</v>
      </c>
      <c r="B20" s="64"/>
      <c r="C20" s="65" t="s">
        <v>72</v>
      </c>
      <c r="D20" s="79">
        <f>SUM(D13:D19)</f>
        <v>821226606</v>
      </c>
      <c r="E20" s="80">
        <f>SUM(E13:E19)</f>
        <v>52358901.479999997</v>
      </c>
      <c r="F20" s="81">
        <f>SUM(F13:F19)</f>
        <v>9980767.1799999997</v>
      </c>
      <c r="G20" s="342">
        <f>SUM(G13:G19)</f>
        <v>758886937.34000003</v>
      </c>
      <c r="H20" s="336">
        <v>183733672</v>
      </c>
      <c r="I20" s="409">
        <v>-71853.820000000007</v>
      </c>
      <c r="J20" s="412">
        <v>10545105.42</v>
      </c>
      <c r="K20" s="413">
        <v>15930429.48</v>
      </c>
      <c r="L20" s="409">
        <v>37312824.909999996</v>
      </c>
      <c r="M20" s="409">
        <v>190916.44</v>
      </c>
      <c r="N20" s="409">
        <v>25470072.949999999</v>
      </c>
      <c r="O20" s="409">
        <v>20289050.640000001</v>
      </c>
      <c r="P20" s="409">
        <v>1031011.07</v>
      </c>
      <c r="Q20" s="412">
        <v>1648066.93</v>
      </c>
      <c r="R20" s="413">
        <v>207549129.25999999</v>
      </c>
      <c r="S20" s="409">
        <v>2079594.89</v>
      </c>
      <c r="T20" s="409">
        <v>33831385.899999999</v>
      </c>
      <c r="U20" s="409">
        <f>30405433.09+6810915.45</f>
        <v>37216348.539999999</v>
      </c>
      <c r="V20" s="409">
        <v>14822278.07</v>
      </c>
      <c r="W20" s="409">
        <v>15449738.949999999</v>
      </c>
      <c r="X20" s="409">
        <v>35754354.75</v>
      </c>
      <c r="Y20" s="409">
        <v>15307803.24</v>
      </c>
      <c r="Z20" s="409">
        <v>92593</v>
      </c>
      <c r="AA20" s="409">
        <f>82200466.85+9516781.92</f>
        <v>91717248.769999996</v>
      </c>
      <c r="AB20" s="409">
        <v>1950998.31</v>
      </c>
      <c r="AC20" s="409">
        <v>7036167.6399999997</v>
      </c>
    </row>
    <row r="21" spans="1:29" s="293" customFormat="1" ht="18" customHeight="1" thickBot="1">
      <c r="A21" s="9"/>
      <c r="B21" s="10"/>
      <c r="C21" s="82"/>
      <c r="D21" s="83"/>
      <c r="E21" s="84"/>
      <c r="F21" s="85"/>
      <c r="G21" s="139"/>
      <c r="H21" s="140"/>
      <c r="I21" s="303"/>
      <c r="J21" s="304"/>
      <c r="K21" s="305"/>
      <c r="L21" s="306"/>
      <c r="M21" s="306"/>
      <c r="N21" s="307"/>
      <c r="O21" s="303"/>
      <c r="P21" s="303"/>
      <c r="Q21" s="304"/>
      <c r="R21" s="308"/>
      <c r="S21" s="303"/>
      <c r="T21" s="307"/>
      <c r="U21" s="306"/>
      <c r="V21" s="307"/>
      <c r="W21" s="303"/>
      <c r="X21" s="303"/>
      <c r="Y21" s="303"/>
      <c r="Z21" s="307"/>
      <c r="AA21" s="307"/>
      <c r="AB21" s="303"/>
      <c r="AC21" s="309"/>
    </row>
    <row r="22" spans="1:29" s="295" customFormat="1" ht="18" customHeight="1" thickBot="1">
      <c r="A22" s="63">
        <v>15</v>
      </c>
      <c r="B22" s="64"/>
      <c r="C22" s="65" t="s">
        <v>73</v>
      </c>
      <c r="D22" s="79">
        <f>SUM(D10-D20)</f>
        <v>1244615487.8499999</v>
      </c>
      <c r="E22" s="80">
        <f>0+E10-E20</f>
        <v>432978925.14999998</v>
      </c>
      <c r="F22" s="86">
        <f>0+F10-F20</f>
        <v>286485.81000000052</v>
      </c>
      <c r="G22" s="343">
        <f t="shared" ref="G22" si="4">SUM(G10-G20)</f>
        <v>811350076.88999999</v>
      </c>
      <c r="H22" s="80">
        <f>SUM(H10-H20)</f>
        <v>156901462.02999997</v>
      </c>
      <c r="I22" s="337">
        <f t="shared" ref="I22:AC22" si="5">SUM(I10-I20)</f>
        <v>628780.67999999993</v>
      </c>
      <c r="J22" s="86">
        <f t="shared" si="5"/>
        <v>38713390.07</v>
      </c>
      <c r="K22" s="338">
        <f t="shared" si="5"/>
        <v>28491892.290000003</v>
      </c>
      <c r="L22" s="337">
        <f t="shared" si="5"/>
        <v>43367866.109999999</v>
      </c>
      <c r="M22" s="337">
        <f t="shared" si="5"/>
        <v>402796.92</v>
      </c>
      <c r="N22" s="339">
        <f t="shared" si="5"/>
        <v>55879513.090000004</v>
      </c>
      <c r="O22" s="337">
        <f t="shared" si="5"/>
        <v>66346104.340000004</v>
      </c>
      <c r="P22" s="337">
        <f t="shared" si="5"/>
        <v>2729861.52</v>
      </c>
      <c r="Q22" s="86">
        <f t="shared" si="5"/>
        <v>6380348.6200000001</v>
      </c>
      <c r="R22" s="336">
        <f t="shared" si="5"/>
        <v>99988354.560000002</v>
      </c>
      <c r="S22" s="337">
        <f t="shared" si="5"/>
        <v>2556395.8400000008</v>
      </c>
      <c r="T22" s="339">
        <f t="shared" si="5"/>
        <v>81597640.640000015</v>
      </c>
      <c r="U22" s="337">
        <f t="shared" si="5"/>
        <v>17374406.839999996</v>
      </c>
      <c r="V22" s="339">
        <f t="shared" si="5"/>
        <v>26198742.310000002</v>
      </c>
      <c r="W22" s="337">
        <f t="shared" si="5"/>
        <v>20357351.449999999</v>
      </c>
      <c r="X22" s="337">
        <f t="shared" si="5"/>
        <v>77263005.030000001</v>
      </c>
      <c r="Y22" s="337">
        <f t="shared" si="5"/>
        <v>20096472.789999999</v>
      </c>
      <c r="Z22" s="337">
        <f t="shared" si="5"/>
        <v>312508.09000000003</v>
      </c>
      <c r="AA22" s="339">
        <f t="shared" si="5"/>
        <v>50603189.450000003</v>
      </c>
      <c r="AB22" s="337">
        <f t="shared" si="5"/>
        <v>-1171215.8700000001</v>
      </c>
      <c r="AC22" s="340">
        <f t="shared" si="5"/>
        <v>16331210.09</v>
      </c>
    </row>
    <row r="23" spans="1:29" s="293" customFormat="1" ht="18" customHeight="1">
      <c r="A23" s="9"/>
      <c r="B23" s="10"/>
      <c r="C23" s="82"/>
      <c r="D23" s="83"/>
      <c r="E23" s="84"/>
      <c r="F23" s="85"/>
      <c r="G23" s="139"/>
      <c r="H23" s="84"/>
      <c r="I23" s="310"/>
      <c r="J23" s="85"/>
      <c r="K23" s="311"/>
      <c r="L23" s="306"/>
      <c r="M23" s="306"/>
      <c r="N23" s="312"/>
      <c r="O23" s="306"/>
      <c r="P23" s="306"/>
      <c r="Q23" s="85"/>
      <c r="R23" s="313"/>
      <c r="S23" s="306"/>
      <c r="T23" s="312"/>
      <c r="U23" s="303"/>
      <c r="V23" s="312"/>
      <c r="W23" s="306"/>
      <c r="X23" s="306"/>
      <c r="Y23" s="306"/>
      <c r="Z23" s="312"/>
      <c r="AA23" s="312"/>
      <c r="AB23" s="306"/>
      <c r="AC23" s="314"/>
    </row>
    <row r="24" spans="1:29" s="293" customFormat="1" ht="18" customHeight="1">
      <c r="A24" s="51">
        <v>16</v>
      </c>
      <c r="B24" s="52">
        <v>591</v>
      </c>
      <c r="C24" s="53" t="s">
        <v>55</v>
      </c>
      <c r="D24" s="54">
        <f>SUM(E24:G24)</f>
        <v>145619910</v>
      </c>
      <c r="E24" s="57">
        <v>2831504</v>
      </c>
      <c r="F24" s="58">
        <v>93399</v>
      </c>
      <c r="G24" s="328">
        <f>SUM(H24:AC24)</f>
        <v>142695007</v>
      </c>
      <c r="H24" s="57">
        <v>25249440</v>
      </c>
      <c r="I24" s="344">
        <v>119485</v>
      </c>
      <c r="J24" s="345">
        <v>6072856</v>
      </c>
      <c r="K24" s="57">
        <v>7894521</v>
      </c>
      <c r="L24" s="344">
        <v>8228924</v>
      </c>
      <c r="M24" s="344">
        <v>42031</v>
      </c>
      <c r="N24" s="344">
        <v>10642313</v>
      </c>
      <c r="O24" s="344">
        <v>12516795</v>
      </c>
      <c r="P24" s="344">
        <v>672027</v>
      </c>
      <c r="Q24" s="345">
        <v>1189508</v>
      </c>
      <c r="R24" s="57">
        <v>9117529</v>
      </c>
      <c r="S24" s="344">
        <v>480145</v>
      </c>
      <c r="T24" s="344">
        <v>15913161</v>
      </c>
      <c r="U24" s="344">
        <f>1078598+10181</f>
        <v>1088779</v>
      </c>
      <c r="V24" s="344">
        <v>5528891</v>
      </c>
      <c r="W24" s="344">
        <v>4142119</v>
      </c>
      <c r="X24" s="344">
        <v>14757608</v>
      </c>
      <c r="Y24" s="344">
        <v>3818920</v>
      </c>
      <c r="Z24" s="344">
        <v>59377</v>
      </c>
      <c r="AA24" s="344">
        <f>12164490+10558</f>
        <v>12175048</v>
      </c>
      <c r="AB24" s="346">
        <v>-987</v>
      </c>
      <c r="AC24" s="137">
        <v>2986517</v>
      </c>
    </row>
    <row r="25" spans="1:29" s="293" customFormat="1" ht="18" customHeight="1" thickBot="1">
      <c r="A25" s="9"/>
      <c r="B25" s="10"/>
      <c r="C25" s="82"/>
      <c r="D25" s="83"/>
      <c r="E25" s="84"/>
      <c r="F25" s="85"/>
      <c r="G25" s="139"/>
      <c r="H25" s="315"/>
      <c r="I25" s="316"/>
      <c r="J25" s="317"/>
      <c r="K25" s="318"/>
      <c r="L25" s="319"/>
      <c r="M25" s="319"/>
      <c r="N25" s="320"/>
      <c r="O25" s="321"/>
      <c r="P25" s="319"/>
      <c r="Q25" s="317"/>
      <c r="R25" s="322"/>
      <c r="S25" s="321"/>
      <c r="T25" s="320"/>
      <c r="U25" s="321"/>
      <c r="V25" s="320"/>
      <c r="W25" s="321"/>
      <c r="X25" s="321"/>
      <c r="Y25" s="321"/>
      <c r="Z25" s="320"/>
      <c r="AA25" s="320"/>
      <c r="AB25" s="321"/>
      <c r="AC25" s="323"/>
    </row>
    <row r="26" spans="1:29" s="293" customFormat="1" ht="18" customHeight="1" thickBot="1">
      <c r="A26" s="324">
        <v>17</v>
      </c>
      <c r="B26" s="325"/>
      <c r="C26" s="87" t="s">
        <v>74</v>
      </c>
      <c r="D26" s="88">
        <f>D22-D24</f>
        <v>1098995577.8499999</v>
      </c>
      <c r="E26" s="89">
        <f>0+E22-E24</f>
        <v>430147421.14999998</v>
      </c>
      <c r="F26" s="90">
        <f>0+F22-F24</f>
        <v>193086.81000000052</v>
      </c>
      <c r="G26" s="347">
        <f t="shared" ref="G26" si="6">SUM(G22-G24)</f>
        <v>668655069.88999999</v>
      </c>
      <c r="H26" s="89">
        <f t="shared" ref="H26:AC26" si="7">SUM(H22-H24)</f>
        <v>131652022.02999997</v>
      </c>
      <c r="I26" s="348">
        <f t="shared" si="7"/>
        <v>509295.67999999993</v>
      </c>
      <c r="J26" s="90">
        <f t="shared" si="7"/>
        <v>32640534.07</v>
      </c>
      <c r="K26" s="349">
        <f t="shared" si="7"/>
        <v>20597371.290000003</v>
      </c>
      <c r="L26" s="348">
        <f t="shared" si="7"/>
        <v>35138942.109999999</v>
      </c>
      <c r="M26" s="348">
        <f t="shared" si="7"/>
        <v>360765.92</v>
      </c>
      <c r="N26" s="350">
        <f t="shared" si="7"/>
        <v>45237200.090000004</v>
      </c>
      <c r="O26" s="348">
        <f t="shared" si="7"/>
        <v>53829309.340000004</v>
      </c>
      <c r="P26" s="348">
        <f t="shared" si="7"/>
        <v>2057834.52</v>
      </c>
      <c r="Q26" s="90">
        <f t="shared" si="7"/>
        <v>5190840.62</v>
      </c>
      <c r="R26" s="351">
        <f t="shared" si="7"/>
        <v>90870825.560000002</v>
      </c>
      <c r="S26" s="348">
        <f t="shared" si="7"/>
        <v>2076250.8400000008</v>
      </c>
      <c r="T26" s="350">
        <f t="shared" si="7"/>
        <v>65684479.640000015</v>
      </c>
      <c r="U26" s="348">
        <f t="shared" si="7"/>
        <v>16285627.839999996</v>
      </c>
      <c r="V26" s="350">
        <f t="shared" si="7"/>
        <v>20669851.310000002</v>
      </c>
      <c r="W26" s="348">
        <f t="shared" si="7"/>
        <v>16215232.449999999</v>
      </c>
      <c r="X26" s="348">
        <f t="shared" si="7"/>
        <v>62505397.030000001</v>
      </c>
      <c r="Y26" s="348">
        <f t="shared" si="7"/>
        <v>16277552.789999999</v>
      </c>
      <c r="Z26" s="348">
        <f t="shared" si="7"/>
        <v>253131.09000000003</v>
      </c>
      <c r="AA26" s="350">
        <f t="shared" si="7"/>
        <v>38428141.450000003</v>
      </c>
      <c r="AB26" s="348">
        <f t="shared" si="7"/>
        <v>-1170228.8700000001</v>
      </c>
      <c r="AC26" s="352">
        <f t="shared" si="7"/>
        <v>13344693.09</v>
      </c>
    </row>
    <row r="27" spans="1:29" s="293" customFormat="1" ht="12.75" customHeight="1" thickTop="1">
      <c r="A27" s="91"/>
      <c r="B27" s="91"/>
      <c r="C27" s="92"/>
      <c r="D27" s="93"/>
      <c r="E27" s="94"/>
      <c r="F27" s="94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141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</row>
    <row r="28" spans="1:29" s="293" customFormat="1" ht="18" customHeight="1">
      <c r="A28" s="91"/>
      <c r="B28" s="91"/>
      <c r="C28" s="219" t="s">
        <v>63</v>
      </c>
      <c r="D28" s="93"/>
      <c r="E28" s="94"/>
      <c r="F28" s="94"/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</row>
    <row r="29" spans="1:29" s="293" customFormat="1" ht="9.75" customHeight="1" thickBot="1">
      <c r="A29" s="91"/>
      <c r="B29" s="91"/>
      <c r="C29" s="219"/>
      <c r="D29" s="93"/>
      <c r="E29" s="94"/>
      <c r="F29" s="94"/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</row>
    <row r="30" spans="1:29" s="298" customFormat="1" ht="18" customHeight="1">
      <c r="A30" s="284" t="s">
        <v>71</v>
      </c>
      <c r="B30" s="326">
        <v>377</v>
      </c>
      <c r="C30" s="206" t="s">
        <v>65</v>
      </c>
      <c r="D30" s="283">
        <f>SUM(E30:G30)</f>
        <v>71666051.390000001</v>
      </c>
      <c r="E30" s="207">
        <v>1887331</v>
      </c>
      <c r="F30" s="208">
        <v>2034792.46</v>
      </c>
      <c r="G30" s="208">
        <f>SUM(H30:AC30)</f>
        <v>67743927.930000007</v>
      </c>
      <c r="H30" s="387">
        <v>6705198.1500000004</v>
      </c>
      <c r="I30" s="353"/>
      <c r="J30" s="389">
        <v>1321819</v>
      </c>
      <c r="K30" s="357">
        <v>43500</v>
      </c>
      <c r="L30" s="354">
        <v>8352065.7999999998</v>
      </c>
      <c r="M30" s="354"/>
      <c r="N30" s="354"/>
      <c r="O30" s="354">
        <v>3890671</v>
      </c>
      <c r="P30" s="355"/>
      <c r="Q30" s="356">
        <v>7807</v>
      </c>
      <c r="R30" s="357">
        <v>190</v>
      </c>
      <c r="S30" s="354">
        <v>62870.52</v>
      </c>
      <c r="T30" s="354">
        <v>480832</v>
      </c>
      <c r="U30" s="354">
        <f>4702652.9+1045320.96</f>
        <v>5747973.8600000003</v>
      </c>
      <c r="V30" s="354"/>
      <c r="W30" s="358">
        <v>4538905.26</v>
      </c>
      <c r="X30" s="359">
        <v>33949739.880000003</v>
      </c>
      <c r="Y30" s="354">
        <v>1239159.95</v>
      </c>
      <c r="Z30" s="354">
        <v>270</v>
      </c>
      <c r="AA30" s="354">
        <v>1398288.51</v>
      </c>
      <c r="AB30" s="354"/>
      <c r="AC30" s="360">
        <v>4637</v>
      </c>
    </row>
    <row r="31" spans="1:29" s="298" customFormat="1" ht="18" customHeight="1">
      <c r="A31" s="285" t="s">
        <v>69</v>
      </c>
      <c r="B31" s="204">
        <v>378</v>
      </c>
      <c r="C31" s="327" t="s">
        <v>58</v>
      </c>
      <c r="D31" s="54">
        <f>SUM(E31:G31)</f>
        <v>-1013150415.9999999</v>
      </c>
      <c r="E31" s="57">
        <v>-420720328</v>
      </c>
      <c r="F31" s="58">
        <v>0</v>
      </c>
      <c r="G31" s="58">
        <f>SUM(H31:AC31)</f>
        <v>-592430087.99999988</v>
      </c>
      <c r="H31" s="361">
        <v>-247984413.78999999</v>
      </c>
      <c r="I31" s="362">
        <v>774026.5</v>
      </c>
      <c r="J31" s="390">
        <v>16740</v>
      </c>
      <c r="K31" s="388"/>
      <c r="L31" s="363">
        <v>-1705</v>
      </c>
      <c r="M31" s="363"/>
      <c r="N31" s="344">
        <v>-167019554.63999999</v>
      </c>
      <c r="O31" s="363">
        <v>-30860</v>
      </c>
      <c r="P31" s="364"/>
      <c r="Q31" s="365"/>
      <c r="R31" s="57">
        <v>-142635037.97999999</v>
      </c>
      <c r="S31" s="363">
        <v>512742.7</v>
      </c>
      <c r="T31" s="366">
        <v>-25519200</v>
      </c>
      <c r="U31" s="344">
        <f>2073932.46+21616.01</f>
        <v>2095548.47</v>
      </c>
      <c r="V31" s="344">
        <v>-13100801</v>
      </c>
      <c r="W31" s="367"/>
      <c r="X31" s="368">
        <v>187505</v>
      </c>
      <c r="Y31" s="363">
        <v>155245</v>
      </c>
      <c r="Z31" s="363"/>
      <c r="AA31" s="363">
        <f>107898.15+2754.59</f>
        <v>110652.73999999999</v>
      </c>
      <c r="AB31" s="363"/>
      <c r="AC31" s="369">
        <v>9024</v>
      </c>
    </row>
    <row r="32" spans="1:29" s="142" customFormat="1" ht="19.5" thickBot="1">
      <c r="A32" s="286" t="s">
        <v>70</v>
      </c>
      <c r="B32" s="209">
        <v>241</v>
      </c>
      <c r="C32" s="296" t="s">
        <v>64</v>
      </c>
      <c r="D32" s="282">
        <f>SUM(E32:G32)</f>
        <v>1020238773.8200001</v>
      </c>
      <c r="E32" s="210">
        <v>51820511.710000001</v>
      </c>
      <c r="F32" s="211">
        <v>505892.99</v>
      </c>
      <c r="G32" s="211">
        <f>SUM(H32:AC32)</f>
        <v>967912369.12</v>
      </c>
      <c r="H32" s="370">
        <v>249075672.03</v>
      </c>
      <c r="I32" s="371">
        <v>739185.24</v>
      </c>
      <c r="J32" s="391">
        <v>91553563.879999995</v>
      </c>
      <c r="K32" s="375">
        <v>22448374.600000001</v>
      </c>
      <c r="L32" s="372">
        <v>56208762.450000003</v>
      </c>
      <c r="M32" s="372">
        <v>3705680.92</v>
      </c>
      <c r="N32" s="372">
        <v>29004230.16</v>
      </c>
      <c r="O32" s="372">
        <v>63763215.479999997</v>
      </c>
      <c r="P32" s="373">
        <v>1666932.01</v>
      </c>
      <c r="Q32" s="374">
        <v>7781670.4100000001</v>
      </c>
      <c r="R32" s="375">
        <v>105968191.97</v>
      </c>
      <c r="S32" s="372">
        <v>6468122.0899999999</v>
      </c>
      <c r="T32" s="376">
        <v>68476473.150000006</v>
      </c>
      <c r="U32" s="372">
        <f>21623873.2+926059.67</f>
        <v>22549932.870000001</v>
      </c>
      <c r="V32" s="372">
        <v>9321504.0500000007</v>
      </c>
      <c r="W32" s="377">
        <v>40952432.770000003</v>
      </c>
      <c r="X32" s="378">
        <v>55222217.439999998</v>
      </c>
      <c r="Y32" s="372">
        <v>33061513.670000002</v>
      </c>
      <c r="Z32" s="372">
        <v>1835310.89</v>
      </c>
      <c r="AA32" s="372">
        <f>56251683.98+371461.71</f>
        <v>56623145.689999998</v>
      </c>
      <c r="AB32" s="372">
        <v>20272098.190000001</v>
      </c>
      <c r="AC32" s="379">
        <v>21214139.16</v>
      </c>
    </row>
    <row r="33" spans="1:219" s="293" customFormat="1" ht="15" customHeight="1">
      <c r="A33" s="95" t="s">
        <v>56</v>
      </c>
      <c r="B33" s="95"/>
      <c r="C33" s="96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297"/>
      <c r="O33" s="297"/>
      <c r="P33" s="297"/>
      <c r="Q33" s="297"/>
      <c r="R33" s="297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</row>
    <row r="34" spans="1:219" s="293" customFormat="1" ht="18">
      <c r="E34" s="98"/>
      <c r="F34" s="98"/>
      <c r="G34" s="98"/>
      <c r="H34" s="98"/>
      <c r="I34" s="98"/>
      <c r="J34" s="98"/>
      <c r="K34" s="98"/>
      <c r="L34" s="98"/>
      <c r="M34" s="298"/>
    </row>
    <row r="35" spans="1:219" ht="18">
      <c r="E35" s="98"/>
      <c r="F35" s="98"/>
      <c r="G35" s="100"/>
      <c r="H35" s="98"/>
      <c r="I35" s="98"/>
      <c r="J35" s="98"/>
      <c r="K35" s="98"/>
      <c r="L35" s="98"/>
      <c r="M35" s="99"/>
      <c r="W35" s="414"/>
    </row>
    <row r="36" spans="1:219" ht="18">
      <c r="E36" s="98"/>
      <c r="F36" s="98"/>
      <c r="G36" s="98"/>
      <c r="H36" s="98"/>
      <c r="I36" s="98"/>
      <c r="J36" s="98"/>
      <c r="K36" s="98"/>
      <c r="L36" s="98"/>
      <c r="M36" s="99"/>
      <c r="AA36" s="8" t="s">
        <v>57</v>
      </c>
    </row>
    <row r="37" spans="1:219" ht="18">
      <c r="E37" s="101"/>
      <c r="F37" s="101"/>
      <c r="G37" s="101"/>
      <c r="H37" s="101"/>
      <c r="I37" s="101"/>
      <c r="J37" s="101"/>
      <c r="K37" s="101"/>
      <c r="L37" s="101"/>
    </row>
    <row r="38" spans="1:219" ht="18">
      <c r="E38" s="101"/>
      <c r="F38" s="101"/>
      <c r="G38" s="101"/>
      <c r="H38" s="101"/>
      <c r="I38" s="101"/>
      <c r="J38" s="101"/>
      <c r="K38" s="101"/>
      <c r="L38" s="101"/>
    </row>
    <row r="39" spans="1:219" ht="18">
      <c r="E39" s="101"/>
      <c r="F39" s="101"/>
      <c r="G39" s="101"/>
      <c r="H39" s="101"/>
      <c r="I39" s="101"/>
      <c r="J39" s="101"/>
      <c r="K39" s="101"/>
      <c r="L39" s="101"/>
    </row>
    <row r="40" spans="1:219" ht="18">
      <c r="E40" s="101"/>
      <c r="F40" s="101"/>
      <c r="G40" s="101"/>
      <c r="H40" s="101"/>
      <c r="I40" s="101"/>
      <c r="J40" s="101"/>
      <c r="K40" s="101"/>
      <c r="L40" s="101"/>
    </row>
    <row r="41" spans="1:219" ht="18">
      <c r="E41" s="101"/>
      <c r="F41" s="101"/>
      <c r="G41" s="101"/>
      <c r="H41" s="101"/>
      <c r="I41" s="101"/>
      <c r="J41" s="101"/>
      <c r="K41" s="101"/>
      <c r="L41" s="101"/>
    </row>
    <row r="42" spans="1:219" ht="18">
      <c r="E42" s="101"/>
      <c r="F42" s="101"/>
      <c r="G42" s="101"/>
      <c r="H42" s="101"/>
      <c r="I42" s="101"/>
      <c r="J42" s="101"/>
      <c r="K42" s="101"/>
      <c r="L42" s="101"/>
    </row>
    <row r="43" spans="1:219" ht="18">
      <c r="E43" s="101"/>
      <c r="F43" s="101"/>
      <c r="G43" s="101"/>
      <c r="H43" s="101"/>
      <c r="I43" s="101"/>
      <c r="J43" s="101"/>
      <c r="K43" s="101"/>
      <c r="L43" s="101"/>
    </row>
    <row r="44" spans="1:219" ht="18">
      <c r="E44" s="101"/>
      <c r="F44" s="101"/>
      <c r="G44" s="101"/>
      <c r="H44" s="101"/>
      <c r="I44" s="101"/>
      <c r="J44" s="101"/>
      <c r="K44" s="101"/>
      <c r="L44" s="101"/>
    </row>
    <row r="45" spans="1:219" ht="18">
      <c r="E45" s="101"/>
      <c r="F45" s="101"/>
      <c r="G45" s="101"/>
      <c r="H45" s="101"/>
      <c r="I45" s="101"/>
      <c r="J45" s="101"/>
      <c r="K45" s="101"/>
      <c r="L45" s="101"/>
    </row>
  </sheetData>
  <mergeCells count="1">
    <mergeCell ref="E1:F1"/>
  </mergeCells>
  <phoneticPr fontId="0" type="noConversion"/>
  <printOptions horizontalCentered="1"/>
  <pageMargins left="0.51181102362204722" right="0.51181102362204722" top="1.6535433070866143" bottom="0.9055118110236221" header="1.0236220472440944" footer="0.51181102362204722"/>
  <pageSetup paperSize="9" scale="68" fitToHeight="4" orientation="landscape" r:id="rId1"/>
  <headerFooter alignWithMargins="0">
    <oddHeader>&amp;C&amp;"Times New Roman CE,Tučné"&amp;20Přehled o vedlejší hospodářské činnosti statutárního města Brna za rok 2013 (v Kč)</oddHeader>
    <oddFooter>&amp;R&amp;P/&amp;N</oddFooter>
  </headerFooter>
  <colBreaks count="3" manualBreakCount="3">
    <brk id="9" max="1048575" man="1"/>
    <brk id="16" max="1048575" man="1"/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>
  <documentManagement>
    <Pln_x011b_n_x00ed__x0020_rozpo_x010d_tu xmlns="626c80ca-c64a-4e2b-8fdc-4ca129da90da">4</Pln_x011b_n_x00ed__x0020_rozpo_x010d_tu>
    <Rok xmlns="626c80ca-c64a-4e2b-8fdc-4ca129da90da">15</Rok>
    <_dlc_DocId xmlns="fc3156d0-6477-4e59-85db-677a3ac3ddef">K6F56YJ4D42X-540-347</_dlc_DocId>
    <_dlc_DocIdUrl xmlns="fc3156d0-6477-4e59-85db-677a3ac3ddef">
      <Url>http://project.brno.cz/ORF/RI/_layouts/DocIdRedir.aspx?ID=K6F56YJ4D42X-540-347</Url>
      <Description>K6F56YJ4D42X-540-347</Description>
    </_dlc_DocIdUrl>
  </documentManagement>
</p:properties>
</file>

<file path=customXml/itemProps1.xml><?xml version="1.0" encoding="utf-8"?>
<ds:datastoreItem xmlns:ds="http://schemas.openxmlformats.org/officeDocument/2006/customXml" ds:itemID="{D4E41371-D2B6-46FD-82E5-1C31927F823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8A99610-300E-4E62-B044-42665BC30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96589-CE32-412E-BD5F-1455EB79B3D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98DBDF4-1F82-4D68-AF04-6805B5C3469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59947C8-6095-4375-B8A5-42072F39F36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c3156d0-6477-4e59-85db-677a3ac3ddef"/>
    <ds:schemaRef ds:uri="626c80ca-c64a-4e2b-8fdc-4ca129da90da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VHČ 2013 (v tis.Kč)</vt:lpstr>
      <vt:lpstr>VHČ 2013 (v Kč)</vt:lpstr>
      <vt:lpstr>'VHČ 2013 (v Kč)'!Názvy_tisku</vt:lpstr>
      <vt:lpstr>'VHČ 2013 (v tis.Kč)'!Názvy_tisku</vt:lpstr>
      <vt:lpstr>'VHČ 2013 (v Kč)'!Oblast_tisku</vt:lpstr>
      <vt:lpstr>'VHČ 2013 (v tis.Kč)'!Oblast_tisku</vt:lpstr>
    </vt:vector>
  </TitlesOfParts>
  <Company>MMB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Jiří Trnečka</cp:lastModifiedBy>
  <cp:lastPrinted>2014-04-10T08:17:47Z</cp:lastPrinted>
  <dcterms:created xsi:type="dcterms:W3CDTF">2011-02-10T08:15:55Z</dcterms:created>
  <dcterms:modified xsi:type="dcterms:W3CDTF">2014-04-10T08:17:51Z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K6F56YJ4D42X-540-159</vt:lpwstr>
  </property>
  <property fmtid="{D5CDD505-2E9C-101B-9397-08002B2CF9AE}" pid="3" name="_dlc_DocIdItemGuid">
    <vt:lpwstr>02c460c3-2c95-4ebd-8b92-758bf624e419</vt:lpwstr>
  </property>
  <property fmtid="{D5CDD505-2E9C-101B-9397-08002B2CF9AE}" pid="4" name="_dlc_DocIdUrl">
    <vt:lpwstr>http://project.brno.cz/ORF/RI/_layouts/DocIdRedir.aspx?ID=K6F56YJ4D42X-540-159, K6F56YJ4D42X-540-159</vt:lpwstr>
  </property>
  <property fmtid="{D5CDD505-2E9C-101B-9397-08002B2CF9AE}" pid="5" name="ContentTypeId">
    <vt:lpwstr>0x010100C27D4E3435A3B64688955AA93779053B</vt:lpwstr>
  </property>
  <property fmtid="{D5CDD505-2E9C-101B-9397-08002B2CF9AE}" pid="6" name="Rok">
    <vt:lpwstr/>
  </property>
</Properties>
</file>