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63" activeTab="0"/>
  </bookViews>
  <sheets>
    <sheet name="Daňové" sheetId="1" r:id="rId1"/>
    <sheet name="Nedaňové" sheetId="2" r:id="rId2"/>
    <sheet name="Kapitálové" sheetId="3" r:id="rId3"/>
    <sheet name="Transfery" sheetId="4" r:id="rId4"/>
    <sheet name="Běžné_výd" sheetId="5" r:id="rId5"/>
    <sheet name="BV-položky" sheetId="6" r:id="rId6"/>
    <sheet name="Kapitálové_výd" sheetId="7" r:id="rId7"/>
    <sheet name="Investice" sheetId="8" r:id="rId8"/>
  </sheets>
  <externalReferences>
    <externalReference r:id="rId11"/>
  </externalReferences>
  <definedNames>
    <definedName name="_xlfn.SUMIFS" hidden="1">#NAME?</definedName>
    <definedName name="_xlnm.Print_Titles" localSheetId="4">'Běžné_výd'!$1:$1</definedName>
    <definedName name="_xlnm.Print_Titles" localSheetId="5">'BV-položky'!$1:$1</definedName>
    <definedName name="_xlnm.Print_Titles" localSheetId="0">'Daňové'!$1:$1</definedName>
    <definedName name="_xlnm.Print_Titles" localSheetId="7">'Investice'!$2:$2</definedName>
    <definedName name="_xlnm.Print_Titles" localSheetId="2">'Kapitálové'!$2:$2</definedName>
    <definedName name="_xlnm.Print_Titles" localSheetId="6">'Kapitálové_výd'!$1:$1</definedName>
    <definedName name="_xlnm.Print_Titles" localSheetId="1">'Nedaňové'!$1:$1</definedName>
    <definedName name="_xlnm.Print_Titles" localSheetId="3">'Transfery'!$2:$2</definedName>
    <definedName name="_xlnm.Print_Area" localSheetId="4">'Běžné_výd'!$A$1:$H$222</definedName>
    <definedName name="_xlnm.Print_Area" localSheetId="5">'BV-položky'!$A$1:$L$1044</definedName>
    <definedName name="_xlnm.Print_Area" localSheetId="0">'Daňové'!$A$1:$I$37</definedName>
    <definedName name="_xlnm.Print_Area" localSheetId="7">'Investice'!$A$1:$T$480</definedName>
    <definedName name="_xlnm.Print_Area" localSheetId="2">'Kapitálové'!$A$1:$K$12</definedName>
    <definedName name="_xlnm.Print_Area" localSheetId="6">'Kapitálové_výd'!$A$1:$H$139</definedName>
    <definedName name="_xlnm.Print_Area" localSheetId="1">'Nedaňové'!$A$1:$K$201</definedName>
    <definedName name="_xlnm.Print_Area" localSheetId="3">'Transfery'!$A$1:$I$28</definedName>
  </definedNames>
  <calcPr fullCalcOnLoad="1"/>
</workbook>
</file>

<file path=xl/comments8.xml><?xml version="1.0" encoding="utf-8"?>
<comments xmlns="http://schemas.openxmlformats.org/spreadsheetml/2006/main">
  <authors>
    <author>Michaela Kozohorska</author>
    <author>Jiří Trnečka</author>
    <author>Michala Schořová</author>
    <author>Jiri Trnecka</author>
    <author>Petr Bauer</author>
    <author>klimesoh</author>
    <author>trnecka</author>
    <author>svobodaj</author>
  </authors>
  <commentList>
    <comment ref="J3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původně 7 103
R7/001 na 8 170</t>
        </r>
      </text>
    </comment>
    <comment ref="G6" authorId="1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R6/138., CRN 510
R7/001 změna názvu, CRN 15 650
</t>
        </r>
      </text>
    </comment>
    <comment ref="G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R6/146 změna názvu</t>
        </r>
      </text>
    </comment>
    <comment ref="J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R6/146 (pův. 5 962)</t>
        </r>
      </text>
    </comment>
    <comment ref="J9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CN z IZ, vyjádření ORF 2.12.2013, 
R6/135 schválen IZ
</t>
        </r>
      </text>
    </comment>
    <comment ref="J13" authorId="3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R6/154</t>
        </r>
      </text>
    </comment>
    <comment ref="J15" authorId="1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R6/150. 444 900</t>
        </r>
      </text>
    </comment>
    <comment ref="G17" authorId="1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změna názvu R6/150.</t>
        </r>
      </text>
    </comment>
    <comment ref="J17" authorId="1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R6/150.</t>
        </r>
      </text>
    </comment>
    <comment ref="G19" authorId="1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R6/143., I. etapa</t>
        </r>
      </text>
    </comment>
    <comment ref="J22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původně 3000
R6/138 na 4 900
</t>
        </r>
      </text>
    </comment>
    <comment ref="J23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původně 2440
R6/119 bod č. 100
</t>
        </r>
      </text>
    </comment>
    <comment ref="G5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IZ na R6/128</t>
        </r>
      </text>
    </comment>
    <comment ref="J56" authorId="5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R6/128 původně 53 923
R6/142, z 64 323 na 70 000
R6/145 původně 70 000</t>
        </r>
      </text>
    </comment>
    <comment ref="J65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R6/115, bod 6
</t>
        </r>
      </text>
    </comment>
    <comment ref="J73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</t>
        </r>
      </text>
    </comment>
    <comment ref="J74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původně 9300
Z6/028 bod č. 19</t>
        </r>
      </text>
    </comment>
    <comment ref="J77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2 970)</t>
        </r>
      </text>
    </comment>
    <comment ref="J7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3 546)</t>
        </r>
      </text>
    </comment>
    <comment ref="J8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
R6/098 (pův. 6 305)
Z6/028 bod č. 19 (původně 5842)</t>
        </r>
      </text>
    </comment>
    <comment ref="J8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
R6/098 (pův. 3 102)
R6/111 (pův. 2 584)
</t>
        </r>
      </text>
    </comment>
    <comment ref="J8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83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23 000)</t>
        </r>
      </text>
    </comment>
    <comment ref="J8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15 434)</t>
        </r>
      </text>
    </comment>
    <comment ref="J8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R6/098 (pův. 6 715)
Z6/028 bod č. 19 (původně 6518)</t>
        </r>
      </text>
    </comment>
    <comment ref="J86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88 794)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R6/111 (pův. 88 390)</t>
        </r>
        <r>
          <rPr>
            <sz val="9"/>
            <rFont val="Tahoma"/>
            <family val="2"/>
          </rPr>
          <t xml:space="preserve">
</t>
        </r>
      </text>
    </comment>
    <comment ref="J87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R6/098 (pův. 6 086)
R6/111 (pův. 5 871)
</t>
        </r>
      </text>
    </comment>
    <comment ref="J9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48 150)</t>
        </r>
      </text>
    </comment>
    <comment ref="J9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
</t>
        </r>
      </text>
    </comment>
    <comment ref="J93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122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
R6/134 (pův. 53 000)</t>
        </r>
      </text>
    </comment>
    <comment ref="J123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</t>
        </r>
      </text>
    </comment>
    <comment ref="J124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(nová akce)
R6/134 (pův. 33 000)</t>
        </r>
      </text>
    </comment>
    <comment ref="J13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25 811)</t>
        </r>
      </text>
    </comment>
    <comment ref="J13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88 140)</t>
        </r>
      </text>
    </comment>
    <comment ref="J137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8 100)</t>
        </r>
      </text>
    </comment>
    <comment ref="J13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9 505)</t>
        </r>
      </text>
    </comment>
    <comment ref="J146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(původně 800)</t>
        </r>
      </text>
    </comment>
    <comment ref="J147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(85 000)</t>
        </r>
      </text>
    </comment>
    <comment ref="J14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28 350)</t>
        </r>
      </text>
    </comment>
    <comment ref="J149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8 000) </t>
        </r>
      </text>
    </comment>
    <comment ref="J15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52 000)</t>
        </r>
      </text>
    </comment>
    <comment ref="J15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26 386)</t>
        </r>
      </text>
    </comment>
    <comment ref="J153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7 500)</t>
        </r>
      </text>
    </comment>
    <comment ref="J15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15 080)</t>
        </r>
      </text>
    </comment>
    <comment ref="J15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86 000)</t>
        </r>
      </text>
    </comment>
    <comment ref="J16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(50 100)</t>
        </r>
      </text>
    </comment>
    <comment ref="J16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R6/081
Z6/028 bod č. 19 (původně 6638)</t>
        </r>
      </text>
    </comment>
    <comment ref="J163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</t>
        </r>
      </text>
    </comment>
    <comment ref="J16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95 000)</t>
        </r>
      </text>
    </comment>
    <comment ref="J167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7 000)</t>
        </r>
      </text>
    </comment>
    <comment ref="J16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</t>
        </r>
      </text>
    </comment>
    <comment ref="J169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R6/081
Z6/028 bod č. 19 (pův 21 445)</t>
        </r>
      </text>
    </comment>
    <comment ref="J170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 29510)</t>
        </r>
      </text>
    </comment>
    <comment ref="J17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24 172)
Z6/028 bod č. 19 (pův. 23807)</t>
        </r>
      </text>
    </comment>
    <comment ref="J173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45802)</t>
        </r>
      </text>
    </comment>
    <comment ref="J17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R6/068
Z6/028 bod č. 19 (pův. 29068)
R6/134 (pův. 28 735)</t>
        </r>
      </text>
    </comment>
    <comment ref="J17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R6/098 (pův. 20 030)</t>
        </r>
      </text>
    </comment>
    <comment ref="J18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R6/068
R6/098 (pův. 32 641)</t>
        </r>
      </text>
    </comment>
    <comment ref="J18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R6/081
Z6/028 bod č. 19 (pův. 21840)</t>
        </r>
      </text>
    </comment>
    <comment ref="J18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
R6/111 (pův. 16 334)</t>
        </r>
      </text>
    </comment>
    <comment ref="J183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R6/057</t>
        </r>
      </text>
    </comment>
    <comment ref="J18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17 000)</t>
        </r>
      </text>
    </comment>
    <comment ref="J186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44160)</t>
        </r>
      </text>
    </comment>
    <comment ref="J189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10 650)</t>
        </r>
      </text>
    </comment>
    <comment ref="J19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5 400)</t>
        </r>
      </text>
    </comment>
    <comment ref="J19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19 554)</t>
        </r>
      </text>
    </comment>
    <comment ref="J195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50336)</t>
        </r>
      </text>
    </comment>
    <comment ref="J196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R6/098 (pův. 69 400)</t>
        </r>
      </text>
    </comment>
    <comment ref="J198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 199000)</t>
        </r>
      </text>
    </comment>
    <comment ref="J20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18 788)</t>
        </r>
      </text>
    </comment>
    <comment ref="J202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Z6/028 bod č. 19 (pův. 3683)</t>
        </r>
      </text>
    </comment>
    <comment ref="J20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R6/111 (pův. 190 000)</t>
        </r>
        <r>
          <rPr>
            <sz val="9"/>
            <rFont val="Tahoma"/>
            <family val="2"/>
          </rPr>
          <t xml:space="preserve">
</t>
        </r>
      </text>
    </comment>
    <comment ref="J20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R6/072</t>
        </r>
      </text>
    </comment>
    <comment ref="J207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21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R6/134 (pův. 117 143)</t>
        </r>
      </text>
    </comment>
    <comment ref="J21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R6/068</t>
        </r>
      </text>
    </comment>
    <comment ref="J250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R6/124 (pův. 24 100)
R6/149, 17.9.2014, bod 61 - z 28 100 </t>
        </r>
      </text>
    </comment>
    <comment ref="J251" authorId="5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R6/127 původně 45 600</t>
        </r>
      </text>
    </comment>
    <comment ref="J266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R6/051, R6/121 změna investorství
původně 2 200
R7/001 na 4 050
</t>
        </r>
      </text>
    </comment>
    <comment ref="J283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R6/148 bod č.9 zvýšení na 9.300 tis. Kč (pův. 6.800)</t>
        </r>
      </text>
    </comment>
    <comment ref="J28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R6/056
R6/065, bod č. 78</t>
        </r>
      </text>
    </comment>
    <comment ref="J29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R6/085 (pův. 58 400)
R6/124 (pův. 67 300)</t>
        </r>
      </text>
    </comment>
    <comment ref="J29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návrh změny názvu, doby realizace a CRN na Z6/026
pův. 28 000
R6/144 - schváleno posouzení projektu a žádost o dot. s vyššími celkovými náklady projektu (48 mil. Kč)</t>
        </r>
      </text>
    </comment>
    <comment ref="J309" authorId="5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z 30 139 tis. Kč, Z6/034, 20.5.2014, bod č. 74</t>
        </r>
      </text>
    </comment>
    <comment ref="J31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R6/144 (pův. 6 743)</t>
        </r>
      </text>
    </comment>
    <comment ref="J319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R6/137 - žádost o dot. S vyššími celkovými náklady projektu (26 mil. Kč), R6/151 - 23 mil.</t>
        </r>
      </text>
    </comment>
    <comment ref="J32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R6/142 (pův. 98 900)</t>
        </r>
      </text>
    </comment>
    <comment ref="J327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Z6/019
původně 17.000
33000 - R6/120 bod č. 42
zvýšení s NR 2014 (pův. 33 000)
+10000 podzim 2014</t>
        </r>
      </text>
    </comment>
    <comment ref="J329" authorId="5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Z6/036, 2.9.2014, bod č. 233, z 61 897
</t>
        </r>
      </text>
    </comment>
    <comment ref="J33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R6/147 (pův. 29 750)</t>
        </r>
      </text>
    </comment>
    <comment ref="J343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zařazeno Z6/027, bod č. 13
</t>
        </r>
      </text>
    </comment>
    <comment ref="J346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R6/111 (pův. 240 000), navýšeno na 270 000
R7/001 na 320 000</t>
        </r>
      </text>
    </comment>
    <comment ref="J34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R6/056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Z6/019</t>
        </r>
        <r>
          <rPr>
            <sz val="9"/>
            <rFont val="Tahoma"/>
            <family val="2"/>
          </rPr>
          <t xml:space="preserve">
</t>
        </r>
      </text>
    </comment>
    <comment ref="J349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R6/061
Z6/019
</t>
        </r>
        <r>
          <rPr>
            <b/>
            <sz val="9"/>
            <rFont val="Tahoma"/>
            <family val="2"/>
          </rPr>
          <t>feigerlo:</t>
        </r>
        <r>
          <rPr>
            <sz val="9"/>
            <rFont val="Tahoma"/>
            <family val="2"/>
          </rPr>
          <t xml:space="preserve">
R6/118
</t>
        </r>
      </text>
    </comment>
    <comment ref="J352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Z6/021 (pův. 35 000)</t>
        </r>
      </text>
    </comment>
    <comment ref="J353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Z6/021 (pův. 45 000)</t>
        </r>
      </text>
    </comment>
    <comment ref="J35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Z6/020 (pův. 22 000)</t>
        </r>
      </text>
    </comment>
    <comment ref="J35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Z6/020 (pův. 20 000)
</t>
        </r>
      </text>
    </comment>
    <comment ref="J361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původně 250
R6/141 na 10 400, v usnesení IZ chybně uveden ORG 2504</t>
        </r>
      </text>
    </comment>
    <comment ref="J364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původně 17 300
R6/138 na 19 100
R7/001 na 30 350
</t>
        </r>
      </text>
    </comment>
    <comment ref="J369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akce nebyla zařazena usnesením RMB - OD na to zapomněl; schváleno RO v ZMB Z6/026, bod 140
</t>
        </r>
      </text>
    </comment>
    <comment ref="J37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Z6/019
Z6/023 (pův. 29 457)</t>
        </r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Z6/027 32.457 (pův. 31.457)
Z6/030 (pův. 32 457)
R6/147 (pův. 33 457)
Z6/036  zvýšení na 36.957 (pův. 35.457)</t>
        </r>
      </text>
    </comment>
    <comment ref="J387" authorId="6">
      <text>
        <r>
          <rPr>
            <b/>
            <sz val="9"/>
            <rFont val="Tahoma"/>
            <family val="2"/>
          </rPr>
          <t>trnecka:</t>
        </r>
        <r>
          <rPr>
            <sz val="9"/>
            <rFont val="Tahoma"/>
            <family val="2"/>
          </rPr>
          <t xml:space="preserve">
pův. 1 875</t>
        </r>
      </text>
    </comment>
    <comment ref="J40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R6/132 (pův. 49 800)</t>
        </r>
      </text>
    </comment>
    <comment ref="J402" authorId="4">
      <text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R6/119, bod 71
</t>
        </r>
      </text>
    </comment>
    <comment ref="J403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R6/049</t>
        </r>
      </text>
    </comment>
    <comment ref="J405" authorId="7">
      <text>
        <r>
          <rPr>
            <b/>
            <sz val="9"/>
            <rFont val="Tahoma"/>
            <family val="2"/>
          </rPr>
          <t>svobodaj: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Z6/019
</t>
        </r>
      </text>
    </comment>
    <comment ref="J407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R6/106 (pův. 53 000)</t>
        </r>
      </text>
    </comment>
    <comment ref="J40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R6/137 (pův. 23 240)</t>
        </r>
      </text>
    </comment>
    <comment ref="J411" authorId="5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R6/132, 12.3.2014
původně 3 209 tis. Kč
</t>
        </r>
      </text>
    </comment>
    <comment ref="J412" authorId="5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z 30 500 tis. Kč
Z6/034, bod č. 73, 20.5.2014
R6/147, z 38 950</t>
        </r>
      </text>
    </comment>
    <comment ref="J425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Z6/024 (pův. 33 000)</t>
        </r>
      </text>
    </comment>
    <comment ref="J426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Z6/024 (pův. 30 000)</t>
        </r>
      </text>
    </comment>
    <comment ref="J430" authorId="5">
      <text>
        <r>
          <rPr>
            <b/>
            <sz val="9"/>
            <rFont val="Tahoma"/>
            <family val="2"/>
          </rPr>
          <t>klimesoh:</t>
        </r>
        <r>
          <rPr>
            <sz val="9"/>
            <rFont val="Tahoma"/>
            <family val="2"/>
          </rPr>
          <t xml:space="preserve">
Z6/026, původně 16 440 tis. Kč
</t>
        </r>
      </text>
    </comment>
    <comment ref="J437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původně 81 451
R7/007 na 81 964</t>
        </r>
      </text>
    </comment>
    <comment ref="J438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R6/102 (pův. 1 131)
R6/137 (pův. 1 438)</t>
        </r>
      </text>
    </comment>
    <comment ref="J439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původně 18 875
R7/001 na 37 314</t>
        </r>
      </text>
    </comment>
    <comment ref="G451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obsahuje i již realizovanou klimatizaci na Husova 5, 12</t>
        </r>
      </text>
    </comment>
    <comment ref="J451" authorId="0">
      <text>
        <r>
          <rPr>
            <b/>
            <sz val="9"/>
            <rFont val="Tahoma"/>
            <family val="2"/>
          </rPr>
          <t>Michaela Kozohorska:</t>
        </r>
        <r>
          <rPr>
            <sz val="9"/>
            <rFont val="Tahoma"/>
            <family val="2"/>
          </rPr>
          <t xml:space="preserve">
původně 15 058
R6/138 na 17 758</t>
        </r>
      </text>
    </comment>
    <comment ref="J454" authorId="2">
      <text>
        <r>
          <rPr>
            <b/>
            <sz val="9"/>
            <rFont val="Tahoma"/>
            <family val="2"/>
          </rPr>
          <t>Michala Schořová:</t>
        </r>
        <r>
          <rPr>
            <sz val="9"/>
            <rFont val="Tahoma"/>
            <family val="2"/>
          </rPr>
          <t xml:space="preserve">
Z6/023 (pův. 15 834)</t>
        </r>
        <r>
          <rPr>
            <b/>
            <sz val="9"/>
            <rFont val="Tahoma"/>
            <family val="2"/>
          </rPr>
          <t>Petr Bauer:</t>
        </r>
        <r>
          <rPr>
            <sz val="9"/>
            <rFont val="Tahoma"/>
            <family val="2"/>
          </rPr>
          <t xml:space="preserve">
Z6/027 20.334 (pův. 19.334)
Z6/030 (pův. 20.334)
R6/138 z 22 334 na 22 751</t>
        </r>
      </text>
    </comment>
  </commentList>
</comments>
</file>

<file path=xl/sharedStrings.xml><?xml version="1.0" encoding="utf-8"?>
<sst xmlns="http://schemas.openxmlformats.org/spreadsheetml/2006/main" count="4657" uniqueCount="1178">
  <si>
    <t>§</t>
  </si>
  <si>
    <t>Pohřebnictví</t>
  </si>
  <si>
    <t>Péče o vzhled obcí a veřejnou zeleň</t>
  </si>
  <si>
    <t>Název paragrafu</t>
  </si>
  <si>
    <t>Odbor životního prostředí</t>
  </si>
  <si>
    <t>Pitná voda</t>
  </si>
  <si>
    <t>Ochrana druhů a stanovišť</t>
  </si>
  <si>
    <t>Chráněné části přírody</t>
  </si>
  <si>
    <t>Ekologická výchova a osvěta</t>
  </si>
  <si>
    <t>Činnost místní správy</t>
  </si>
  <si>
    <t>Veřejné osvětlení</t>
  </si>
  <si>
    <t>5700 Celkem</t>
  </si>
  <si>
    <t>Bytové hospodářství</t>
  </si>
  <si>
    <t>Všeobecná ambulantní péče</t>
  </si>
  <si>
    <t>7100 Celkem</t>
  </si>
  <si>
    <t>5400 Celkem</t>
  </si>
  <si>
    <t>5600 Celkem</t>
  </si>
  <si>
    <t>Odbor dopravy</t>
  </si>
  <si>
    <t>Odbor investiční</t>
  </si>
  <si>
    <t>Silnice</t>
  </si>
  <si>
    <t>Ostatní dráhy</t>
  </si>
  <si>
    <t>Odvádění a čištění odpadních vod j.n.</t>
  </si>
  <si>
    <t>Úpravy drobných vodních toků</t>
  </si>
  <si>
    <t>Základní školy</t>
  </si>
  <si>
    <t>Divadelní činnost</t>
  </si>
  <si>
    <t xml:space="preserve">Činnost místní správy </t>
  </si>
  <si>
    <t>7300 Celkem</t>
  </si>
  <si>
    <t>Zachování a obnova kulturních památek</t>
  </si>
  <si>
    <t>8200 Celkem</t>
  </si>
  <si>
    <t>Odbor kultury</t>
  </si>
  <si>
    <t>Městská policie</t>
  </si>
  <si>
    <t>5311</t>
  </si>
  <si>
    <t xml:space="preserve">Bezpečnost a veřejný pořádek </t>
  </si>
  <si>
    <t>3200 Celkem</t>
  </si>
  <si>
    <t>7200 Celkem</t>
  </si>
  <si>
    <t>7400 Celkem</t>
  </si>
  <si>
    <t>Odbor vnitřních věcí</t>
  </si>
  <si>
    <t>Odbor městské informatiky</t>
  </si>
  <si>
    <t>Ostatní činnosti j.n.</t>
  </si>
  <si>
    <t>Odbor sociální péče</t>
  </si>
  <si>
    <t>Odbor školství, mládeže a tělovýchovy</t>
  </si>
  <si>
    <t xml:space="preserve">Komunální služby a územní rozvoj </t>
  </si>
  <si>
    <t>5300 Celkem</t>
  </si>
  <si>
    <t>Odbor rozpočtu a financování</t>
  </si>
  <si>
    <t>Odbor vodního a lesního hospodářství a zemědělství</t>
  </si>
  <si>
    <t>Odbor technických sítí</t>
  </si>
  <si>
    <t>Výstavba a údržba místních inženýrských sítí</t>
  </si>
  <si>
    <t>Ostatní ústavní péče</t>
  </si>
  <si>
    <t>Ostatní záležitosti kultury</t>
  </si>
  <si>
    <t>Ostatní tělovýchovná činnost</t>
  </si>
  <si>
    <t xml:space="preserve"> % Sk/SR</t>
  </si>
  <si>
    <t xml:space="preserve"> %Sk/UR</t>
  </si>
  <si>
    <t>Odvádění a čištění odp. vod a nakládání s kaly</t>
  </si>
  <si>
    <t>Ostatní záležitosti pozemních komunikací</t>
  </si>
  <si>
    <t>Kapitálové výdaje města celkem</t>
  </si>
  <si>
    <t>Archiv města Brna</t>
  </si>
  <si>
    <t>Archivní činnost</t>
  </si>
  <si>
    <t>Ostatní záležitosti sdělovacích prostředků</t>
  </si>
  <si>
    <t>Ostatní zájmová činnost a rekreace</t>
  </si>
  <si>
    <t>Zastupitelstva obcí</t>
  </si>
  <si>
    <t>Odbor obrany</t>
  </si>
  <si>
    <t>3600 Celkem</t>
  </si>
  <si>
    <t>Finanční operace j.n.</t>
  </si>
  <si>
    <t>Ozdravování hospodářských zvířat a plodin</t>
  </si>
  <si>
    <t>Monitoring ochrany ovzduší</t>
  </si>
  <si>
    <t>Sběr a svoz komunálních odpadů</t>
  </si>
  <si>
    <t>Využívání a zneškodňování komun. odpadů</t>
  </si>
  <si>
    <t>Ostatní nakládání s odpady</t>
  </si>
  <si>
    <t>Monitoring půdy a podzemní vody</t>
  </si>
  <si>
    <t>Ostatní ochrana půdy a spodní vody</t>
  </si>
  <si>
    <t xml:space="preserve">Celospolečenské funkce lesů </t>
  </si>
  <si>
    <t xml:space="preserve">Pitná voda </t>
  </si>
  <si>
    <t>Územní plánování</t>
  </si>
  <si>
    <t xml:space="preserve">Protierozní a protipožární ochrana </t>
  </si>
  <si>
    <t>Ostatní záležitosti v dopravě</t>
  </si>
  <si>
    <t>Odvádění a čištění odp.vod a nakládání s kaly</t>
  </si>
  <si>
    <t>Ostatní záležitosti bydlení a komunálních služeb</t>
  </si>
  <si>
    <t>3639</t>
  </si>
  <si>
    <t>6200 Celkem</t>
  </si>
  <si>
    <t>Programy rozvoje bydlení a byt. hospodářství</t>
  </si>
  <si>
    <t>Soc. pomoc os. v hmot. nouzi a soc. nepřizpůsobivým</t>
  </si>
  <si>
    <t>Ostatní finanční operace</t>
  </si>
  <si>
    <t>6600 Celkem</t>
  </si>
  <si>
    <t>Odbor územního plánování a rozvoje</t>
  </si>
  <si>
    <t>Odborné léčebné ústavy</t>
  </si>
  <si>
    <t>Ostatní zdr.zařízení a služby pro zdravotnictví</t>
  </si>
  <si>
    <t>Ostatní činnost ve zdravotnictví</t>
  </si>
  <si>
    <t>Soc. pomoc přistěhovalcům a vybr. etnikům</t>
  </si>
  <si>
    <t>Bezpečnost a veřejný pořádek</t>
  </si>
  <si>
    <t>Hudební činnost</t>
  </si>
  <si>
    <t>Činnosti knihovnické</t>
  </si>
  <si>
    <t>Činnosti muzeí a galerií</t>
  </si>
  <si>
    <t>Výstavní činnosti v kultuře</t>
  </si>
  <si>
    <t>Ost. zařízení související s výchovou a vzd. mládeže</t>
  </si>
  <si>
    <t>Využití volného času dětí a mládeže</t>
  </si>
  <si>
    <t>Předškolní zařízení</t>
  </si>
  <si>
    <t>Finanční vypořádání minulých let</t>
  </si>
  <si>
    <t>Odbor památkové péče</t>
  </si>
  <si>
    <t>7500 Celkem</t>
  </si>
  <si>
    <t>Seskup.</t>
  </si>
  <si>
    <t>Pol.</t>
  </si>
  <si>
    <t>Název položky</t>
  </si>
  <si>
    <t xml:space="preserve"> % S/SR</t>
  </si>
  <si>
    <t xml:space="preserve"> % S/UR</t>
  </si>
  <si>
    <t>Daň z příjmů fyz. osob ze  závislé činnosti</t>
  </si>
  <si>
    <t>Daň z příjmů fyz. osob ze sam. výděl. činnosti</t>
  </si>
  <si>
    <t>Daň z příjmů fyz. osob z kapitálových výnosů</t>
  </si>
  <si>
    <t>111 Daně z příjmů fyzických osob</t>
  </si>
  <si>
    <t>Daň z příjmů právnických osob</t>
  </si>
  <si>
    <t>Daň z příjmů právnických osob za obce</t>
  </si>
  <si>
    <t>112 Daně z příjmů právnických osob</t>
  </si>
  <si>
    <t xml:space="preserve">Daň z přidané hodnoty </t>
  </si>
  <si>
    <t>121 Obecné vnitřní daně ze zboží a služeb</t>
  </si>
  <si>
    <t>Odvody za odnětí půdy ze ZPF</t>
  </si>
  <si>
    <t>Poplatky za odnětí pozemků plnění funkcí lesa</t>
  </si>
  <si>
    <t>133 Poplatky za znečišťování ŽP a využívání přírodních zdrojů</t>
  </si>
  <si>
    <t>Poplatek za povolení k vjezdu</t>
  </si>
  <si>
    <t>Správní poplatky</t>
  </si>
  <si>
    <t>136 Správní poplatky</t>
  </si>
  <si>
    <t>151 Daně z majetku</t>
  </si>
  <si>
    <t>Daňové příjmy města celkem</t>
  </si>
  <si>
    <t>Název §</t>
  </si>
  <si>
    <t>Příjmy z vlastní činnosti</t>
  </si>
  <si>
    <t>Příjmy z poskytování služeb a výrobků</t>
  </si>
  <si>
    <t>Komunální služby a územní rozvoj</t>
  </si>
  <si>
    <t>Využívání a zneškodňování  komunálních odpadů</t>
  </si>
  <si>
    <t>211 Příjmy z vlastní činnosti celkem</t>
  </si>
  <si>
    <t>Odvody přebytků organizací s přímým vztahem</t>
  </si>
  <si>
    <t>Odvody příspěvkových organizací</t>
  </si>
  <si>
    <t>212 Odvody přebytků organizací s přímým vztahem celkem</t>
  </si>
  <si>
    <t>Příjmy z pronájmu majetku</t>
  </si>
  <si>
    <t>Příjmy z pronájmu pozemků</t>
  </si>
  <si>
    <t>Pěstební činnost</t>
  </si>
  <si>
    <t>213 Příjmy z pronájmu majetku celkem</t>
  </si>
  <si>
    <t xml:space="preserve">Příjmy z úroků </t>
  </si>
  <si>
    <t>Programy rozvoje bydlení a byt. hosp. j.n.</t>
  </si>
  <si>
    <t>Obecné příjmy a výdaje z finančních operací</t>
  </si>
  <si>
    <t>Přijaté sankční platby</t>
  </si>
  <si>
    <t>Ostatní záležitosti vodního hospodářství</t>
  </si>
  <si>
    <t>221 Přijaté sankční platby celkem</t>
  </si>
  <si>
    <t>Ostatní přijaté vratky transferů</t>
  </si>
  <si>
    <t>Příjmy z prodeje krátkodobého majetku</t>
  </si>
  <si>
    <t>Ostatní nedaňové příjmy</t>
  </si>
  <si>
    <t>Přijaté neinvestiční dary</t>
  </si>
  <si>
    <t>Přijaté nekapitálové příspěvky a náhrady</t>
  </si>
  <si>
    <t>Neidentifikované příjmy</t>
  </si>
  <si>
    <t>Podpora ostatních produkčních činnosti</t>
  </si>
  <si>
    <t>Ostatní nedaňové příjmy j. n.</t>
  </si>
  <si>
    <t>Ostatní činnosti k ochraně přírody a krajiny</t>
  </si>
  <si>
    <t>Příjmy z úhrad dobývacího prostoru a vydob. nerostů</t>
  </si>
  <si>
    <t>232 a 234 Ostatní nedaňové příjmy celkem</t>
  </si>
  <si>
    <t xml:space="preserve">Splátky půjčených prostředků od MČ </t>
  </si>
  <si>
    <t>244 Splátky půjč. prostředků od veř. rozp. územní úrovně celkem</t>
  </si>
  <si>
    <t>Splátky půjčených prostředků od obyvatelstva</t>
  </si>
  <si>
    <t>246 Splátky půjčených prostředků od obyvatelstva celkem</t>
  </si>
  <si>
    <t>Nedaňové příjmy města celkem</t>
  </si>
  <si>
    <t>Příjmy z prodeje pozemků</t>
  </si>
  <si>
    <t>Příjmy z prodeje ost. nemovitostí a jejich částí</t>
  </si>
  <si>
    <t>Příjmy z prodeje ostatního hm. dlouhod. majetku</t>
  </si>
  <si>
    <t>311 Příjmy z prodeje dlouhodobého majetku celkem</t>
  </si>
  <si>
    <t>Kapitálové příjmy města celkem</t>
  </si>
  <si>
    <t>Převody z vlastních fondů hospodářské činnosti</t>
  </si>
  <si>
    <t>Škol. stravování při předškolním a zákl. vzdělávání</t>
  </si>
  <si>
    <t>241 Splátky půjč. prostředků od podnikatelských subjektů celkem</t>
  </si>
  <si>
    <t>1900 Celkem</t>
  </si>
  <si>
    <t>Územní rozvoj</t>
  </si>
  <si>
    <t>Kancelář primátora města Brna</t>
  </si>
  <si>
    <t>Příjmy z prodeje dlouhodobého majetku</t>
  </si>
  <si>
    <t>Pořizování, zachování a obnova kult. hodnot</t>
  </si>
  <si>
    <t>Ozdrav. hosp. zvířat, plodin a zvl. veterinár. péče</t>
  </si>
  <si>
    <t>6200</t>
  </si>
  <si>
    <t>Převody z ostatních vlastních fondů</t>
  </si>
  <si>
    <t>134 Místní poplatky z vybíraných činností a služeb</t>
  </si>
  <si>
    <t>Osobní asistence, pečovatelská služba</t>
  </si>
  <si>
    <t>Příjmy za zkoušky OZ od žadatelů o řid. oprávnění</t>
  </si>
  <si>
    <t>135 Ostatní odvody z vybraných činností a služeb</t>
  </si>
  <si>
    <t>41 Neinvestiční přijaté transfery</t>
  </si>
  <si>
    <t>42 Investiční přijaté transfery</t>
  </si>
  <si>
    <t>Transfery přijaté městem celkem</t>
  </si>
  <si>
    <t>Neinv. přij. transfery v rámci souhrn. dot. vztahu</t>
  </si>
  <si>
    <t>Ostatní neinvestiční transfery přijaté ze SR</t>
  </si>
  <si>
    <t>Neinvestiční přijaté transfery od obcí</t>
  </si>
  <si>
    <t>Neinvestiční přijaté transfery od krajů</t>
  </si>
  <si>
    <t>Splátky půjčených prostředků od podnikatelských subjektů</t>
  </si>
  <si>
    <t>Splátky půjčených prostředků od veřejných rozpočtů územní úrovně</t>
  </si>
  <si>
    <t>Cestovní ruch</t>
  </si>
  <si>
    <t>Ost. služby a činnosti v oblasti sociální prevence</t>
  </si>
  <si>
    <t>Odbor zdraví</t>
  </si>
  <si>
    <t>Ostatní služby a činnosti v oblasti sociální péče</t>
  </si>
  <si>
    <t>1700 Celkem</t>
  </si>
  <si>
    <t>4200 Celkem</t>
  </si>
  <si>
    <t>4100 Celkem</t>
  </si>
  <si>
    <t>4300 Celkem</t>
  </si>
  <si>
    <t xml:space="preserve">Ost. záležitosti bezpečnosti a veřejného pořádku </t>
  </si>
  <si>
    <t>Přijaté pojistné náhrady</t>
  </si>
  <si>
    <t>6600</t>
  </si>
  <si>
    <t>3900 Celkem</t>
  </si>
  <si>
    <t>Majetkový odbor</t>
  </si>
  <si>
    <t>6300 Celkem</t>
  </si>
  <si>
    <t>Odvádění a čištění o odpadních vod j. n.</t>
  </si>
  <si>
    <t>Sportovní zařízení v majetku obce</t>
  </si>
  <si>
    <t>Ostatní nemocnice</t>
  </si>
  <si>
    <t>Ostatní odvody z vybraných činností a služeb</t>
  </si>
  <si>
    <t>Příjmy z pronájmu ost. nemovitostí a jejich částí</t>
  </si>
  <si>
    <t>Splátky půjčených prostředků od přísp. organizací</t>
  </si>
  <si>
    <t>Splátky půjčených prostředků od zřízených a podobných subjektů</t>
  </si>
  <si>
    <t>245 Splátky půjč. prostředků od zřízených apod. subjektů celkem</t>
  </si>
  <si>
    <t>Prevence před drogami, alkoholem, nikotinem</t>
  </si>
  <si>
    <t>Ostatní záležitosti v silniční dopravě</t>
  </si>
  <si>
    <t>Sankční platby, přijaté od jiných subjektů</t>
  </si>
  <si>
    <t>Bytový odbor</t>
  </si>
  <si>
    <t>Tísňová péče</t>
  </si>
  <si>
    <t>1700</t>
  </si>
  <si>
    <t>Sociální pomoc osobám v hmotné nouzi</t>
  </si>
  <si>
    <t>Odbor správy majetku</t>
  </si>
  <si>
    <t>Splátky půjček od podn. subjektů - právnických osob</t>
  </si>
  <si>
    <t>Neinvestiční přijaté transfery od mezinárodních institucí</t>
  </si>
  <si>
    <t>Příjmy z prodeje krátkodobého a drobného dlouhodobého majetku</t>
  </si>
  <si>
    <t>Ost. poplatky a odvody v oblasti životního prostředí</t>
  </si>
  <si>
    <t>Výnosy z finančního majetku</t>
  </si>
  <si>
    <t>214 Výnosy z finančního majetku celkem</t>
  </si>
  <si>
    <t>231 Příjmy z prodeje krátk. a drobného dlouh. majetku celkem</t>
  </si>
  <si>
    <t>Požární ochrana - profesionální část</t>
  </si>
  <si>
    <t>Poplatek za provoz systému - komunální odpad</t>
  </si>
  <si>
    <t>Ochrana obyvatelstva</t>
  </si>
  <si>
    <t>Ostatní správa v oblasti krizového řízení</t>
  </si>
  <si>
    <t>ORJ</t>
  </si>
  <si>
    <t>Investiční přijaté transfery od regionálních rad</t>
  </si>
  <si>
    <t>Odvod z výherních hracích přístrojů</t>
  </si>
  <si>
    <t>Odvod z loterií apod. her kromě z výh. hracích přístrojů</t>
  </si>
  <si>
    <t>Využívání a zneškodňování komunálních odpadů</t>
  </si>
  <si>
    <t>Neinvestiční přijaté transfery od cizích států</t>
  </si>
  <si>
    <t>Ostatní záležitosti vzdělávání</t>
  </si>
  <si>
    <t>Příjmy z podílů na zisku a dividend</t>
  </si>
  <si>
    <t>Splátky půjčených prostředků od o.p.s. a podobných subjektů</t>
  </si>
  <si>
    <t>4100</t>
  </si>
  <si>
    <t>Splátky půjček od o.p.s. a podobných subjektů</t>
  </si>
  <si>
    <t>242 Splátky půjč. prostředků od o.p.s. apod. subjektů celkem</t>
  </si>
  <si>
    <t>Mezinárodní spolupráce</t>
  </si>
  <si>
    <t>Ostatní výzkum a vývoj</t>
  </si>
  <si>
    <t xml:space="preserve">Ozdravování hospodářských zvířat a plodin </t>
  </si>
  <si>
    <t>Odvádění a čištění odp.vod a naklád. s kaly</t>
  </si>
  <si>
    <t>Ost. záležitosti pozemních komunikací</t>
  </si>
  <si>
    <t>Záležitosti vodních toků a vodohosp. děl</t>
  </si>
  <si>
    <t>Ostatní činnosti související se službami pro obyv.</t>
  </si>
  <si>
    <t>SR 2014</t>
  </si>
  <si>
    <t>Investiční přijaté transfery ze státních fondů</t>
  </si>
  <si>
    <t>Ostatní investiční transfery přijaté ze SR</t>
  </si>
  <si>
    <t>Obecné příjmy a výdaje z fin. operací</t>
  </si>
  <si>
    <t>Ost. správa v oblasti hosp. opatření pro krizové stavy</t>
  </si>
  <si>
    <t>Úpravy vodohosp. význ. a vodárenských toků</t>
  </si>
  <si>
    <t>Soc. pomoc osobám v hmotné nouzi</t>
  </si>
  <si>
    <t>Domovy pro seniory</t>
  </si>
  <si>
    <t>Domovy pro osoby se zdr. postižením a domovy se zvl. režimem</t>
  </si>
  <si>
    <t>Azylové domy, nízkoprah. denní centra a noclehárny</t>
  </si>
  <si>
    <t>První stupeň základních škol</t>
  </si>
  <si>
    <t>Revitalizace říčních systémů</t>
  </si>
  <si>
    <t>Domovy pro os. se zdrav. postižením a zvl. režimem</t>
  </si>
  <si>
    <t>Ostatní činnosti ve zdravotnictví</t>
  </si>
  <si>
    <t>Ost. záležitosti předšk výchovy a zákl. vzdělávání</t>
  </si>
  <si>
    <t>Daň z nemovitých věcí</t>
  </si>
  <si>
    <t>Investiční přijaté transfery od městských částí</t>
  </si>
  <si>
    <t>Ostatní neinv. přijaté transfery od rozpočtů ústřední úrovně</t>
  </si>
  <si>
    <t>Ostatní činnosti</t>
  </si>
  <si>
    <t xml:space="preserve">Využití volného času dětí a mládeže </t>
  </si>
  <si>
    <t xml:space="preserve">Ostatní nemocnice </t>
  </si>
  <si>
    <t>Odborné sociální poradentství</t>
  </si>
  <si>
    <t>Sociální rehabilitace</t>
  </si>
  <si>
    <t>Průvodcovské a předčitatelské služby</t>
  </si>
  <si>
    <t>Chráněné bydlení</t>
  </si>
  <si>
    <t xml:space="preserve">Denní stacionáře a centra denních služeb  </t>
  </si>
  <si>
    <t xml:space="preserve">Raná péče a soc. aktivizační služby pro rodiny </t>
  </si>
  <si>
    <t xml:space="preserve">Krizová pomoc   </t>
  </si>
  <si>
    <t>Nízkoprahová zařízení pro děti a mládež</t>
  </si>
  <si>
    <t>Služby následné péče, terapeutické komunity</t>
  </si>
  <si>
    <t>Terénní programy</t>
  </si>
  <si>
    <t>Ostatní záležitosti soc.věcí a politiky zaměstnanosti</t>
  </si>
  <si>
    <t>8887 Celkem</t>
  </si>
  <si>
    <t>Neinv. přij. transfery z Všeobecné pokladní správy SR</t>
  </si>
  <si>
    <t>Neinvestiční přijaté transfery od regionálních rad</t>
  </si>
  <si>
    <t xml:space="preserve">Péče o vzhled obcí a veřejnou zeleň  </t>
  </si>
  <si>
    <t xml:space="preserve">Ostatní činnosti j.n. </t>
  </si>
  <si>
    <t>Využívání a zneškodňování komun.odpadů</t>
  </si>
  <si>
    <t>Ostatní rozvoj bydlení a bytového hospodářství</t>
  </si>
  <si>
    <t>Ost.záležitosti bydlení, kom.služeb a úz. rozvoje</t>
  </si>
  <si>
    <t>Přijaté vratky transferů a ostatní příjmy z fin. vypořádání</t>
  </si>
  <si>
    <t>222 Přijaté vratky transferů a ostatní příjmy z fin. vypořádání celkem</t>
  </si>
  <si>
    <t>Volby do Evropského parlamentu</t>
  </si>
  <si>
    <t>Ostatní záležitosti lesního hospodářství</t>
  </si>
  <si>
    <t xml:space="preserve">Zařízení pro děti vyžadující okamžitou pomoc </t>
  </si>
  <si>
    <t>Vydavatelská činnost</t>
  </si>
  <si>
    <t>Filmová tvorba, distribuce, kina</t>
  </si>
  <si>
    <t>Domovy pro osoby se zdr. postižením a se zvl. režimem</t>
  </si>
  <si>
    <t>Lékárenská služba</t>
  </si>
  <si>
    <t>Příjmy z finančního vypořádání od městských částí</t>
  </si>
  <si>
    <t>Ost. odvody přebytků organizací s přímým vztahem</t>
  </si>
  <si>
    <t>Volby do zastupitelstev ÚSC</t>
  </si>
  <si>
    <t>DPH - přenesení daňové povinnosti (reverse charge)</t>
  </si>
  <si>
    <t>UR k 31.12.2014</t>
  </si>
  <si>
    <t>Sk k 31.12.2014</t>
  </si>
  <si>
    <t>Skut. k 31.12.2014</t>
  </si>
  <si>
    <t>Investiční přijaté transfery od krajů</t>
  </si>
  <si>
    <t>Kursové rozdíly v příjmech</t>
  </si>
  <si>
    <t>Běžné výdaje města celkem</t>
  </si>
  <si>
    <t>Ostatní záležitosti sociálních věcí</t>
  </si>
  <si>
    <t>pod 75%</t>
  </si>
  <si>
    <t>x</t>
  </si>
  <si>
    <t>č.ř.</t>
  </si>
  <si>
    <t>Upřesnění</t>
  </si>
  <si>
    <t>UR 2014</t>
  </si>
  <si>
    <t>SK 2014</t>
  </si>
  <si>
    <t>SK-UR</t>
  </si>
  <si>
    <t>SK/UR</t>
  </si>
  <si>
    <t>Ostatní náhrady placené obyvatelstvu</t>
  </si>
  <si>
    <t>3511 Celkem</t>
  </si>
  <si>
    <t>Konzultační, poradenské a právní služby</t>
  </si>
  <si>
    <t>Nákup ostatních služeb</t>
  </si>
  <si>
    <t>Úhrady sankcí jiným rozpočtům</t>
  </si>
  <si>
    <t>Ostatní neinvestiční výdaje j.n.</t>
  </si>
  <si>
    <t>6171 Celkem</t>
  </si>
  <si>
    <t>Úroky vlastní</t>
  </si>
  <si>
    <t>Kursové rozdíly ve výdajích</t>
  </si>
  <si>
    <t>Úrokové výdaje na fin. deriváty kromě k vlastním dluhopisům</t>
  </si>
  <si>
    <t>Služby peněžních ústavů</t>
  </si>
  <si>
    <t>6310 Celkem</t>
  </si>
  <si>
    <t>Platby daní a poplatků státnímu rozpočtu</t>
  </si>
  <si>
    <t>6399 Celkem</t>
  </si>
  <si>
    <t>Výdaje z fin. vypořádání minulých let mezi krajem a obcemi</t>
  </si>
  <si>
    <t>Výdaje s fin. vypořádání minulých let mezi městem a MČ</t>
  </si>
  <si>
    <t>Ostatní výdaje z finančního vypořádání minulých let</t>
  </si>
  <si>
    <t>6402 Celkem</t>
  </si>
  <si>
    <t>Neinvestiční transfery městským částem</t>
  </si>
  <si>
    <t>Nespecifikované rezervy - ORF</t>
  </si>
  <si>
    <t>6409 Celkem</t>
  </si>
  <si>
    <t>Pohoštění</t>
  </si>
  <si>
    <t>Poskytnuté neinvestiční příspěvky a náhrady</t>
  </si>
  <si>
    <t>Neinvestiční transfery neziskovým a podobným org.</t>
  </si>
  <si>
    <t>Neinvestiční příspěvky zřízeným p. o.</t>
  </si>
  <si>
    <t>TIC</t>
  </si>
  <si>
    <t>Neinvestiční transfery zřízeným p. o.</t>
  </si>
  <si>
    <t>2143 Celkem</t>
  </si>
  <si>
    <t>Knihy, učební pomůcky a tisk</t>
  </si>
  <si>
    <t>Nákup materiálu j.n.</t>
  </si>
  <si>
    <t>Věcné dary</t>
  </si>
  <si>
    <t>3349 Celkem</t>
  </si>
  <si>
    <t>Odměny za užití duševního vlastnictví</t>
  </si>
  <si>
    <t>Drobný hmotný dlouhodobý majetek</t>
  </si>
  <si>
    <t>Elektrická energie</t>
  </si>
  <si>
    <t>Nájemné</t>
  </si>
  <si>
    <t>3636 Celkem</t>
  </si>
  <si>
    <t>Platy zaměstnanců v pracovním poměru</t>
  </si>
  <si>
    <t>FKEP</t>
  </si>
  <si>
    <t>Ostatní osobní výdaje</t>
  </si>
  <si>
    <t>Povinné pojistné na sociální zabezpečení</t>
  </si>
  <si>
    <t>Povinné pojistné na veřejné zdravotní pojištění</t>
  </si>
  <si>
    <t>Cestovné (tuzemské i zahraniční)</t>
  </si>
  <si>
    <t>2219 Celkem</t>
  </si>
  <si>
    <t>3113 Celkem</t>
  </si>
  <si>
    <t>3299 Celkem</t>
  </si>
  <si>
    <t>3319 Celkem</t>
  </si>
  <si>
    <t>Sociální fond</t>
  </si>
  <si>
    <t>3429 Celkem</t>
  </si>
  <si>
    <t>3612 Celkem</t>
  </si>
  <si>
    <t>Ostatní záležitosti bezpečnosti a veřejného pořádku</t>
  </si>
  <si>
    <t>5319 Celkem</t>
  </si>
  <si>
    <t>Ost. neinvestiční transfery jiným veřejným rozpočtům</t>
  </si>
  <si>
    <t>5511 Celkem</t>
  </si>
  <si>
    <t>Ostatní platy</t>
  </si>
  <si>
    <t>Odměny členů zastupitelstev obcí a krajů</t>
  </si>
  <si>
    <t>Ostatní povinné pojistné placené zaměstnavatelem</t>
  </si>
  <si>
    <t>6112 Celkem</t>
  </si>
  <si>
    <t>Volby do zastupitelstev územních samosprávných celků</t>
  </si>
  <si>
    <t>Pohonné hmoty a maziva</t>
  </si>
  <si>
    <t>6115 Celkem</t>
  </si>
  <si>
    <t>6117 Celkem</t>
  </si>
  <si>
    <t>Odstupné</t>
  </si>
  <si>
    <t>Povinné pojistné na úrazové pojištění</t>
  </si>
  <si>
    <t>Ochranné pomůcky</t>
  </si>
  <si>
    <t>Léky a zdravotnický materiál</t>
  </si>
  <si>
    <t>Prádlo, oděv a obuv</t>
  </si>
  <si>
    <t>Plyn</t>
  </si>
  <si>
    <t>Poštovní služby</t>
  </si>
  <si>
    <t>Služby telekomunikací a radiokomunikací</t>
  </si>
  <si>
    <t>Služby školení a vzdělávání</t>
  </si>
  <si>
    <t>Opravy a udržování</t>
  </si>
  <si>
    <t>Účastnické poplatky na konference</t>
  </si>
  <si>
    <t>Ostatní nákupy j. n.</t>
  </si>
  <si>
    <t>Nákup kolků</t>
  </si>
  <si>
    <t>Platby daní a poplatků krajům, obcím a státním fondům</t>
  </si>
  <si>
    <t>Náhrady mezd v době nemoci</t>
  </si>
  <si>
    <t>Dary obyvatelstvu</t>
  </si>
  <si>
    <t>Ostatní neinvestiční transfery obyvatelstvu</t>
  </si>
  <si>
    <t>6223 Celkem</t>
  </si>
  <si>
    <t xml:space="preserve">Nákup ostatních služeb </t>
  </si>
  <si>
    <t>5212 Celkem</t>
  </si>
  <si>
    <t>5269 Celkem</t>
  </si>
  <si>
    <t>Programové vybavení</t>
  </si>
  <si>
    <t>5273 Celkem</t>
  </si>
  <si>
    <t>6211 Celkem</t>
  </si>
  <si>
    <t>2229 Celkem</t>
  </si>
  <si>
    <t>3322 Celkem</t>
  </si>
  <si>
    <t>3412 Celkem</t>
  </si>
  <si>
    <t>3421 Celkem</t>
  </si>
  <si>
    <t>3635 Celkem</t>
  </si>
  <si>
    <t>Neinvestiční transfery cizím státům</t>
  </si>
  <si>
    <t>3639 Celkem</t>
  </si>
  <si>
    <t>3745 Celkem</t>
  </si>
  <si>
    <t>Neinvestiční transfery spolkům</t>
  </si>
  <si>
    <t>4341 Celkem</t>
  </si>
  <si>
    <t>Výdaje z fin. vypořádání min. let mezi krajem a obcemi</t>
  </si>
  <si>
    <t>Ozdr. hosp. zvířat, plodin a zvl. vet. péče</t>
  </si>
  <si>
    <t>1014 Celkem</t>
  </si>
  <si>
    <t>SHMB, p.o.</t>
  </si>
  <si>
    <t>3632 Celkem</t>
  </si>
  <si>
    <t>3716 Celkem</t>
  </si>
  <si>
    <t>3722 Celkem</t>
  </si>
  <si>
    <t>Využívání a znešk. komunálních odpadů</t>
  </si>
  <si>
    <t>3725 Celkem</t>
  </si>
  <si>
    <t>3729 Celkem</t>
  </si>
  <si>
    <t>3733 Celkem</t>
  </si>
  <si>
    <t>3739 Celkem</t>
  </si>
  <si>
    <t>ZOO, p.o.</t>
  </si>
  <si>
    <t>Nespecifikované rezervy</t>
  </si>
  <si>
    <t>3741 Celkem</t>
  </si>
  <si>
    <t xml:space="preserve">Zpracování dat a služby související s IT </t>
  </si>
  <si>
    <t>3742 Celkem</t>
  </si>
  <si>
    <t>VZMB, p.o.</t>
  </si>
  <si>
    <t>Neinvestiční transfery obecně prospěšným společnostem</t>
  </si>
  <si>
    <t>Neinvestiční příspěvky ost. příspěvkovým organizacím</t>
  </si>
  <si>
    <t>3792 Celkem</t>
  </si>
  <si>
    <t>Celospolečenské funkce lesů</t>
  </si>
  <si>
    <t>Neinv. transfery nefin. podnik. subj. - právnickým osobám</t>
  </si>
  <si>
    <t>Převody vlastním fondům hospodářské činnosti</t>
  </si>
  <si>
    <t>1037 Celkem</t>
  </si>
  <si>
    <t>1039 Celkem</t>
  </si>
  <si>
    <t>2310 Celkem</t>
  </si>
  <si>
    <t>2321 Celkem</t>
  </si>
  <si>
    <t>Ostatní neinvestiční transfery podnikatelským subjektům</t>
  </si>
  <si>
    <t>2331 Celkem</t>
  </si>
  <si>
    <t>2333 Celkem</t>
  </si>
  <si>
    <t>Protierozní, protilavinová a protipožární ochrana</t>
  </si>
  <si>
    <t>3744 Celkem</t>
  </si>
  <si>
    <t>Ost. neinvestiční transfery veř. rozpočtům územní úrovně</t>
  </si>
  <si>
    <t>2212 Celkem</t>
  </si>
  <si>
    <t>2271 Celkem</t>
  </si>
  <si>
    <t>Záležitosti v dopravě j. n.</t>
  </si>
  <si>
    <t>2299 Celkem</t>
  </si>
  <si>
    <t>3314 Celkem</t>
  </si>
  <si>
    <t>3631 Celkem</t>
  </si>
  <si>
    <t>Služby zpracování dat</t>
  </si>
  <si>
    <t>3633 Celkem</t>
  </si>
  <si>
    <t>Studená voda</t>
  </si>
  <si>
    <t>Ostatní záležitosti bydlení, komunálních služeb a územ. rozvoje</t>
  </si>
  <si>
    <t>3699 Celkem</t>
  </si>
  <si>
    <t>Odvádění a čištění odpadních vod</t>
  </si>
  <si>
    <t>Výstavba a údržba místních inž. sítí</t>
  </si>
  <si>
    <t xml:space="preserve">Záležitosti bydlení a kom. služeb j. n. </t>
  </si>
  <si>
    <t>FBV</t>
  </si>
  <si>
    <t>Neinv. transfery společenstvím vlastníků jednotek</t>
  </si>
  <si>
    <t>FRB</t>
  </si>
  <si>
    <t>Programy rozvoje bydlení a byt. hosp.</t>
  </si>
  <si>
    <t>Neinvestiční půjčky nefinančním pod. subj. - práv. os.</t>
  </si>
  <si>
    <t>Neinvestiční půjčky obyvatelstvu</t>
  </si>
  <si>
    <t>3619 Celkem</t>
  </si>
  <si>
    <t>Teplo</t>
  </si>
  <si>
    <t>Ostatní výdaje související s neinvestičními nákupy</t>
  </si>
  <si>
    <t>Soc. pomoc os. v hmotné nouzi a soc. nepřizp.</t>
  </si>
  <si>
    <t>Ostat. záležitosti sociálních věcí a politiky zaměstnanosti</t>
  </si>
  <si>
    <t>4399 Celkem</t>
  </si>
  <si>
    <t>SZZ II., p.o.</t>
  </si>
  <si>
    <t>NMB, p.o.</t>
  </si>
  <si>
    <t>ÚN, p.o.</t>
  </si>
  <si>
    <t>Neinvestiční půjč. prostředky zřízeným p. o.</t>
  </si>
  <si>
    <t>3522 Celkem</t>
  </si>
  <si>
    <t>3523 Celkem</t>
  </si>
  <si>
    <t>Dětské centrum Brno, p.o.</t>
  </si>
  <si>
    <t>3529 Celkem</t>
  </si>
  <si>
    <t>Neinvestiční transfery nefin. podnik. subj. - fyzickým os.</t>
  </si>
  <si>
    <t>Neinvestiční transfery církvím a nábož. společnostem</t>
  </si>
  <si>
    <t>Neinvestiční transfery vysokým školám</t>
  </si>
  <si>
    <t>Neinvestiční transfery cizím p. o.</t>
  </si>
  <si>
    <t>3599 Celkem</t>
  </si>
  <si>
    <t>Ost. čin. související se službami pro obyv.</t>
  </si>
  <si>
    <t>Prevence před drogami, alkoholem a nikot.</t>
  </si>
  <si>
    <t>3541 Celkem</t>
  </si>
  <si>
    <t>Odborné sociální poradenství</t>
  </si>
  <si>
    <t>4312 Celkem</t>
  </si>
  <si>
    <t>Zařízení pro děti vyžadující okamžitou pomoc</t>
  </si>
  <si>
    <t>4324 Celkem</t>
  </si>
  <si>
    <t>Teplá voda</t>
  </si>
  <si>
    <t>Soc. péče a pomoc přistěh. vybr. etnikům</t>
  </si>
  <si>
    <t>4342 Celkem</t>
  </si>
  <si>
    <t>4344 Celkem</t>
  </si>
  <si>
    <t>DS Věstonická</t>
  </si>
  <si>
    <t>DS Kociánka</t>
  </si>
  <si>
    <t>DS Mikuláškovo</t>
  </si>
  <si>
    <t>DS Foltýnova</t>
  </si>
  <si>
    <t>DS Okružní</t>
  </si>
  <si>
    <t>DS Podpěrova</t>
  </si>
  <si>
    <t>DS Koniklecova</t>
  </si>
  <si>
    <t>DS Vychodilova</t>
  </si>
  <si>
    <t>DS Holásecká</t>
  </si>
  <si>
    <t>4350 Celkem</t>
  </si>
  <si>
    <t>Osobní asistence, peč.služba a podpora sam.bydlení</t>
  </si>
  <si>
    <t>4351 Celkem</t>
  </si>
  <si>
    <t>4353 Celkem</t>
  </si>
  <si>
    <t>4354 Celkem</t>
  </si>
  <si>
    <t>Denní stacionáře a centra denních služeb</t>
  </si>
  <si>
    <t>4356 Celkem</t>
  </si>
  <si>
    <t>Domovy pro os. se zdrav. postižením a se zvl. režimem</t>
  </si>
  <si>
    <t>DS Nopova, p.o.</t>
  </si>
  <si>
    <t>DS Kosmonautů, p.o.</t>
  </si>
  <si>
    <t>4357 Celkem</t>
  </si>
  <si>
    <t>Ost. služby a činnosti v oblasti soc. péče</t>
  </si>
  <si>
    <t>4359 Celkem</t>
  </si>
  <si>
    <t>Raná péče a soc.aktivizační služby pro rodiny s dětmi</t>
  </si>
  <si>
    <t>4371 Celkem</t>
  </si>
  <si>
    <t>Krizová pomoc</t>
  </si>
  <si>
    <t>4372 Celkem</t>
  </si>
  <si>
    <t>Azyl. domy,nízkoprah. denní centra a noclehárny</t>
  </si>
  <si>
    <t>CSS Tábor, p.o.</t>
  </si>
  <si>
    <t>4374 Celkem</t>
  </si>
  <si>
    <t>4375 Celkem</t>
  </si>
  <si>
    <t>Služby násl. péče, terap.komunity a kontakt.centra</t>
  </si>
  <si>
    <t>4376 Celkem</t>
  </si>
  <si>
    <t>4378 Celkem</t>
  </si>
  <si>
    <t>Ost. služby a činnosti v oblasti soc. prevence</t>
  </si>
  <si>
    <t>4379 Celkem</t>
  </si>
  <si>
    <t>Ost. záležitosti soc. věcí a politiky zaměstnanosti</t>
  </si>
  <si>
    <t>Ost. záležitosti bezpečnosti a veř. pořádku</t>
  </si>
  <si>
    <t>Neinvestiční transfery státnímu rozpočtu</t>
  </si>
  <si>
    <t>NDB, p.o.</t>
  </si>
  <si>
    <t>CED, p.o.</t>
  </si>
  <si>
    <t>MDB, p.o.</t>
  </si>
  <si>
    <t>Divadlo Radost, p.o.</t>
  </si>
  <si>
    <t>Neinvestiční půjč. prostředky zřízeným přísp.organizacím</t>
  </si>
  <si>
    <t>3311 Celkem</t>
  </si>
  <si>
    <t>Neinv. transfery nefin. podnik. subj. - fyzic. osobám</t>
  </si>
  <si>
    <t>Filharmonie Brno, p.o.</t>
  </si>
  <si>
    <t>3312 Celkem</t>
  </si>
  <si>
    <t>3313 Celkem</t>
  </si>
  <si>
    <t>KJM, p.o.</t>
  </si>
  <si>
    <t>Muzeum města Brna, p.o.</t>
  </si>
  <si>
    <t>3315 Celkem</t>
  </si>
  <si>
    <t>3316 Celkem</t>
  </si>
  <si>
    <t>Ostat.neinvestiční transfery neziskovým organizacím</t>
  </si>
  <si>
    <t>Dům umění, p.o.</t>
  </si>
  <si>
    <t>3317 Celkem</t>
  </si>
  <si>
    <t xml:space="preserve">Ostatní záležitosti kultury </t>
  </si>
  <si>
    <t>Ost. neinvestiční transfery podnikatelským subjektům</t>
  </si>
  <si>
    <t>HaP, p.o.</t>
  </si>
  <si>
    <t>Pořizování, zachování  a obnova kult. hodnot</t>
  </si>
  <si>
    <t>3326 Celkem</t>
  </si>
  <si>
    <t>MŠ Štolcova, p.o.</t>
  </si>
  <si>
    <t>MŠ Veslařská, p.o.</t>
  </si>
  <si>
    <t>MŠ - výuka angličtiny</t>
  </si>
  <si>
    <t xml:space="preserve">MŠ - dotace </t>
  </si>
  <si>
    <t>3111 Celkem</t>
  </si>
  <si>
    <t>ZŠ - výuka angličtiny</t>
  </si>
  <si>
    <t>ZŠ Čejkovická, p.o.</t>
  </si>
  <si>
    <t>WZŠ a MŠ Plovdivská</t>
  </si>
  <si>
    <t xml:space="preserve">ZŠ Nám. 28. října - platy </t>
  </si>
  <si>
    <t xml:space="preserve">ZŠ Křenová - platy </t>
  </si>
  <si>
    <t>ZŠ Merhautova</t>
  </si>
  <si>
    <t>ZŠ Nám. Republiky</t>
  </si>
  <si>
    <t>Síť brněn. otevř. škol</t>
  </si>
  <si>
    <t>Zajištění plaveckého výcviku</t>
  </si>
  <si>
    <t>Mezinárodní aktivity</t>
  </si>
  <si>
    <t xml:space="preserve">ZŠ - dotace </t>
  </si>
  <si>
    <t>3117 Celkem</t>
  </si>
  <si>
    <t>Školní stravování při předškol. a zákl. vzděl.</t>
  </si>
  <si>
    <t>3141 Celkem</t>
  </si>
  <si>
    <t>Ost. zař. souvis. s výchovou a vzděl. mlád.</t>
  </si>
  <si>
    <t>3149 Celkem</t>
  </si>
  <si>
    <t>Zaplacené sankce</t>
  </si>
  <si>
    <t>Sport. a rekr. areál Kraví Hora</t>
  </si>
  <si>
    <t>Úhrada sankcí jiným rozpočtům</t>
  </si>
  <si>
    <t>3419 Celkem</t>
  </si>
  <si>
    <t>Účelové neinvestiční transfery fyzickým osobám</t>
  </si>
  <si>
    <t>Ozdr. hosp. zvířat, plodin a zvl. veterin. péče</t>
  </si>
  <si>
    <t>Ostatní platby za provedenou práci j. n.</t>
  </si>
  <si>
    <t>Potraviny</t>
  </si>
  <si>
    <t>Veřejná sbírka</t>
  </si>
  <si>
    <t>5311 Celkem</t>
  </si>
  <si>
    <t>DPH - reverse charge</t>
  </si>
  <si>
    <t>DPH</t>
  </si>
  <si>
    <t>CELKEM</t>
  </si>
  <si>
    <t>ORG</t>
  </si>
  <si>
    <t>pol.</t>
  </si>
  <si>
    <t>Zdroj</t>
  </si>
  <si>
    <t>Název akce</t>
  </si>
  <si>
    <t>Rok zahájení</t>
  </si>
  <si>
    <t>Rok dokončení</t>
  </si>
  <si>
    <t>Náklady akce/město</t>
  </si>
  <si>
    <t>z toho kryto dotací</t>
  </si>
  <si>
    <t>Skut. k 31.12.13</t>
  </si>
  <si>
    <t>Sk/UR</t>
  </si>
  <si>
    <t>RV 2015</t>
  </si>
  <si>
    <t>RV 2016</t>
  </si>
  <si>
    <t>Další roky</t>
  </si>
  <si>
    <t>Zajišťuje</t>
  </si>
  <si>
    <t>kontrola CN</t>
  </si>
  <si>
    <t>komentovat?</t>
  </si>
  <si>
    <t>ORJ - chyby v CN</t>
  </si>
  <si>
    <t>ORG - chyby v CN</t>
  </si>
  <si>
    <t>ORJ+§+ORG+Zdroj</t>
  </si>
  <si>
    <t>5600</t>
  </si>
  <si>
    <t>2143 - Cestovní ruch</t>
  </si>
  <si>
    <t>Kino Art - rek.zevního pláště budovy,výměna oken a dveří</t>
  </si>
  <si>
    <t>OI</t>
  </si>
  <si>
    <t>1900</t>
  </si>
  <si>
    <t>Transfer na investice TIC</t>
  </si>
  <si>
    <t>Celkem z 2143 - Cestovní ruch</t>
  </si>
  <si>
    <t>2212 - Silnice</t>
  </si>
  <si>
    <t>Rekonstrukce okružní křížovatky Charbulova-Řehořkova</t>
  </si>
  <si>
    <t>Rekonstrukce ulice Štefánikovy</t>
  </si>
  <si>
    <t>Doplnění chodníku v ulici Maříkově</t>
  </si>
  <si>
    <t>Terénní úpravy chodníku pro pěší, Zouvalka</t>
  </si>
  <si>
    <t>Terminál Bystrc</t>
  </si>
  <si>
    <t>Rozšíření kom. Ulrychova</t>
  </si>
  <si>
    <t>Terminál Starý Lískovec</t>
  </si>
  <si>
    <t>Mendlovo nám., terminál hromadné dopravy</t>
  </si>
  <si>
    <t>Parkoviště při ulici Spodní</t>
  </si>
  <si>
    <t>Rekonstrukce ulice Veveří I.</t>
  </si>
  <si>
    <t>Rekonstrukce ulice Jana Babáka</t>
  </si>
  <si>
    <t>Prodloužení tramvajové trati Bystrc-Kamechy</t>
  </si>
  <si>
    <t>Prodloužení TT Lesná</t>
  </si>
  <si>
    <t>Prodloužení TT z Osové ke Kampusu MU v Bohunicích</t>
  </si>
  <si>
    <t>Zřízení parkoviště na Přemyslově nám.</t>
  </si>
  <si>
    <t>Dopravní napojení lokality Komínské louky</t>
  </si>
  <si>
    <t>Chodník při ulici Černohorské</t>
  </si>
  <si>
    <t>Rekonstrukce návsi v Ořešíně</t>
  </si>
  <si>
    <t>Stav. úpravy křiž. Kaštanová-Popelova-Vinohradská</t>
  </si>
  <si>
    <t>5400</t>
  </si>
  <si>
    <t xml:space="preserve">Rekonstrukce komunikací </t>
  </si>
  <si>
    <t>OD</t>
  </si>
  <si>
    <t>Městský kamerový dohlížecí systém</t>
  </si>
  <si>
    <t>Rekonstrukce ulice Milady Horákové</t>
  </si>
  <si>
    <t>Horova - komunikace</t>
  </si>
  <si>
    <t>Minská - komunikace</t>
  </si>
  <si>
    <t>Rek.křiž.Dlouhá-Hraničky-Čeňka Růžičky</t>
  </si>
  <si>
    <t>Areál VUT v Brně CEITEC - komunikace</t>
  </si>
  <si>
    <t>Silnice I/42, VMO Žabovřeská I (CRN 2,84 mld.)</t>
  </si>
  <si>
    <t>Nové využití chodníku Kounicova 1-27</t>
  </si>
  <si>
    <t>Nové využití chodníků Morav. nám.-Kounicova</t>
  </si>
  <si>
    <t>EUROPOINT Brno - městská infrastruktura</t>
  </si>
  <si>
    <t>VMO Dobrovského (CRN 7,66 mld.)</t>
  </si>
  <si>
    <t>Komplexní regenerace historického jádra</t>
  </si>
  <si>
    <t>Tramvaj Plotní - soubor staveb</t>
  </si>
  <si>
    <t>VMO Tomkovo náměstí (CRN 1,27 mld.)</t>
  </si>
  <si>
    <t>VMO Rokytova (CRN 1,54 mld.)</t>
  </si>
  <si>
    <t>Rek. povrchů komunikací, MČ Brno-Ořešín</t>
  </si>
  <si>
    <t>Dukelská třída - rekonstrukce</t>
  </si>
  <si>
    <t>Rekonstrukce Vaňkova náměstí</t>
  </si>
  <si>
    <t>Rekonstrukce komunikací Tuřany II.</t>
  </si>
  <si>
    <t>Rekonstrukce ulice Bratislavská</t>
  </si>
  <si>
    <t>Celkem z 2212 - Silnice</t>
  </si>
  <si>
    <t>2219 - Ostatní záležitosti pozemních komunikací</t>
  </si>
  <si>
    <t>Dopravně informační centrum - II. etapa</t>
  </si>
  <si>
    <t>CS Svratecká (v úseku hrad Veveří-Rakovec)</t>
  </si>
  <si>
    <t>Dohledový systém BKOM</t>
  </si>
  <si>
    <t>Výkupy pozemků a objektů pro OD MMB</t>
  </si>
  <si>
    <t>Zvýšení ZK BKOM</t>
  </si>
  <si>
    <t>Centrální technický dispečink</t>
  </si>
  <si>
    <t>Majetkoprávní vypořádání a přípr. doprav. staveb</t>
  </si>
  <si>
    <t>EU</t>
  </si>
  <si>
    <t>Strategie parkování v městě Brně</t>
  </si>
  <si>
    <t>Zelný trh</t>
  </si>
  <si>
    <t>CIVITAS PLUS II -  2MOVE2</t>
  </si>
  <si>
    <t>Celkem z 2219 - Ostatní záležitosti pozemních komunikací</t>
  </si>
  <si>
    <t>2229 - Ostatní záležitosti v silniční dopravě</t>
  </si>
  <si>
    <t>Dopravní telematika ve městě Brně - 1. část</t>
  </si>
  <si>
    <t>Dopravní telematika ve městě Brně - 2. část</t>
  </si>
  <si>
    <t>Dopravní telematika ve městě Brně - 3. část</t>
  </si>
  <si>
    <t>Celkem z 2229 - Ostatní záležitosti v silniční dopravě</t>
  </si>
  <si>
    <t>2271 - Ostatní dráhy</t>
  </si>
  <si>
    <t>Stavební úpravy stanice Jírova</t>
  </si>
  <si>
    <t>Trolejbusová vozovna Komín - klimatizační topná jednotka</t>
  </si>
  <si>
    <t>Trolejbusová vozovna Komín - vzduchotechnika</t>
  </si>
  <si>
    <t>Celkem z 2271 - Ostatní dráhy</t>
  </si>
  <si>
    <t>2310 - Pitná voda</t>
  </si>
  <si>
    <t>Dotační tituly - vodovody</t>
  </si>
  <si>
    <t>BVK</t>
  </si>
  <si>
    <t>Bayerova II - rekonstrukce vodovodu</t>
  </si>
  <si>
    <t>Matulkova - rekonstrukce vodovodu</t>
  </si>
  <si>
    <t>Lužova - rekonstrukce vodovodu</t>
  </si>
  <si>
    <t>Andrýskova - rekonstrukce vodovodu</t>
  </si>
  <si>
    <t>Rozšíření vodojemu Lesná</t>
  </si>
  <si>
    <t>Pastrnkova - rekonstrukce vodovodu</t>
  </si>
  <si>
    <t>Zeleného I - rekonstrukce vodovodu (úsek Gogolova - garáže)</t>
  </si>
  <si>
    <t>Park Lužánky - rekonstrukce vodovodu</t>
  </si>
  <si>
    <t>Solniční I,Česká II - rek. vodovodu</t>
  </si>
  <si>
    <t>Rumiště - rekonstrukce vodovodu</t>
  </si>
  <si>
    <t>Škárova - rekonstrukce vodovodu</t>
  </si>
  <si>
    <t>Modřická - výstavba vodovodu DN 200</t>
  </si>
  <si>
    <t>6121</t>
  </si>
  <si>
    <t>Marie Steyskalové - rekonstrukce vodovodu</t>
  </si>
  <si>
    <t>Ruský vrch - rekonstrukce vodovodu</t>
  </si>
  <si>
    <t>Vranovská I - rekonstrukce vodovodu</t>
  </si>
  <si>
    <t>2013</t>
  </si>
  <si>
    <t>Viniční II - rekonstrukce vodovodu</t>
  </si>
  <si>
    <t>Elišky Krásnohorské - rekonstrukce vodovodu</t>
  </si>
  <si>
    <t>Chudobova - rekonstrukce vodovodu</t>
  </si>
  <si>
    <t>Přívod.a zásob. řád Bosonohy-Kamen.vrch</t>
  </si>
  <si>
    <t>Šámalova - rekonstrukce vodovodu</t>
  </si>
  <si>
    <t>Vančurova - rekonstrukce vodovodu</t>
  </si>
  <si>
    <t>Skřivanova - rekonstrukce vodovodu</t>
  </si>
  <si>
    <t>Vodárenské objekty - energetický audit</t>
  </si>
  <si>
    <t>Přepásmování vodovodu - Sportovní - I.a II</t>
  </si>
  <si>
    <t>Hraničky - rekonstrukce vodovodu</t>
  </si>
  <si>
    <t>Lány - rekonstrukce vodovodu</t>
  </si>
  <si>
    <t>Nám. Míru I. - rekonstrukce vodovodu</t>
  </si>
  <si>
    <t>Čerpací stanice - rekonstrukce armatur a strojů</t>
  </si>
  <si>
    <t>Provozní budova BVK ÚV Pisárky</t>
  </si>
  <si>
    <t>Celkem z 2310 - Pitná voda</t>
  </si>
  <si>
    <t>2321 - Odvádění a čištění odpadních vod</t>
  </si>
  <si>
    <t>Dotační tituly - kanalizace</t>
  </si>
  <si>
    <t>Lesnická I - rekonstrukce a kanalizace vodovodu</t>
  </si>
  <si>
    <t>Viniční I B - rekonstrukce a kanalizace vodovodu</t>
  </si>
  <si>
    <t xml:space="preserve">Pastrnkova II - rekonstrukce kanalizace </t>
  </si>
  <si>
    <t xml:space="preserve">Tylova - rekonstrukce kanalizace a vodovodu </t>
  </si>
  <si>
    <t xml:space="preserve">Křížkovského I - rekonstrukce kanalizace a vodovodu </t>
  </si>
  <si>
    <t xml:space="preserve">Blatouchová - rekonstrukce kanalizace a vodovodu </t>
  </si>
  <si>
    <t xml:space="preserve">Valchařská - rekonstrukce kanalizace a vodovodu </t>
  </si>
  <si>
    <t xml:space="preserve">Vodova - rekonstrukce kanalizace a vodovodu </t>
  </si>
  <si>
    <t xml:space="preserve">Kollárova - rekonstrukce kanalizace a vodovodu </t>
  </si>
  <si>
    <t xml:space="preserve">Studená - rekonstrukce kanalizace a vodovodu </t>
  </si>
  <si>
    <t xml:space="preserve">Grohova - rekonstrukce kanalizace a vodovodu </t>
  </si>
  <si>
    <t>Grmelova - rekonstrukce kanalizace a vodovodu</t>
  </si>
  <si>
    <t>Sobotkova - rekonstrukce kanalizace a vodovodu</t>
  </si>
  <si>
    <t xml:space="preserve">Havlenova - rekonstrukce kanalizace a vodovodu </t>
  </si>
  <si>
    <t>Tuřanka I - rekonstrukce kanalizace a vodovodu</t>
  </si>
  <si>
    <t>Musilova - rekonstrukce kanalizace a vodovodu</t>
  </si>
  <si>
    <t>Martinkova - rekonstrukce kanalizace a vodovodu</t>
  </si>
  <si>
    <t>Buzkova - rekonstrukce kanalizace a vodovodu</t>
  </si>
  <si>
    <t>Pflégrova - rekonstrukce kanalizace a vodovodu</t>
  </si>
  <si>
    <t>Poděbradova II - rekonstrukce kanalizace a vodovod</t>
  </si>
  <si>
    <t>Pod Kaštany - rekonstrukce kanalizace a vodovodu</t>
  </si>
  <si>
    <t>Dulánek - rekonstrukce kanalizace a vodovodu</t>
  </si>
  <si>
    <t>Splašková kanalizace v ulici Rebešovická</t>
  </si>
  <si>
    <t>Staňkova II, Poděbradova III - rek. kanal.  a vodovodu</t>
  </si>
  <si>
    <t>Zeleného II - rek. kan. a vodovodu (úsek Šmejkalova - Bráfova)</t>
  </si>
  <si>
    <t>Slovanské náměstí, Ruská - rek. kanalizace a vodovodu</t>
  </si>
  <si>
    <t>RKS D, RN Královky - výstavba dešťové zdrže, I. et.</t>
  </si>
  <si>
    <t>RKS A, úsek Dufkovo nábř. - Táborského nábř.</t>
  </si>
  <si>
    <t>Kanalizace Bosonohy III. a IV. et. - odd. kanal. systém</t>
  </si>
  <si>
    <t>Davídkova, MČ Brno-Chrlice - splašková kanalizace</t>
  </si>
  <si>
    <t>Brno, Obřany - stoková síť v ul. Hradiska a Mlýn. nábř.</t>
  </si>
  <si>
    <t>Vančurova, Gajdošova I - rekonstrukce kanalizace</t>
  </si>
  <si>
    <t>Húskova - rekonstrukce kanalizace a vodovodu</t>
  </si>
  <si>
    <t>Gorkého I, Arne Nováka - rek. kanalizace a vodovodu</t>
  </si>
  <si>
    <t>Gallašova - rekonstrukce kanalizace a vodovodu</t>
  </si>
  <si>
    <t>Fryčajova - rekonstrukce kanalizace a vodovodu</t>
  </si>
  <si>
    <t>Drobného - rekonstrukce kanalizace a vodovodu</t>
  </si>
  <si>
    <t>Údolní I - rek. kanalizace a vodovodu (Joštova - Úvoz)</t>
  </si>
  <si>
    <t>Antonína Macka - rekonstrukce kanal. a vodovodu</t>
  </si>
  <si>
    <t>Kopaniny - rekonstrukce kanalizace a vodovodu</t>
  </si>
  <si>
    <t>Dukelská, Dačického - rekonstrukce kanal. a vod.</t>
  </si>
  <si>
    <t>Chlupova - rekonstrukce kanalizace a vodovodu</t>
  </si>
  <si>
    <t>Luční - rekonstrukce kanalizace a vodovodu</t>
  </si>
  <si>
    <t>Jugoslávská - rek. kan. a vod. (Vranovská - Merhaut.)</t>
  </si>
  <si>
    <t>Lerchova II, Klácelova- rekon.kanal. a vodovodu</t>
  </si>
  <si>
    <t>Viniční II- rek.kanal. (úsek Hrabalova-Škrochova)</t>
  </si>
  <si>
    <t>Koliště- rekonstrukce kanalizace a vodovodu</t>
  </si>
  <si>
    <t>Kučerova- rekonstrukce kanalizace a vodovodu</t>
  </si>
  <si>
    <t>Francouzská-rekonstrukce kanalizace a vodovodu</t>
  </si>
  <si>
    <t>Erbenova-rekonstrukce kanalizace a vodovodu</t>
  </si>
  <si>
    <t xml:space="preserve">Elišky Krásnohorské-rekonstrukce kanalizace </t>
  </si>
  <si>
    <t>Dvorského, Polní II -rekonstrukce kanal. a vod.</t>
  </si>
  <si>
    <t>Dřevařská, Štefánikova 1b - rek. kanalizace a vodovodu</t>
  </si>
  <si>
    <t>Cupákova-rekonstrukce kanalizace a vodovodu</t>
  </si>
  <si>
    <t>Brandlova, Žerot. n. I, Morav. n. I - rek. kan. a vod.</t>
  </si>
  <si>
    <t>Bendlova - rekonstrukce kanalizace a vodovodu</t>
  </si>
  <si>
    <t>Lerchova I,Roubalova I, Kampelíkova I - rek.kan. a vod.</t>
  </si>
  <si>
    <t>Jemelkova, Klobásova - odvádění dešť. vod. - rek.k.</t>
  </si>
  <si>
    <t>Mojmírovo náměstí - rekonstrukce kanalizace</t>
  </si>
  <si>
    <t>Staňkova I, Skřivanova II - rek. kan. a vod.</t>
  </si>
  <si>
    <t>Krkoškova, Zátiší, Fügnerova I - rek. kanalizace a vod.</t>
  </si>
  <si>
    <t>Chodská - rekonstrukce kanalizace a vodovodu</t>
  </si>
  <si>
    <t>Chelčického - rekonstrukce kanalizace a vodovodu</t>
  </si>
  <si>
    <t>Benešova - rekonstrukce kanalizace a vodovodu</t>
  </si>
  <si>
    <t>Vackova - rekonstrukce kanalizace a vodovodu</t>
  </si>
  <si>
    <t>RN Jeneweinova a vodovod Komárov</t>
  </si>
  <si>
    <t>Vránova - rekonstrukce kanalizace a vodovodu</t>
  </si>
  <si>
    <t>Šafaříkova - rekonstrukce kanalizace</t>
  </si>
  <si>
    <t>Lužánky - rekonstrukce kanalizace</t>
  </si>
  <si>
    <t>Lužánecká - rekonstrukce kanalizace a vodovodu</t>
  </si>
  <si>
    <t>Cyrilská, Mlýnská II- rekon. kanal. a vodovodu</t>
  </si>
  <si>
    <t>Alešova - rekonstrukce kanalizace a vodovodu</t>
  </si>
  <si>
    <t>Králova - rekonstrukce kanalizace</t>
  </si>
  <si>
    <t>Vážného II - rekonstrukce kanalizace</t>
  </si>
  <si>
    <t>Škárova, Poděbradova I, Rostislav. nám. - rek. kan. a vod.</t>
  </si>
  <si>
    <t>Monitoring a měření na odleh. komorách kanal. sítě</t>
  </si>
  <si>
    <t>Tomáškova - rekonstrukce kanalizace a vodovovodu</t>
  </si>
  <si>
    <t>Bráfova I - rekonstrukce kanalizace</t>
  </si>
  <si>
    <t>Horova - rekonstrukce kanalizace a vodovodu</t>
  </si>
  <si>
    <t>Stará - rekonstrukce kanalizace a vodovodu</t>
  </si>
  <si>
    <t>Veveří - rek. kanal. a vodov. (Žerot. nám. - Koneč. nám.)</t>
  </si>
  <si>
    <t>Rybářská I - rekonstrukce kanalizace a vodovodu</t>
  </si>
  <si>
    <t>Schodová - rekonstrukce kanalizace a vodovodu</t>
  </si>
  <si>
    <t>Malátova - rekonstrukce kanalizace a vodovodu</t>
  </si>
  <si>
    <t>Barvičova -  rek. kanal. (úsek Lipová - Kampelíkova)</t>
  </si>
  <si>
    <t>Floriánova, Košínova - rekonstrukce kanalizace</t>
  </si>
  <si>
    <t>Drobné rekonstrukce na kanal. a vodovod.</t>
  </si>
  <si>
    <t>Chaloupkova - rekonstrukce kanalizace a vodovodu</t>
  </si>
  <si>
    <t>Milady Horákové II. - rek. kan. a vod.(Příkop-Durďákova)</t>
  </si>
  <si>
    <t>Stoková síť - Hradiska, Mlýnské nábřeží</t>
  </si>
  <si>
    <t>Světlá, Dolnopolní I. - rek. kanalizace a vodovodu</t>
  </si>
  <si>
    <t>Kanalizační sběrač Kamenný vrch</t>
  </si>
  <si>
    <t>Kovácká - rek. kanalizace</t>
  </si>
  <si>
    <t>Milady Horákové - rek. kanalizace a vodovodu</t>
  </si>
  <si>
    <t>Rekonstrukce nevypořádané infrastruktury</t>
  </si>
  <si>
    <t>Komárovská - rekonstrukce kanalizace a vodovodu</t>
  </si>
  <si>
    <t>Sládkova - rek. kanalizace a vodovodu</t>
  </si>
  <si>
    <t>Cornovova - rek. kanalizace a vodovodu</t>
  </si>
  <si>
    <t>FS</t>
  </si>
  <si>
    <t>Rekonstrukce a dostavba kanalizace v Brně - dotace</t>
  </si>
  <si>
    <t xml:space="preserve">Rekonstrukce a dostavba kanalizace v Brně </t>
  </si>
  <si>
    <t>Mezírka II, Mášova I - rek. kanalizace a vodovodu</t>
  </si>
  <si>
    <t>RKS EI - úsek Hájecká, Nezamyslova</t>
  </si>
  <si>
    <t>Kamenná čtvrt - podzemní sítě a vozovky</t>
  </si>
  <si>
    <t>Rekonstrukce objektů - havarijní stav</t>
  </si>
  <si>
    <t>Dešťová kanalizace Brno - Ořešín</t>
  </si>
  <si>
    <t>Stránského, Haasova - rekonstrukce kanalizace</t>
  </si>
  <si>
    <t>Filipínského II, Bubeníčkova II, - rek. kanal. a vodov. (Bub. - Klíny)</t>
  </si>
  <si>
    <t>Minská - rekonstrukce kanalizace a vodovodu</t>
  </si>
  <si>
    <t>Úprava toku Leskavy</t>
  </si>
  <si>
    <t>Údolní II, náměstí Míru - rek. kanal. a vodovodu</t>
  </si>
  <si>
    <t>Okružní  - rekonstrukce kanalizace II.</t>
  </si>
  <si>
    <t>Špirkova - výstavba dešťové kanalizace</t>
  </si>
  <si>
    <t>Oddílný kanal.systém Brno-Starý Lískovec</t>
  </si>
  <si>
    <t>Dostavba kanal. sítě ulic Rozhraní, Osamělá, aj.</t>
  </si>
  <si>
    <t>Bratislavská - rek. kanalizace a vodovodu</t>
  </si>
  <si>
    <t>Celkem z 2321 - Odvádění a čištění odpadních vod</t>
  </si>
  <si>
    <t>2329 - Odvádění a čistění odpadních vod j.n.</t>
  </si>
  <si>
    <t>Majetkoprávní vypoř. a přípr. vodohosp. staveb</t>
  </si>
  <si>
    <t>Nákup inženýrských sítí do majetku MB</t>
  </si>
  <si>
    <t>Nezdrojová DPH</t>
  </si>
  <si>
    <t>Příprava staveb, geom. plány a výkupy pozemků</t>
  </si>
  <si>
    <t>Celkem z 2329 - Odvádění a čistění odpadních vod j.n.</t>
  </si>
  <si>
    <t>4300</t>
  </si>
  <si>
    <t>2331 - Úpravy vodohospodářsky významných a vodárenských toků</t>
  </si>
  <si>
    <t>Brněnská údolní nádrž - Povodí Moravy</t>
  </si>
  <si>
    <t>OVLHZ</t>
  </si>
  <si>
    <t>Celkem z 2331 - Úpravy vodohospodářsky významných a vodárenských toků</t>
  </si>
  <si>
    <t>2333 - Úpravy drobných vodních toků</t>
  </si>
  <si>
    <t>Retenční nádrž na Medláneckém potoce</t>
  </si>
  <si>
    <t>Celkem z 2333 - Úpravy drobných vodních toků</t>
  </si>
  <si>
    <t>2334 - Revitalizace říčních systémů</t>
  </si>
  <si>
    <t>Rev. koryta řeky Svratky a výstavba parku podél železniční trati</t>
  </si>
  <si>
    <t>Revitalizace přír. pam. Holásecká jezera</t>
  </si>
  <si>
    <t>Celkem z 2334 - Revitalizace říčních systémů</t>
  </si>
  <si>
    <t>2339 - Záležitosti vodních toků a vodohospodářských děl j.n.</t>
  </si>
  <si>
    <t>Sanace odvodňovacích vrtů Brno-Bystrc, 2.etapa</t>
  </si>
  <si>
    <t>Celkem z 2339 - Záležitosti vodních toků a vodohospodářských děl j.n.</t>
  </si>
  <si>
    <t>3111 - Předškolní zařízení</t>
  </si>
  <si>
    <t>Zelená mateřská škola Oblá</t>
  </si>
  <si>
    <t>Zateplení MŠ Měřičkova</t>
  </si>
  <si>
    <t>Zateplení MŠ Hněvkovského</t>
  </si>
  <si>
    <t>Zateplení MŠ Škrétova</t>
  </si>
  <si>
    <t>Zateplení MŠ Absolonova</t>
  </si>
  <si>
    <t>6700</t>
  </si>
  <si>
    <t>Úpravy zahrady v přírodním stylu, MŠ Veslařská</t>
  </si>
  <si>
    <t>OŠMT</t>
  </si>
  <si>
    <t>Stavební úpravy mateřské školy Řezáčova</t>
  </si>
  <si>
    <t>MŠ Kohoutova 6 - zateplení budovy a výměna oken</t>
  </si>
  <si>
    <t>Celkem z 3111 - Předškolní zařízení</t>
  </si>
  <si>
    <t>3113 - Základní školy</t>
  </si>
  <si>
    <t>ZŠ Úvoz - sportovní hřiště</t>
  </si>
  <si>
    <t>ZŠ Novolíšeňská - sportovní centrum</t>
  </si>
  <si>
    <t>Otevřená škola</t>
  </si>
  <si>
    <t>IN line dráha, ZŠ Pavlovská 16</t>
  </si>
  <si>
    <t>Rekonstrukce sportoviště při ZŠ Jasanová 2</t>
  </si>
  <si>
    <t>ZŠ Bosonožské nám. - pohybové prostory</t>
  </si>
  <si>
    <t>Sportovní areál, ZŠ a MŠ Zemědělská</t>
  </si>
  <si>
    <t>Stavební úpravy ZŠ Mutěnická - 3. etapa</t>
  </si>
  <si>
    <t>ZŠ Hroznová, jazyková učebna - nástavba</t>
  </si>
  <si>
    <t>OÚPR</t>
  </si>
  <si>
    <t>Zateplení ZŠ Blažkova</t>
  </si>
  <si>
    <t>Zateplení ZŠ Labská</t>
  </si>
  <si>
    <t>Zateplení ZŠ Úvoz</t>
  </si>
  <si>
    <t>Zateplení ZŠ Svážná</t>
  </si>
  <si>
    <t>Zateplení ZŠ Přemyslovo náměstí</t>
  </si>
  <si>
    <t>Zateplení ZŠ Vedlejší</t>
  </si>
  <si>
    <t>Revitalizace sportovních ploch při MŠ a ZŠ v MČ Brno-Židenice</t>
  </si>
  <si>
    <t>ZŠ Vranovská - rekonstrukce hřiště</t>
  </si>
  <si>
    <t>Stavební úpravy ZŠ a MŠ JANA BROSKVY 388/3 a 139/1</t>
  </si>
  <si>
    <t>Školní víceúčelové hřiště při ZŠ Otevřená</t>
  </si>
  <si>
    <t>Rekonstrukce víceúčelového hřiště v areálu ZŠ Arménská 21</t>
  </si>
  <si>
    <t>7400</t>
  </si>
  <si>
    <t>Investiční transfery p. o. - ZŠ Novolíšeňská 10</t>
  </si>
  <si>
    <t>Celkem z 3113 - Základní školy</t>
  </si>
  <si>
    <t>3119 - Ost. záležitosti předškolní výchovy a zákl. vzdělávání</t>
  </si>
  <si>
    <t>Rekonstrukce školských zařízení</t>
  </si>
  <si>
    <t>Celkem z 3119 - Ost. záležitosti předškolní výchovy a zákl. vzdělávání</t>
  </si>
  <si>
    <t>3311 - Divadelní činnost</t>
  </si>
  <si>
    <t>Městské divadlo Brno - přístavba dílen a skladů</t>
  </si>
  <si>
    <t>MDB</t>
  </si>
  <si>
    <t>Vodorovná kanalizace Lidická 18 MD Brno</t>
  </si>
  <si>
    <t>Rek. a dobudování Janáčkova divadla</t>
  </si>
  <si>
    <t>2017</t>
  </si>
  <si>
    <t>Celkem z 3311 - Divadelní činnost</t>
  </si>
  <si>
    <t>3312 - Hudební činnost</t>
  </si>
  <si>
    <t>Janáčkovo kulturní centrum</t>
  </si>
  <si>
    <t>OI, FB</t>
  </si>
  <si>
    <t>Nadační fond Campianus - půjčka</t>
  </si>
  <si>
    <t>7300</t>
  </si>
  <si>
    <t>Transfer na investice Filharmonie Brno</t>
  </si>
  <si>
    <t>FB</t>
  </si>
  <si>
    <t>Celkem z 3312 - Hudební činnost</t>
  </si>
  <si>
    <t>3314 - Činnosti knihovnické</t>
  </si>
  <si>
    <t>Knihovna pro město</t>
  </si>
  <si>
    <t>Celkem z 3314 - Činnosti knihovnické</t>
  </si>
  <si>
    <t>3315 - Činnosti muzeí a galerií</t>
  </si>
  <si>
    <t>Vila Tugendhat - rek. přípojky kanalizace</t>
  </si>
  <si>
    <t>Celkem z 3315 - Činnosti muzeí a galerií</t>
  </si>
  <si>
    <t>3319 - Ostatní záležitosti kultury</t>
  </si>
  <si>
    <t>Přírodovědné digitárium - návštěvnické centrum</t>
  </si>
  <si>
    <t>Jezdecká socha na Moravském náměstí</t>
  </si>
  <si>
    <t>OK</t>
  </si>
  <si>
    <t>Přírodovědné digitárium</t>
  </si>
  <si>
    <t>Transfer na investice H a P - úpravy prostor planetária</t>
  </si>
  <si>
    <t>HaP</t>
  </si>
  <si>
    <t>Celkem z 3319 - Ostatní záležitosti kultury</t>
  </si>
  <si>
    <t>3322 - Zachování a obnova kulturních památek</t>
  </si>
  <si>
    <t>Technické zhodnocení kulturních památek</t>
  </si>
  <si>
    <t>OSM</t>
  </si>
  <si>
    <t>NKP Špilberk-stat.zajištění hradeb.plent a mostu</t>
  </si>
  <si>
    <t>Rekonstrukce NKP Špilberk, II.etapa</t>
  </si>
  <si>
    <t>Špilberk - Jižní křídlo</t>
  </si>
  <si>
    <t>NKP Špilberk - lapidárium a centrum restaurátorských činností</t>
  </si>
  <si>
    <t>Celkem z 3322 - Zachování a obnova kulturních památek</t>
  </si>
  <si>
    <t xml:space="preserve">3326 - Pořízení, zachování a obnova hodnot místního kulturního, národního a hist. povědomí </t>
  </si>
  <si>
    <t>Památník holocaustu v Brně</t>
  </si>
  <si>
    <t>Sochy pro Brno</t>
  </si>
  <si>
    <t>Nestavební investice OK</t>
  </si>
  <si>
    <t xml:space="preserve">Celkem z 3326 - Pořízení, zachování a obnova hodnot místního kulturního, národního a hist. povědomí </t>
  </si>
  <si>
    <t>3412 - Sportovní zařízení v majetku obce</t>
  </si>
  <si>
    <t>Příprava sportovně-zábavního areálu Ponava</t>
  </si>
  <si>
    <t>Sportovní areál Brno-Útěchov</t>
  </si>
  <si>
    <t>Sportovní areál lokalita Hněvkovského</t>
  </si>
  <si>
    <t>Novostavba tělocvičny v MČ Brno-Tuřany</t>
  </si>
  <si>
    <t>Celkem z 3412 - Sportovní zařízení v majetku obce</t>
  </si>
  <si>
    <t>3419 - Ostatní tělovýchovná činnost</t>
  </si>
  <si>
    <t>Zvýšení ZK STAREZ-SPORT</t>
  </si>
  <si>
    <t>Zastřešení západní tribuny fot. stadionu při ulici Srbská</t>
  </si>
  <si>
    <t>Rek. prostor v Aquaparku Kohoutovice - zamezení tepelných ztrát</t>
  </si>
  <si>
    <t>Hala Rondo, zvýšení ZK STAREZ-SPORT</t>
  </si>
  <si>
    <t>Modernizace fotbal. stadionu za Lužánkami</t>
  </si>
  <si>
    <t>Nestavební investice OŠMT</t>
  </si>
  <si>
    <t>Investiční transfery OŠMT</t>
  </si>
  <si>
    <t>Celkem z 3419 - Ostatní tělovýchovná činnost</t>
  </si>
  <si>
    <t>3421 - Využití volného času dětí a mládeže</t>
  </si>
  <si>
    <t>Areál dopravní výchovy</t>
  </si>
  <si>
    <t>Zahrada v pohybu</t>
  </si>
  <si>
    <t>Areál volného času při ulici Mírová u pramene sv. Floriána</t>
  </si>
  <si>
    <t>Zateplení SVČ Stamicova</t>
  </si>
  <si>
    <t>Rekonstrukce sportovišť v MČ Brno-střed</t>
  </si>
  <si>
    <t>Regenerace sportovišť Vsetínská, Trýbova, Čechyňská</t>
  </si>
  <si>
    <t>Regenerace veř. prostranství pro volnočasové aktivity nekomerčního charakteru MČ Brno-sever</t>
  </si>
  <si>
    <t>Zateplení fasády objektu SVČ a KJM Lány 3 v MČ Brno-Bohunice</t>
  </si>
  <si>
    <t>Regenerace veřejných prostranství pro volnočasové aktivity a revitalizace volně přístupných sportovišť v MČ Brno-Jundrov</t>
  </si>
  <si>
    <t>Regenerace sportovišť v lokalitách Rybářská, Botanická a transformace sportoviště Vysoká na parkour</t>
  </si>
  <si>
    <t>Celkem z 3421 - Využití volného času dětí a mládeže</t>
  </si>
  <si>
    <t>3429 - Ostatní zájmová činnost a rekreace</t>
  </si>
  <si>
    <t>Přírodní koupací biotop Brno, Horní Heršpice</t>
  </si>
  <si>
    <t>MČ</t>
  </si>
  <si>
    <t>Zvýšení atraktivity Brněnské přehrady</t>
  </si>
  <si>
    <t>Sportovně-rekreační plocha Kartouzská</t>
  </si>
  <si>
    <t>Celkem z 3429 - Ostatní zájmová činnost a rekreace</t>
  </si>
  <si>
    <t>3511 - Všeobecná ambulatní péče</t>
  </si>
  <si>
    <t>Rekonstrukce polikliniky Zahradníkova</t>
  </si>
  <si>
    <t>Rekonstrukce objektu Bílý dům</t>
  </si>
  <si>
    <t>Celkem z 3511 - Všeobecná ambulatní péče</t>
  </si>
  <si>
    <t>3522 - Ostatní nemocnice</t>
  </si>
  <si>
    <t>ÚN v Brně-zateplení fasády,výměna oken a přístavba výtahu Koliště 41</t>
  </si>
  <si>
    <t>ÚNB</t>
  </si>
  <si>
    <t>Rek.vyměník.stanice Ponávka 10 - investiční transfer ÚN v Brně</t>
  </si>
  <si>
    <t>Rekonstrukce v objektu NMB</t>
  </si>
  <si>
    <t>NMB</t>
  </si>
  <si>
    <t>Rekonstrukce v objektu NMB - humanizace lůžkové péče</t>
  </si>
  <si>
    <t>Oddělení stálé chirurgické a úrazové služby ÚN v Brně - rekonstrukce a přístavba</t>
  </si>
  <si>
    <t>7100</t>
  </si>
  <si>
    <t>Transfer na investice ÚN v Brně</t>
  </si>
  <si>
    <t>Celkem z 3522 - Ostatní nemocnice</t>
  </si>
  <si>
    <t>3523 - Odborné léčebné ústavy</t>
  </si>
  <si>
    <t>ÚN v Brně - rek. střechy a půdní vestavba kanceláří Koliště 41</t>
  </si>
  <si>
    <t>ÚN v Brně - rek. 7. NP budovy Ponávka 10 na lůžk. jednotku traumatologie</t>
  </si>
  <si>
    <t>Celkem z 3523 - Odborné léčebné ústavy</t>
  </si>
  <si>
    <t>3599 - Ostatní činnost ve zdravotnictví</t>
  </si>
  <si>
    <t>Nestavební investice OZ</t>
  </si>
  <si>
    <t>OZ</t>
  </si>
  <si>
    <t xml:space="preserve">Generel přístupnosti města (odstr.bariér) </t>
  </si>
  <si>
    <t>Zateplení logopedického stacionáře Synkova</t>
  </si>
  <si>
    <t>Investiční transfery OZ</t>
  </si>
  <si>
    <t>Celkem z 3599 - Ostatní činnost ve zdravotnictví</t>
  </si>
  <si>
    <t>3612 - Bytové hospodářství</t>
  </si>
  <si>
    <t>Investiční půjčené prostředky městským částem (FRB)</t>
  </si>
  <si>
    <t>BO</t>
  </si>
  <si>
    <t>Zámečnická 2 - sdílené bydlení</t>
  </si>
  <si>
    <t>Protihluková opatření - výměna oken</t>
  </si>
  <si>
    <t>Stavební úpravy objektu Kobližná 10 a využití 3.NP a 4. NP pro funkci bydlení</t>
  </si>
  <si>
    <t>Technické zhodnocení sociálních bytů</t>
  </si>
  <si>
    <t>Bytové domy Vojtova</t>
  </si>
  <si>
    <t>Startovací byty - nákup 200-250 b.j.</t>
  </si>
  <si>
    <t>Přestavba ubytovny JUVENTUS</t>
  </si>
  <si>
    <t>Technické zhodnocení bytových domů</t>
  </si>
  <si>
    <t>Bytov. dům B vč. komunik. a TI Jeneweinova</t>
  </si>
  <si>
    <t>Lokalita bydlení Holásky - TI</t>
  </si>
  <si>
    <t>Rek. bytového domu Francouzská 42</t>
  </si>
  <si>
    <t>Rek. bytového domu Bratislavská 39</t>
  </si>
  <si>
    <t>Rek. bytového domu Bratislavská 36a</t>
  </si>
  <si>
    <t>Rek. bytového domu Bratislavská 60</t>
  </si>
  <si>
    <t>Celkem z 3612 - Bytové hospodářství</t>
  </si>
  <si>
    <t>3619 - Ostatní rozvoj bydlení a bytového hospodářství</t>
  </si>
  <si>
    <t>Investiční zápůjčky z FRB</t>
  </si>
  <si>
    <t>Celkem z 3619 - Ostatní rozvoj bydlení a bytového hospodářství</t>
  </si>
  <si>
    <t>3631 - Veřejné osvětlení</t>
  </si>
  <si>
    <t>Investiční transfery OI - Technické sítě Brno, a.s.</t>
  </si>
  <si>
    <t>Celkem z 3631 - Veřejné osvětlení</t>
  </si>
  <si>
    <t>3632 - Pohřebnictví</t>
  </si>
  <si>
    <t>Vybudování kolumbária na ÚH-inv.transfer</t>
  </si>
  <si>
    <t>2014</t>
  </si>
  <si>
    <t>2015</t>
  </si>
  <si>
    <t>SHMB</t>
  </si>
  <si>
    <t>Rozšíření hřbitova Slatina</t>
  </si>
  <si>
    <t>Dokončení rozšíření hřbitova Řečkovice</t>
  </si>
  <si>
    <t>Rozšíření hřbitova v Líšni</t>
  </si>
  <si>
    <t>4200</t>
  </si>
  <si>
    <t>Transfer na investice SHMB</t>
  </si>
  <si>
    <t>Celkem z 3632 - Pohřebnictví</t>
  </si>
  <si>
    <t>3633 - Výstavba a údržba místních inženýrských sítí</t>
  </si>
  <si>
    <t>9. stavba sekund. kol. Dvořákova -Beth.</t>
  </si>
  <si>
    <t>Celkem z 3633 - Výstavba a údržba místních inženýrských sítí</t>
  </si>
  <si>
    <t>3636 - Územní rozvoj</t>
  </si>
  <si>
    <t>Plán udržitelné městské mobility</t>
  </si>
  <si>
    <t>Celkem z 3636 - Územní rozvoj</t>
  </si>
  <si>
    <t>6300</t>
  </si>
  <si>
    <t>3639 - Komunální služby a územní rozvoj j.n.</t>
  </si>
  <si>
    <t>Nabytí pozemků v k.ú. Židenice</t>
  </si>
  <si>
    <t>MO</t>
  </si>
  <si>
    <t>Použití finančních prostředků FBV - rezerva</t>
  </si>
  <si>
    <t>Dům pánů z Kunštátu - úprava vstupu</t>
  </si>
  <si>
    <t xml:space="preserve">Majetkopráv.vypořádání a příprava staveb j.n. </t>
  </si>
  <si>
    <t>Technické zhodnocení objektů města</t>
  </si>
  <si>
    <t>MO - výkupy pozemků a objektů</t>
  </si>
  <si>
    <t>Projektové práce pro OÚPR</t>
  </si>
  <si>
    <t>Kapitálové výdaje z Fondu bytové výstavby</t>
  </si>
  <si>
    <t>Výkupy pozemků pro OVLHZ</t>
  </si>
  <si>
    <t>Příprava strategických projektů pro nové programovací období</t>
  </si>
  <si>
    <t>Sanace - skalní řícení v ulici Pod Horkou</t>
  </si>
  <si>
    <t>Celkem z 3639 - Komunální služby a územní rozvoj j.n.</t>
  </si>
  <si>
    <t>3699 - Ostatní záležitosti bydlení, komunálních služeb a územního rozvoje</t>
  </si>
  <si>
    <t>Zvýšení základního kapitálu - Technické sítě Brno</t>
  </si>
  <si>
    <t xml:space="preserve">Investiční transfery OI  </t>
  </si>
  <si>
    <t>Celkem z 3699 - Ostatní záležitosti bydlení, komunálních služeb a územního rozvoje</t>
  </si>
  <si>
    <t>3725 - Využívání a zneškodňování komunálních odpadů</t>
  </si>
  <si>
    <t>Sběrné středisko odpadů Slaměníkova</t>
  </si>
  <si>
    <t>Technické zhodnocení garáží v pronájmu SAKO Brno</t>
  </si>
  <si>
    <t>OŽP</t>
  </si>
  <si>
    <t>Nezdrojová DPH - OŽP</t>
  </si>
  <si>
    <t>Celkem z 3725 - Využívání a zneškodňování komunálních odpadů</t>
  </si>
  <si>
    <t>3741 - Ochrana druhů a stanovišť</t>
  </si>
  <si>
    <t>Bezpečí obojživelníků - Žebět. rybník, III. etapa</t>
  </si>
  <si>
    <t>Realizace strategie rozvoje ZOO</t>
  </si>
  <si>
    <t>Rek. obj. stálé akvarij. výstavy Radnická 6</t>
  </si>
  <si>
    <t>Výstavba provozního zázemí ZOO</t>
  </si>
  <si>
    <t>ZOO Brno - Expozice klokanů</t>
  </si>
  <si>
    <t>Kalahari - africká vesnice</t>
  </si>
  <si>
    <t>Expozice orlů</t>
  </si>
  <si>
    <t>Transfer na investice Zoo Brno a stanice zájmových činností</t>
  </si>
  <si>
    <t>ZOO</t>
  </si>
  <si>
    <t>Celkem z 3741 - Ochrana druhů a stanovišť</t>
  </si>
  <si>
    <t>3744 - Protierozní, protilavinová a protipožární ochrana</t>
  </si>
  <si>
    <t>Kamenná čtvrť - stat. zajištění svahu</t>
  </si>
  <si>
    <t>Celkem z 3744 - Protierozní, protilavinová a protipožární ochrana</t>
  </si>
  <si>
    <t>3745 - Péče a vzhled obcí a veřejnou zeleň</t>
  </si>
  <si>
    <t>Úprava veřejného prostoru před JD</t>
  </si>
  <si>
    <t>Vinice na Špilberku</t>
  </si>
  <si>
    <t>Přístupová cesta do Wilsonova lesa z ulice Rezkovy</t>
  </si>
  <si>
    <t>NKP Špilberk - rekonstrukce parku III. etapa, 3. č.</t>
  </si>
  <si>
    <t>Rekonstrukce Wilsonova lesa</t>
  </si>
  <si>
    <t>Revitalizace městských parků, I. etapa</t>
  </si>
  <si>
    <t>Revitalizace městských parků, II. etapa</t>
  </si>
  <si>
    <t>Park Hvězdička</t>
  </si>
  <si>
    <t>Výstavba parku Pod Plachtami</t>
  </si>
  <si>
    <t>Nízkoprahové centrum v parku Hvězdička</t>
  </si>
  <si>
    <t>Úprava ploch VZ v okolí bytových domů Sibiřská</t>
  </si>
  <si>
    <t>Revitalizace městských parků, III. etapa</t>
  </si>
  <si>
    <t>3745 - péče a vzhled obcí a veřejnou zeleň</t>
  </si>
  <si>
    <t>Transfer na investice VZMB</t>
  </si>
  <si>
    <t>VZMB</t>
  </si>
  <si>
    <t>Celkem z 3745 - Péče a vzhled obcí a veřejnou zeleň</t>
  </si>
  <si>
    <t>3792 - Ekologická výchova a osvěta</t>
  </si>
  <si>
    <t>Rekonstrukce objektu Hlídka 4</t>
  </si>
  <si>
    <t>Inv. transfery OŽP</t>
  </si>
  <si>
    <t>Celkem z 3792 - Ekologická výchova a osvěta</t>
  </si>
  <si>
    <t>7200</t>
  </si>
  <si>
    <t>4344 - Sociální rehabilitace</t>
  </si>
  <si>
    <t>Investiční transfery OSP</t>
  </si>
  <si>
    <t>OSP</t>
  </si>
  <si>
    <t>Celkem z 4344 - Sociální rehabilitace</t>
  </si>
  <si>
    <t>4350 - Domovy pro seniory</t>
  </si>
  <si>
    <t>Stavební úpravy Domova pro seniory Foltýnova</t>
  </si>
  <si>
    <t>Investiční transfery DS Foltýnova</t>
  </si>
  <si>
    <t>Celkem z 4350 - Domovy pro seniory</t>
  </si>
  <si>
    <t>4351 - Osobní asistence, pečovatelská služba a podpora samostatného bydlení</t>
  </si>
  <si>
    <t>DPS Tuřany - Holásky</t>
  </si>
  <si>
    <t>DPS Mlýnská</t>
  </si>
  <si>
    <t>DPS Křídlovická</t>
  </si>
  <si>
    <t>Celkem z 4351 - Osobní asistence, pečovatelská služba a podpora samostatného bydlení</t>
  </si>
  <si>
    <t>4352 - Tísňová péče</t>
  </si>
  <si>
    <t>Zavedení služby tísňové péče pro seniory</t>
  </si>
  <si>
    <t>Celkem z 4352 - Tísňová péče</t>
  </si>
  <si>
    <t>4357 - Domovy pro osoby se zdravotním postižením a domovy se zvláštním režimem</t>
  </si>
  <si>
    <t>Domov pro seniory, Foltýnova 21, Brno - odstranění bariér a zvýšení lůžkové kapacity</t>
  </si>
  <si>
    <t>Transfer na investice DS Nopova</t>
  </si>
  <si>
    <t>DS Nopova</t>
  </si>
  <si>
    <t>Celkem z 4357 - Domovy pro osoby se zdravotním postižením a domovy se zvláštním režimem</t>
  </si>
  <si>
    <t>4359 - Ost. služby a činnosti v oblasti sociální péče</t>
  </si>
  <si>
    <t>Celkem z 4359 - Ost. služby a činnosti v oblasti sociální péče</t>
  </si>
  <si>
    <t>4375 - Nízkoprahová zařízení pro děti a mládež</t>
  </si>
  <si>
    <t>Plácky - aktivizační centra</t>
  </si>
  <si>
    <t>Celkem z 4375 - Nízkoprahová zařízení pro děti a mládež</t>
  </si>
  <si>
    <t>8200</t>
  </si>
  <si>
    <t>5311 - Bezpečnost a veřejný pořádek</t>
  </si>
  <si>
    <t>Radiový systém TETRA</t>
  </si>
  <si>
    <t>MP</t>
  </si>
  <si>
    <t>Rekonstrukce chat RZ Sykovec</t>
  </si>
  <si>
    <t>Rekonstrukce objektu na služebnu MP Brno-západ</t>
  </si>
  <si>
    <t>Nestavební investice MP</t>
  </si>
  <si>
    <t>Investiční transfery MP</t>
  </si>
  <si>
    <t>Celkem z 5311 - Bezpečnost a veřejný pořádek</t>
  </si>
  <si>
    <t>5319 - Ostatní záležitosti bezpečnosti a veřejného pořádku</t>
  </si>
  <si>
    <t>Celkem z 5319 - Ostatní záležitosti bezpečnosti a veřejného pořádku</t>
  </si>
  <si>
    <t>5512 - Požární ochrana - dobrovolná část</t>
  </si>
  <si>
    <t>Rek. hasičské stanice MČ B-sever, Netušilova 18</t>
  </si>
  <si>
    <t>Stav. úpr. hasičské stanice, B-Soběšice</t>
  </si>
  <si>
    <t>Celkem z 5512 - Požární ochrana - dobrovolná část</t>
  </si>
  <si>
    <t>6171 - Činnost místní správy</t>
  </si>
  <si>
    <t>Rekonstrukce administrativního centra Jalta</t>
  </si>
  <si>
    <t>Statické zajištění budovy Staré Radnice</t>
  </si>
  <si>
    <t>Klimatizace Malinovského nám. 3</t>
  </si>
  <si>
    <t>5300</t>
  </si>
  <si>
    <t>GIS - rozvoj systému</t>
  </si>
  <si>
    <t>OMI</t>
  </si>
  <si>
    <t>Metropolitní síť města Brna</t>
  </si>
  <si>
    <t>Technické zhodnocení objektů MMB</t>
  </si>
  <si>
    <t>ISMB - agendový aplikační software</t>
  </si>
  <si>
    <t>OMI - informační systém</t>
  </si>
  <si>
    <t>Digitalizace archivu města Brna</t>
  </si>
  <si>
    <t>3200</t>
  </si>
  <si>
    <t>Nestavební investice OVV</t>
  </si>
  <si>
    <t>OVV</t>
  </si>
  <si>
    <t>Celkem z 6171 - Činnost místní správy</t>
  </si>
  <si>
    <t>6211 - Archivní činnost</t>
  </si>
  <si>
    <t>Technické zhodnocení objektu AMB - Přední 2</t>
  </si>
  <si>
    <t>AMB</t>
  </si>
  <si>
    <t>3900</t>
  </si>
  <si>
    <t>Velké dějiny města Brna</t>
  </si>
  <si>
    <t>Celkem z 6211 - Archivní činnost</t>
  </si>
  <si>
    <t>6409 - Ostatní činnosti j.n.</t>
  </si>
  <si>
    <t>Investiční transfery městským částem (FBV - ORF)</t>
  </si>
  <si>
    <t>Investiční půj. prostředky měst. částem (FBV - ORF)</t>
  </si>
  <si>
    <t>Investiční transfery městských částem (ORF)</t>
  </si>
  <si>
    <t>Investiční transfery městských částem (OŽP)</t>
  </si>
  <si>
    <t>Investiční transfery městským částem (FBV - OŠMT)</t>
  </si>
  <si>
    <t>Investiční transfery městským částem (OŠMT)</t>
  </si>
  <si>
    <t>Celkem z 6409 - Ostatní činnosti j.n.</t>
  </si>
  <si>
    <t>Celkový součet</t>
  </si>
  <si>
    <t>Rekapitulace (v tis. Kč)</t>
  </si>
  <si>
    <t>SK 31.3.2014</t>
  </si>
  <si>
    <t>Základní rozpočet</t>
  </si>
  <si>
    <t>Základní rozpočet - akce zajišťované společností BVK, a.s. (ÚZ 49)</t>
  </si>
  <si>
    <t>Fond kofinancování evropských projektů (ORG 5xxx)</t>
  </si>
  <si>
    <t>Fond rozvoje bydlení (ÚZ 40)</t>
  </si>
  <si>
    <t>Fond bytové výstavby (ÚZ 41)</t>
  </si>
  <si>
    <t>Celkem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</si>
</sst>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0.0%"/>
    <numFmt numFmtId="167" formatCode="0.0"/>
    <numFmt numFmtId="168" formatCode="#,##0.0"/>
    <numFmt numFmtId="169" formatCode="#,##0_ ;[Red]\-#,##0\ "/>
    <numFmt numFmtId="170" formatCode="000\ 00"/>
    <numFmt numFmtId="171" formatCode="#,##0_);\(#,##0\)"/>
    <numFmt numFmtId="172" formatCode="0_)"/>
    <numFmt numFmtId="173" formatCode="0.000"/>
    <numFmt numFmtId="174" formatCode="###0"/>
    <numFmt numFmtId="175" formatCode="d/m"/>
    <numFmt numFmtId="176" formatCode="d/m/yy"/>
    <numFmt numFmtId="177" formatCode="#0"/>
    <numFmt numFmtId="178" formatCode="0000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80">
    <font>
      <sz val="10"/>
      <name val="Arial CE"/>
      <family val="0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sz val="9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u val="single"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Calibri"/>
      <family val="2"/>
    </font>
    <font>
      <sz val="10"/>
      <color theme="0" tint="-0.24997000396251678"/>
      <name val="Calibri"/>
      <family val="2"/>
    </font>
    <font>
      <sz val="10"/>
      <color rgb="FFFF0000"/>
      <name val="Calibri"/>
      <family val="2"/>
    </font>
    <font>
      <sz val="10"/>
      <color theme="0" tint="-0.1499900072813034"/>
      <name val="Calibri"/>
      <family val="2"/>
    </font>
    <font>
      <b/>
      <sz val="8"/>
      <name val="Arial CE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patternFill patternType="solid">
        <fgColor rgb="FFFFFF99"/>
        <bgColor indexed="64"/>
      </pattern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  <fill>
      <gradientFill degree="90">
        <stop position="0">
          <color theme="0" tint="-0.0509600006043911"/>
        </stop>
        <stop position="1">
          <color rgb="FFFFC000"/>
        </stop>
      </gradient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6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2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0" fontId="5" fillId="0" borderId="0" xfId="57" applyFont="1">
      <alignment/>
      <protection/>
    </xf>
    <xf numFmtId="3" fontId="2" fillId="0" borderId="0" xfId="57" applyNumberFormat="1">
      <alignment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8" fillId="0" borderId="11" xfId="57" applyFont="1" applyBorder="1" applyAlignment="1">
      <alignment horizontal="left"/>
      <protection/>
    </xf>
    <xf numFmtId="3" fontId="8" fillId="0" borderId="11" xfId="57" applyNumberFormat="1" applyFont="1" applyFill="1" applyBorder="1">
      <alignment/>
      <protection/>
    </xf>
    <xf numFmtId="0" fontId="8" fillId="0" borderId="11" xfId="57" applyFont="1" applyFill="1" applyBorder="1" applyAlignment="1">
      <alignment horizontal="left"/>
      <protection/>
    </xf>
    <xf numFmtId="0" fontId="8" fillId="0" borderId="11" xfId="57" applyFont="1" applyFill="1" applyBorder="1">
      <alignment/>
      <protection/>
    </xf>
    <xf numFmtId="0" fontId="8" fillId="0" borderId="11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0" borderId="11" xfId="57" applyFont="1" applyFill="1" applyBorder="1" applyAlignment="1">
      <alignment horizontal="center"/>
      <protection/>
    </xf>
    <xf numFmtId="0" fontId="2" fillId="0" borderId="0" xfId="57" applyAlignment="1">
      <alignment horizontal="left"/>
      <protection/>
    </xf>
    <xf numFmtId="0" fontId="8" fillId="0" borderId="11" xfId="57" applyFont="1" applyBorder="1" applyAlignment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8" fillId="0" borderId="11" xfId="57" applyFont="1" applyFill="1" applyBorder="1" applyAlignment="1">
      <alignment horizontal="center" vertical="center"/>
      <protection/>
    </xf>
    <xf numFmtId="0" fontId="2" fillId="0" borderId="0" xfId="57" applyAlignment="1">
      <alignment horizontal="center"/>
      <protection/>
    </xf>
    <xf numFmtId="3" fontId="8" fillId="0" borderId="12" xfId="57" applyNumberFormat="1" applyFont="1" applyFill="1" applyBorder="1">
      <alignment/>
      <protection/>
    </xf>
    <xf numFmtId="0" fontId="7" fillId="0" borderId="13" xfId="57" applyFont="1" applyFill="1" applyBorder="1" applyAlignment="1">
      <alignment horizontal="left"/>
      <protection/>
    </xf>
    <xf numFmtId="0" fontId="7" fillId="0" borderId="14" xfId="57" applyFont="1" applyFill="1" applyBorder="1" applyAlignment="1">
      <alignment horizontal="left"/>
      <protection/>
    </xf>
    <xf numFmtId="0" fontId="8" fillId="0" borderId="15" xfId="57" applyFont="1" applyFill="1" applyBorder="1" applyAlignment="1">
      <alignment horizontal="center"/>
      <protection/>
    </xf>
    <xf numFmtId="0" fontId="8" fillId="0" borderId="15" xfId="57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13" xfId="57" applyFont="1" applyFill="1" applyBorder="1" applyAlignment="1">
      <alignment horizontal="left" vertical="center"/>
      <protection/>
    </xf>
    <xf numFmtId="168" fontId="8" fillId="0" borderId="0" xfId="57" applyNumberFormat="1" applyFont="1">
      <alignment/>
      <protection/>
    </xf>
    <xf numFmtId="168" fontId="7" fillId="0" borderId="10" xfId="57" applyNumberFormat="1" applyFont="1" applyBorder="1" applyAlignment="1">
      <alignment horizontal="center"/>
      <protection/>
    </xf>
    <xf numFmtId="168" fontId="7" fillId="0" borderId="16" xfId="57" applyNumberFormat="1" applyFont="1" applyBorder="1" applyAlignment="1">
      <alignment horizontal="center"/>
      <protection/>
    </xf>
    <xf numFmtId="3" fontId="7" fillId="0" borderId="11" xfId="57" applyNumberFormat="1" applyFont="1" applyFill="1" applyBorder="1">
      <alignment/>
      <protection/>
    </xf>
    <xf numFmtId="3" fontId="7" fillId="0" borderId="12" xfId="57" applyNumberFormat="1" applyFont="1" applyFill="1" applyBorder="1">
      <alignment/>
      <protection/>
    </xf>
    <xf numFmtId="3" fontId="7" fillId="0" borderId="15" xfId="57" applyNumberFormat="1" applyFont="1" applyFill="1" applyBorder="1">
      <alignment/>
      <protection/>
    </xf>
    <xf numFmtId="3" fontId="4" fillId="0" borderId="17" xfId="57" applyNumberFormat="1" applyFont="1" applyBorder="1" applyAlignment="1">
      <alignment horizontal="center"/>
      <protection/>
    </xf>
    <xf numFmtId="3" fontId="7" fillId="0" borderId="10" xfId="57" applyNumberFormat="1" applyFont="1" applyBorder="1" applyAlignment="1">
      <alignment horizontal="center"/>
      <protection/>
    </xf>
    <xf numFmtId="168" fontId="8" fillId="0" borderId="18" xfId="0" applyNumberFormat="1" applyFont="1" applyBorder="1" applyAlignment="1">
      <alignment/>
    </xf>
    <xf numFmtId="0" fontId="8" fillId="0" borderId="12" xfId="0" applyFont="1" applyBorder="1" applyAlignment="1">
      <alignment/>
    </xf>
    <xf numFmtId="168" fontId="8" fillId="0" borderId="12" xfId="57" applyNumberFormat="1" applyFont="1" applyFill="1" applyBorder="1">
      <alignment/>
      <protection/>
    </xf>
    <xf numFmtId="168" fontId="8" fillId="0" borderId="18" xfId="57" applyNumberFormat="1" applyFont="1" applyFill="1" applyBorder="1">
      <alignment/>
      <protection/>
    </xf>
    <xf numFmtId="168" fontId="7" fillId="0" borderId="12" xfId="57" applyNumberFormat="1" applyFont="1" applyFill="1" applyBorder="1">
      <alignment/>
      <protection/>
    </xf>
    <xf numFmtId="168" fontId="7" fillId="0" borderId="18" xfId="57" applyNumberFormat="1" applyFont="1" applyFill="1" applyBorder="1">
      <alignment/>
      <protection/>
    </xf>
    <xf numFmtId="168" fontId="8" fillId="0" borderId="12" xfId="0" applyNumberFormat="1" applyFont="1" applyFill="1" applyBorder="1" applyAlignment="1">
      <alignment/>
    </xf>
    <xf numFmtId="168" fontId="8" fillId="0" borderId="18" xfId="0" applyNumberFormat="1" applyFont="1" applyFill="1" applyBorder="1" applyAlignment="1">
      <alignment/>
    </xf>
    <xf numFmtId="0" fontId="4" fillId="0" borderId="19" xfId="57" applyFont="1" applyFill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3" fontId="7" fillId="0" borderId="20" xfId="57" applyNumberFormat="1" applyFont="1" applyFill="1" applyBorder="1">
      <alignment/>
      <protection/>
    </xf>
    <xf numFmtId="168" fontId="7" fillId="0" borderId="20" xfId="57" applyNumberFormat="1" applyFont="1" applyFill="1" applyBorder="1">
      <alignment/>
      <protection/>
    </xf>
    <xf numFmtId="168" fontId="7" fillId="0" borderId="21" xfId="57" applyNumberFormat="1" applyFont="1" applyFill="1" applyBorder="1">
      <alignment/>
      <protection/>
    </xf>
    <xf numFmtId="3" fontId="11" fillId="0" borderId="10" xfId="57" applyNumberFormat="1" applyFont="1" applyFill="1" applyBorder="1">
      <alignment/>
      <protection/>
    </xf>
    <xf numFmtId="0" fontId="12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left"/>
      <protection/>
    </xf>
    <xf numFmtId="168" fontId="7" fillId="0" borderId="12" xfId="0" applyNumberFormat="1" applyFont="1" applyFill="1" applyBorder="1" applyAlignment="1">
      <alignment/>
    </xf>
    <xf numFmtId="0" fontId="13" fillId="0" borderId="19" xfId="57" applyFont="1" applyFill="1" applyBorder="1" applyAlignment="1">
      <alignment horizontal="left"/>
      <protection/>
    </xf>
    <xf numFmtId="3" fontId="7" fillId="0" borderId="22" xfId="57" applyNumberFormat="1" applyFont="1" applyFill="1" applyBorder="1">
      <alignment/>
      <protection/>
    </xf>
    <xf numFmtId="168" fontId="7" fillId="0" borderId="23" xfId="57" applyNumberFormat="1" applyFont="1" applyFill="1" applyBorder="1">
      <alignment/>
      <protection/>
    </xf>
    <xf numFmtId="168" fontId="7" fillId="0" borderId="24" xfId="57" applyNumberFormat="1" applyFont="1" applyFill="1" applyBorder="1">
      <alignment/>
      <protection/>
    </xf>
    <xf numFmtId="0" fontId="0" fillId="0" borderId="0" xfId="0" applyFont="1" applyAlignment="1">
      <alignment/>
    </xf>
    <xf numFmtId="0" fontId="8" fillId="0" borderId="11" xfId="57" applyNumberFormat="1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0" fontId="7" fillId="34" borderId="13" xfId="51" applyFont="1" applyFill="1" applyBorder="1" applyAlignment="1">
      <alignment horizontal="left"/>
      <protection/>
    </xf>
    <xf numFmtId="0" fontId="7" fillId="0" borderId="25" xfId="57" applyFont="1" applyFill="1" applyBorder="1" applyAlignment="1">
      <alignment horizontal="left"/>
      <protection/>
    </xf>
    <xf numFmtId="0" fontId="8" fillId="0" borderId="22" xfId="57" applyFont="1" applyFill="1" applyBorder="1" applyAlignment="1">
      <alignment horizontal="center"/>
      <protection/>
    </xf>
    <xf numFmtId="0" fontId="8" fillId="0" borderId="22" xfId="57" applyFont="1" applyFill="1" applyBorder="1" applyAlignment="1">
      <alignment horizontal="left"/>
      <protection/>
    </xf>
    <xf numFmtId="0" fontId="15" fillId="0" borderId="19" xfId="57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shrinkToFit="1"/>
    </xf>
    <xf numFmtId="1" fontId="8" fillId="0" borderId="26" xfId="55" applyNumberFormat="1" applyFont="1" applyFill="1" applyBorder="1" applyAlignment="1">
      <alignment horizontal="left"/>
      <protection/>
    </xf>
    <xf numFmtId="0" fontId="8" fillId="0" borderId="27" xfId="55" applyFont="1" applyFill="1" applyBorder="1" applyAlignment="1">
      <alignment/>
      <protection/>
    </xf>
    <xf numFmtId="1" fontId="8" fillId="0" borderId="27" xfId="55" applyNumberFormat="1" applyFont="1" applyFill="1" applyBorder="1" applyAlignment="1">
      <alignment horizontal="center"/>
      <protection/>
    </xf>
    <xf numFmtId="0" fontId="8" fillId="0" borderId="27" xfId="55" applyFont="1" applyFill="1" applyBorder="1" applyAlignment="1">
      <alignment horizontal="left"/>
      <protection/>
    </xf>
    <xf numFmtId="3" fontId="8" fillId="0" borderId="27" xfId="55" applyNumberFormat="1" applyFont="1" applyFill="1" applyBorder="1" applyAlignment="1">
      <alignment horizontal="right"/>
      <protection/>
    </xf>
    <xf numFmtId="1" fontId="8" fillId="0" borderId="13" xfId="55" applyNumberFormat="1" applyFont="1" applyFill="1" applyBorder="1" applyAlignment="1">
      <alignment horizontal="left"/>
      <protection/>
    </xf>
    <xf numFmtId="1" fontId="8" fillId="0" borderId="11" xfId="55" applyNumberFormat="1" applyFont="1" applyFill="1" applyBorder="1" applyAlignment="1">
      <alignment horizontal="center"/>
      <protection/>
    </xf>
    <xf numFmtId="0" fontId="8" fillId="0" borderId="11" xfId="55" applyFont="1" applyFill="1" applyBorder="1" applyAlignment="1">
      <alignment horizontal="left"/>
      <protection/>
    </xf>
    <xf numFmtId="3" fontId="8" fillId="0" borderId="11" xfId="55" applyNumberFormat="1" applyFont="1" applyFill="1" applyBorder="1" applyAlignment="1">
      <alignment horizontal="right"/>
      <protection/>
    </xf>
    <xf numFmtId="1" fontId="7" fillId="0" borderId="27" xfId="55" applyNumberFormat="1" applyFont="1" applyFill="1" applyBorder="1" applyAlignment="1">
      <alignment/>
      <protection/>
    </xf>
    <xf numFmtId="3" fontId="7" fillId="0" borderId="11" xfId="55" applyNumberFormat="1" applyFont="1" applyFill="1" applyBorder="1" applyAlignment="1">
      <alignment horizontal="right"/>
      <protection/>
    </xf>
    <xf numFmtId="0" fontId="7" fillId="0" borderId="27" xfId="55" applyFont="1" applyFill="1" applyBorder="1" applyAlignment="1">
      <alignment/>
      <protection/>
    </xf>
    <xf numFmtId="3" fontId="8" fillId="0" borderId="11" xfId="51" applyNumberFormat="1" applyFont="1" applyFill="1" applyBorder="1" applyAlignment="1">
      <alignment horizontal="right"/>
      <protection/>
    </xf>
    <xf numFmtId="168" fontId="8" fillId="0" borderId="11" xfId="55" applyNumberFormat="1" applyFont="1" applyFill="1" applyBorder="1" applyAlignment="1">
      <alignment horizontal="right"/>
      <protection/>
    </xf>
    <xf numFmtId="168" fontId="8" fillId="0" borderId="18" xfId="55" applyNumberFormat="1" applyFont="1" applyFill="1" applyBorder="1" applyAlignment="1">
      <alignment horizontal="right"/>
      <protection/>
    </xf>
    <xf numFmtId="1" fontId="8" fillId="0" borderId="25" xfId="55" applyNumberFormat="1" applyFont="1" applyFill="1" applyBorder="1" applyAlignment="1">
      <alignment horizontal="left"/>
      <protection/>
    </xf>
    <xf numFmtId="0" fontId="7" fillId="0" borderId="22" xfId="55" applyFont="1" applyFill="1" applyBorder="1" applyAlignment="1">
      <alignment/>
      <protection/>
    </xf>
    <xf numFmtId="1" fontId="8" fillId="0" borderId="22" xfId="55" applyNumberFormat="1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left"/>
      <protection/>
    </xf>
    <xf numFmtId="3" fontId="7" fillId="0" borderId="22" xfId="55" applyNumberFormat="1" applyFont="1" applyFill="1" applyBorder="1" applyAlignment="1">
      <alignment horizontal="right"/>
      <protection/>
    </xf>
    <xf numFmtId="1" fontId="8" fillId="0" borderId="19" xfId="55" applyNumberFormat="1" applyFont="1" applyFill="1" applyBorder="1" applyAlignment="1">
      <alignment horizontal="left"/>
      <protection/>
    </xf>
    <xf numFmtId="1" fontId="8" fillId="0" borderId="10" xfId="55" applyNumberFormat="1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left"/>
      <protection/>
    </xf>
    <xf numFmtId="0" fontId="8" fillId="0" borderId="11" xfId="55" applyFont="1" applyFill="1" applyBorder="1" applyAlignment="1">
      <alignment/>
      <protection/>
    </xf>
    <xf numFmtId="1" fontId="7" fillId="0" borderId="15" xfId="55" applyNumberFormat="1" applyFont="1" applyFill="1" applyBorder="1" applyAlignment="1">
      <alignment/>
      <protection/>
    </xf>
    <xf numFmtId="1" fontId="7" fillId="0" borderId="17" xfId="55" applyNumberFormat="1" applyFont="1" applyFill="1" applyBorder="1" applyAlignment="1">
      <alignment/>
      <protection/>
    </xf>
    <xf numFmtId="1" fontId="8" fillId="0" borderId="27" xfId="55" applyNumberFormat="1" applyFont="1" applyFill="1" applyBorder="1" applyAlignment="1">
      <alignment horizontal="left"/>
      <protection/>
    </xf>
    <xf numFmtId="168" fontId="8" fillId="0" borderId="11" xfId="0" applyNumberFormat="1" applyFont="1" applyFill="1" applyBorder="1" applyAlignment="1">
      <alignment horizontal="right"/>
    </xf>
    <xf numFmtId="168" fontId="8" fillId="0" borderId="18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2" xfId="55" applyNumberFormat="1" applyFont="1" applyFill="1" applyBorder="1" applyAlignment="1">
      <alignment horizontal="right"/>
      <protection/>
    </xf>
    <xf numFmtId="1" fontId="7" fillId="0" borderId="13" xfId="55" applyNumberFormat="1" applyFont="1" applyFill="1" applyBorder="1" applyAlignment="1">
      <alignment horizontal="left"/>
      <protection/>
    </xf>
    <xf numFmtId="0" fontId="8" fillId="0" borderId="11" xfId="55" applyFont="1" applyFill="1" applyBorder="1" applyAlignment="1">
      <alignment horizontal="left" shrinkToFit="1"/>
      <protection/>
    </xf>
    <xf numFmtId="0" fontId="8" fillId="0" borderId="22" xfId="55" applyFont="1" applyFill="1" applyBorder="1" applyAlignment="1">
      <alignment/>
      <protection/>
    </xf>
    <xf numFmtId="1" fontId="17" fillId="0" borderId="11" xfId="55" applyNumberFormat="1" applyFont="1" applyFill="1" applyBorder="1" applyAlignment="1">
      <alignment horizontal="center"/>
      <protection/>
    </xf>
    <xf numFmtId="0" fontId="17" fillId="0" borderId="11" xfId="55" applyFont="1" applyFill="1" applyBorder="1" applyAlignment="1">
      <alignment/>
      <protection/>
    </xf>
    <xf numFmtId="3" fontId="8" fillId="0" borderId="22" xfId="51" applyNumberFormat="1" applyFont="1" applyFill="1" applyBorder="1" applyAlignment="1">
      <alignment horizontal="right"/>
      <protection/>
    </xf>
    <xf numFmtId="1" fontId="8" fillId="0" borderId="14" xfId="55" applyNumberFormat="1" applyFont="1" applyFill="1" applyBorder="1" applyAlignment="1">
      <alignment horizontal="left"/>
      <protection/>
    </xf>
    <xf numFmtId="1" fontId="8" fillId="0" borderId="15" xfId="55" applyNumberFormat="1" applyFont="1" applyFill="1" applyBorder="1" applyAlignment="1">
      <alignment horizontal="center"/>
      <protection/>
    </xf>
    <xf numFmtId="0" fontId="8" fillId="0" borderId="15" xfId="55" applyFont="1" applyFill="1" applyBorder="1" applyAlignment="1">
      <alignment horizontal="left"/>
      <protection/>
    </xf>
    <xf numFmtId="3" fontId="7" fillId="0" borderId="15" xfId="55" applyNumberFormat="1" applyFont="1" applyFill="1" applyBorder="1" applyAlignment="1">
      <alignment horizontal="right"/>
      <protection/>
    </xf>
    <xf numFmtId="1" fontId="11" fillId="0" borderId="15" xfId="55" applyNumberFormat="1" applyFont="1" applyFill="1" applyBorder="1" applyAlignment="1">
      <alignment/>
      <protection/>
    </xf>
    <xf numFmtId="0" fontId="11" fillId="0" borderId="10" xfId="55" applyFont="1" applyFill="1" applyBorder="1" applyAlignment="1">
      <alignment/>
      <protection/>
    </xf>
    <xf numFmtId="0" fontId="7" fillId="0" borderId="11" xfId="55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" fontId="8" fillId="0" borderId="13" xfId="51" applyNumberFormat="1" applyFont="1" applyFill="1" applyBorder="1" applyAlignment="1">
      <alignment horizontal="left"/>
      <protection/>
    </xf>
    <xf numFmtId="1" fontId="8" fillId="0" borderId="11" xfId="51" applyNumberFormat="1" applyFont="1" applyFill="1" applyBorder="1" applyAlignment="1">
      <alignment horizontal="center"/>
      <protection/>
    </xf>
    <xf numFmtId="0" fontId="8" fillId="0" borderId="11" xfId="51" applyFont="1" applyFill="1" applyBorder="1" applyAlignment="1">
      <alignment/>
      <protection/>
    </xf>
    <xf numFmtId="168" fontId="8" fillId="0" borderId="11" xfId="51" applyNumberFormat="1" applyFont="1" applyFill="1" applyBorder="1" applyAlignment="1">
      <alignment horizontal="right"/>
      <protection/>
    </xf>
    <xf numFmtId="168" fontId="8" fillId="0" borderId="18" xfId="51" applyNumberFormat="1" applyFont="1" applyFill="1" applyBorder="1" applyAlignment="1">
      <alignment horizontal="right"/>
      <protection/>
    </xf>
    <xf numFmtId="0" fontId="8" fillId="0" borderId="11" xfId="55" applyFont="1" applyFill="1" applyBorder="1">
      <alignment/>
      <protection/>
    </xf>
    <xf numFmtId="0" fontId="8" fillId="0" borderId="11" xfId="57" applyNumberFormat="1" applyFont="1" applyFill="1" applyBorder="1" applyAlignment="1">
      <alignment horizontal="left"/>
      <protection/>
    </xf>
    <xf numFmtId="1" fontId="8" fillId="0" borderId="13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49" fontId="8" fillId="0" borderId="25" xfId="55" applyNumberFormat="1" applyFont="1" applyFill="1" applyBorder="1" applyAlignment="1">
      <alignment horizontal="left" shrinkToFit="1"/>
      <protection/>
    </xf>
    <xf numFmtId="49" fontId="8" fillId="0" borderId="13" xfId="55" applyNumberFormat="1" applyFont="1" applyFill="1" applyBorder="1" applyAlignment="1">
      <alignment horizontal="left" shrinkToFit="1"/>
      <protection/>
    </xf>
    <xf numFmtId="1" fontId="8" fillId="0" borderId="11" xfId="55" applyNumberFormat="1" applyFont="1" applyFill="1" applyBorder="1" applyAlignment="1">
      <alignment horizontal="left"/>
      <protection/>
    </xf>
    <xf numFmtId="3" fontId="7" fillId="0" borderId="10" xfId="57" applyNumberFormat="1" applyFont="1" applyFill="1" applyBorder="1" applyAlignment="1">
      <alignment horizontal="center"/>
      <protection/>
    </xf>
    <xf numFmtId="168" fontId="7" fillId="0" borderId="10" xfId="57" applyNumberFormat="1" applyFont="1" applyFill="1" applyBorder="1" applyAlignment="1">
      <alignment horizontal="center"/>
      <protection/>
    </xf>
    <xf numFmtId="3" fontId="7" fillId="0" borderId="27" xfId="57" applyNumberFormat="1" applyFont="1" applyFill="1" applyBorder="1" applyAlignment="1">
      <alignment horizontal="center"/>
      <protection/>
    </xf>
    <xf numFmtId="168" fontId="8" fillId="0" borderId="27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68" fontId="7" fillId="0" borderId="15" xfId="55" applyNumberFormat="1" applyFont="1" applyFill="1" applyBorder="1" applyAlignment="1">
      <alignment horizontal="right"/>
      <protection/>
    </xf>
    <xf numFmtId="3" fontId="7" fillId="0" borderId="27" xfId="0" applyNumberFormat="1" applyFont="1" applyFill="1" applyBorder="1" applyAlignment="1">
      <alignment horizontal="right"/>
    </xf>
    <xf numFmtId="168" fontId="7" fillId="0" borderId="27" xfId="55" applyNumberFormat="1" applyFont="1" applyFill="1" applyBorder="1" applyAlignment="1">
      <alignment horizontal="right"/>
      <protection/>
    </xf>
    <xf numFmtId="3" fontId="7" fillId="0" borderId="11" xfId="0" applyNumberFormat="1" applyFont="1" applyFill="1" applyBorder="1" applyAlignment="1">
      <alignment horizontal="right"/>
    </xf>
    <xf numFmtId="168" fontId="7" fillId="0" borderId="11" xfId="55" applyNumberFormat="1" applyFont="1" applyFill="1" applyBorder="1" applyAlignment="1">
      <alignment horizontal="right"/>
      <protection/>
    </xf>
    <xf numFmtId="168" fontId="7" fillId="0" borderId="22" xfId="55" applyNumberFormat="1" applyFont="1" applyFill="1" applyBorder="1" applyAlignment="1">
      <alignment horizontal="right"/>
      <protection/>
    </xf>
    <xf numFmtId="168" fontId="8" fillId="0" borderId="22" xfId="51" applyNumberFormat="1" applyFont="1" applyFill="1" applyBorder="1" applyAlignment="1">
      <alignment horizontal="right"/>
      <protection/>
    </xf>
    <xf numFmtId="168" fontId="7" fillId="0" borderId="15" xfId="51" applyNumberFormat="1" applyFont="1" applyFill="1" applyBorder="1" applyAlignment="1">
      <alignment horizontal="right"/>
      <protection/>
    </xf>
    <xf numFmtId="168" fontId="8" fillId="0" borderId="27" xfId="51" applyNumberFormat="1" applyFont="1" applyFill="1" applyBorder="1" applyAlignment="1">
      <alignment horizontal="right"/>
      <protection/>
    </xf>
    <xf numFmtId="3" fontId="7" fillId="0" borderId="22" xfId="0" applyNumberFormat="1" applyFont="1" applyFill="1" applyBorder="1" applyAlignment="1">
      <alignment horizontal="right"/>
    </xf>
    <xf numFmtId="168" fontId="7" fillId="0" borderId="10" xfId="55" applyNumberFormat="1" applyFont="1" applyFill="1" applyBorder="1" applyAlignment="1">
      <alignment horizontal="right"/>
      <protection/>
    </xf>
    <xf numFmtId="3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3" fontId="8" fillId="0" borderId="11" xfId="57" applyNumberFormat="1" applyFont="1" applyFill="1" applyBorder="1">
      <alignment/>
      <protection/>
    </xf>
    <xf numFmtId="3" fontId="8" fillId="0" borderId="12" xfId="57" applyNumberFormat="1" applyFont="1" applyFill="1" applyBorder="1">
      <alignment/>
      <protection/>
    </xf>
    <xf numFmtId="3" fontId="8" fillId="0" borderId="11" xfId="0" applyNumberFormat="1" applyFont="1" applyFill="1" applyBorder="1" applyAlignment="1">
      <alignment horizontal="right"/>
    </xf>
    <xf numFmtId="0" fontId="7" fillId="0" borderId="10" xfId="55" applyFont="1" applyFill="1" applyBorder="1" applyAlignment="1">
      <alignment horizontal="center"/>
      <protection/>
    </xf>
    <xf numFmtId="1" fontId="7" fillId="0" borderId="10" xfId="55" applyNumberFormat="1" applyFont="1" applyFill="1" applyBorder="1" applyAlignment="1">
      <alignment horizontal="center"/>
      <protection/>
    </xf>
    <xf numFmtId="168" fontId="7" fillId="0" borderId="16" xfId="57" applyNumberFormat="1" applyFont="1" applyFill="1" applyBorder="1" applyAlignment="1">
      <alignment horizontal="center"/>
      <protection/>
    </xf>
    <xf numFmtId="0" fontId="16" fillId="0" borderId="0" xfId="55" applyFont="1" applyFill="1">
      <alignment/>
      <protection/>
    </xf>
    <xf numFmtId="168" fontId="8" fillId="0" borderId="28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68" fontId="7" fillId="0" borderId="11" xfId="0" applyNumberFormat="1" applyFont="1" applyFill="1" applyBorder="1" applyAlignment="1">
      <alignment horizontal="right"/>
    </xf>
    <xf numFmtId="168" fontId="7" fillId="0" borderId="18" xfId="0" applyNumberFormat="1" applyFont="1" applyFill="1" applyBorder="1" applyAlignment="1">
      <alignment horizontal="right"/>
    </xf>
    <xf numFmtId="0" fontId="8" fillId="0" borderId="11" xfId="51" applyFont="1" applyFill="1" applyBorder="1" applyAlignment="1">
      <alignment horizontal="left"/>
      <protection/>
    </xf>
    <xf numFmtId="0" fontId="16" fillId="0" borderId="0" xfId="55" applyFont="1" applyFill="1" applyBorder="1">
      <alignment/>
      <protection/>
    </xf>
    <xf numFmtId="168" fontId="7" fillId="0" borderId="22" xfId="0" applyNumberFormat="1" applyFont="1" applyFill="1" applyBorder="1" applyAlignment="1">
      <alignment horizontal="right"/>
    </xf>
    <xf numFmtId="168" fontId="7" fillId="0" borderId="24" xfId="0" applyNumberFormat="1" applyFont="1" applyFill="1" applyBorder="1" applyAlignment="1">
      <alignment horizontal="right"/>
    </xf>
    <xf numFmtId="3" fontId="7" fillId="0" borderId="10" xfId="55" applyNumberFormat="1" applyFont="1" applyFill="1" applyBorder="1" applyAlignment="1">
      <alignment horizontal="right"/>
      <protection/>
    </xf>
    <xf numFmtId="168" fontId="7" fillId="0" borderId="10" xfId="0" applyNumberFormat="1" applyFont="1" applyFill="1" applyBorder="1" applyAlignment="1">
      <alignment horizontal="right"/>
    </xf>
    <xf numFmtId="168" fontId="7" fillId="0" borderId="16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" fontId="17" fillId="0" borderId="29" xfId="0" applyNumberFormat="1" applyFont="1" applyFill="1" applyBorder="1" applyAlignment="1">
      <alignment horizontal="left"/>
    </xf>
    <xf numFmtId="1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left"/>
    </xf>
    <xf numFmtId="3" fontId="8" fillId="0" borderId="29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3" fontId="7" fillId="0" borderId="10" xfId="57" applyNumberFormat="1" applyFont="1" applyFill="1" applyBorder="1" applyAlignment="1">
      <alignment horizontal="center" shrinkToFit="1"/>
      <protection/>
    </xf>
    <xf numFmtId="1" fontId="7" fillId="0" borderId="30" xfId="55" applyNumberFormat="1" applyFont="1" applyFill="1" applyBorder="1" applyAlignment="1">
      <alignment horizontal="left"/>
      <protection/>
    </xf>
    <xf numFmtId="1" fontId="7" fillId="0" borderId="17" xfId="55" applyNumberFormat="1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/>
      <protection/>
    </xf>
    <xf numFmtId="3" fontId="7" fillId="0" borderId="17" xfId="57" applyNumberFormat="1" applyFont="1" applyFill="1" applyBorder="1" applyAlignment="1">
      <alignment horizontal="center"/>
      <protection/>
    </xf>
    <xf numFmtId="168" fontId="7" fillId="0" borderId="17" xfId="57" applyNumberFormat="1" applyFont="1" applyFill="1" applyBorder="1" applyAlignment="1">
      <alignment horizontal="center"/>
      <protection/>
    </xf>
    <xf numFmtId="168" fontId="7" fillId="0" borderId="31" xfId="57" applyNumberFormat="1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1" fontId="8" fillId="0" borderId="25" xfId="51" applyNumberFormat="1" applyFont="1" applyFill="1" applyBorder="1" applyAlignment="1">
      <alignment horizontal="left"/>
      <protection/>
    </xf>
    <xf numFmtId="168" fontId="7" fillId="0" borderId="21" xfId="51" applyNumberFormat="1" applyFont="1" applyFill="1" applyBorder="1" applyAlignment="1">
      <alignment horizontal="right"/>
      <protection/>
    </xf>
    <xf numFmtId="1" fontId="8" fillId="0" borderId="19" xfId="51" applyNumberFormat="1" applyFont="1" applyFill="1" applyBorder="1" applyAlignment="1">
      <alignment horizontal="left"/>
      <protection/>
    </xf>
    <xf numFmtId="1" fontId="8" fillId="0" borderId="10" xfId="51" applyNumberFormat="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/>
      <protection/>
    </xf>
    <xf numFmtId="0" fontId="8" fillId="0" borderId="10" xfId="51" applyFont="1" applyFill="1" applyBorder="1" applyAlignment="1">
      <alignment horizontal="left"/>
      <protection/>
    </xf>
    <xf numFmtId="168" fontId="7" fillId="0" borderId="15" xfId="0" applyNumberFormat="1" applyFont="1" applyFill="1" applyBorder="1" applyAlignment="1">
      <alignment horizontal="right"/>
    </xf>
    <xf numFmtId="168" fontId="7" fillId="0" borderId="21" xfId="0" applyNumberFormat="1" applyFont="1" applyFill="1" applyBorder="1" applyAlignment="1">
      <alignment horizontal="right"/>
    </xf>
    <xf numFmtId="1" fontId="8" fillId="0" borderId="30" xfId="0" applyNumberFormat="1" applyFont="1" applyFill="1" applyBorder="1" applyAlignment="1">
      <alignment horizontal="left"/>
    </xf>
    <xf numFmtId="0" fontId="8" fillId="0" borderId="32" xfId="0" applyFont="1" applyFill="1" applyBorder="1" applyAlignment="1">
      <alignment/>
    </xf>
    <xf numFmtId="1" fontId="8" fillId="0" borderId="32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 horizontal="right"/>
    </xf>
    <xf numFmtId="168" fontId="8" fillId="0" borderId="32" xfId="0" applyNumberFormat="1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1" fontId="7" fillId="0" borderId="26" xfId="55" applyNumberFormat="1" applyFont="1" applyFill="1" applyBorder="1" applyAlignment="1">
      <alignment horizontal="left"/>
      <protection/>
    </xf>
    <xf numFmtId="1" fontId="7" fillId="0" borderId="27" xfId="55" applyNumberFormat="1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3" fontId="8" fillId="0" borderId="11" xfId="42" applyNumberFormat="1" applyFont="1" applyFill="1" applyBorder="1" applyAlignment="1">
      <alignment horizontal="right"/>
      <protection/>
    </xf>
    <xf numFmtId="1" fontId="8" fillId="0" borderId="15" xfId="55" applyNumberFormat="1" applyFont="1" applyFill="1" applyBorder="1" applyAlignment="1">
      <alignment horizontal="left"/>
      <protection/>
    </xf>
    <xf numFmtId="0" fontId="8" fillId="0" borderId="15" xfId="0" applyFont="1" applyFill="1" applyBorder="1" applyAlignment="1">
      <alignment/>
    </xf>
    <xf numFmtId="168" fontId="7" fillId="0" borderId="21" xfId="55" applyNumberFormat="1" applyFont="1" applyFill="1" applyBorder="1" applyAlignment="1">
      <alignment horizontal="right"/>
      <protection/>
    </xf>
    <xf numFmtId="1" fontId="8" fillId="0" borderId="30" xfId="55" applyNumberFormat="1" applyFont="1" applyFill="1" applyBorder="1" applyAlignment="1">
      <alignment horizontal="left"/>
      <protection/>
    </xf>
    <xf numFmtId="1" fontId="8" fillId="0" borderId="17" xfId="55" applyNumberFormat="1" applyFont="1" applyFill="1" applyBorder="1" applyAlignment="1">
      <alignment horizontal="center"/>
      <protection/>
    </xf>
    <xf numFmtId="1" fontId="8" fillId="0" borderId="17" xfId="55" applyNumberFormat="1" applyFont="1" applyFill="1" applyBorder="1" applyAlignment="1">
      <alignment horizontal="left"/>
      <protection/>
    </xf>
    <xf numFmtId="0" fontId="8" fillId="0" borderId="27" xfId="0" applyFont="1" applyFill="1" applyBorder="1" applyAlignment="1">
      <alignment/>
    </xf>
    <xf numFmtId="168" fontId="7" fillId="0" borderId="31" xfId="55" applyNumberFormat="1" applyFont="1" applyFill="1" applyBorder="1" applyAlignment="1">
      <alignment horizontal="right"/>
      <protection/>
    </xf>
    <xf numFmtId="168" fontId="7" fillId="0" borderId="18" xfId="5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8" fillId="0" borderId="11" xfId="51" applyNumberFormat="1" applyFont="1" applyFill="1" applyBorder="1" applyAlignment="1">
      <alignment horizontal="center"/>
      <protection/>
    </xf>
    <xf numFmtId="1" fontId="8" fillId="0" borderId="26" xfId="51" applyNumberFormat="1" applyFont="1" applyFill="1" applyBorder="1" applyAlignment="1">
      <alignment horizontal="left"/>
      <protection/>
    </xf>
    <xf numFmtId="1" fontId="8" fillId="0" borderId="27" xfId="51" applyNumberFormat="1" applyFont="1" applyFill="1" applyBorder="1" applyAlignment="1">
      <alignment horizontal="center"/>
      <protection/>
    </xf>
    <xf numFmtId="0" fontId="8" fillId="0" borderId="27" xfId="51" applyFont="1" applyFill="1" applyBorder="1" applyAlignment="1">
      <alignment/>
      <protection/>
    </xf>
    <xf numFmtId="0" fontId="8" fillId="0" borderId="27" xfId="51" applyFont="1" applyFill="1" applyBorder="1" applyAlignment="1">
      <alignment horizontal="left"/>
      <protection/>
    </xf>
    <xf numFmtId="168" fontId="7" fillId="0" borderId="28" xfId="55" applyNumberFormat="1" applyFont="1" applyFill="1" applyBorder="1" applyAlignment="1">
      <alignment horizontal="right"/>
      <protection/>
    </xf>
    <xf numFmtId="1" fontId="7" fillId="0" borderId="13" xfId="51" applyNumberFormat="1" applyFont="1" applyFill="1" applyBorder="1" applyAlignment="1">
      <alignment horizontal="left"/>
      <protection/>
    </xf>
    <xf numFmtId="1" fontId="8" fillId="0" borderId="11" xfId="57" applyNumberFormat="1" applyFont="1" applyFill="1" applyBorder="1" applyAlignment="1">
      <alignment horizontal="center"/>
      <protection/>
    </xf>
    <xf numFmtId="168" fontId="7" fillId="0" borderId="24" xfId="55" applyNumberFormat="1" applyFont="1" applyFill="1" applyBorder="1" applyAlignment="1">
      <alignment horizontal="right"/>
      <protection/>
    </xf>
    <xf numFmtId="168" fontId="8" fillId="0" borderId="28" xfId="51" applyNumberFormat="1" applyFont="1" applyFill="1" applyBorder="1" applyAlignment="1">
      <alignment horizontal="right"/>
      <protection/>
    </xf>
    <xf numFmtId="1" fontId="8" fillId="0" borderId="22" xfId="55" applyNumberFormat="1" applyFont="1" applyFill="1" applyBorder="1" applyAlignment="1">
      <alignment horizontal="left"/>
      <protection/>
    </xf>
    <xf numFmtId="0" fontId="8" fillId="0" borderId="22" xfId="0" applyFont="1" applyFill="1" applyBorder="1" applyAlignment="1">
      <alignment/>
    </xf>
    <xf numFmtId="178" fontId="8" fillId="0" borderId="11" xfId="51" applyNumberFormat="1" applyFont="1" applyFill="1" applyBorder="1" applyAlignment="1">
      <alignment horizontal="left"/>
      <protection/>
    </xf>
    <xf numFmtId="3" fontId="7" fillId="0" borderId="10" xfId="0" applyNumberFormat="1" applyFont="1" applyFill="1" applyBorder="1" applyAlignment="1">
      <alignment horizontal="right"/>
    </xf>
    <xf numFmtId="168" fontId="7" fillId="0" borderId="16" xfId="55" applyNumberFormat="1" applyFont="1" applyFill="1" applyBorder="1" applyAlignment="1">
      <alignment horizontal="right"/>
      <protection/>
    </xf>
    <xf numFmtId="0" fontId="2" fillId="0" borderId="0" xfId="57" applyFill="1">
      <alignment/>
      <protection/>
    </xf>
    <xf numFmtId="168" fontId="11" fillId="0" borderId="10" xfId="57" applyNumberFormat="1" applyFont="1" applyFill="1" applyBorder="1">
      <alignment/>
      <protection/>
    </xf>
    <xf numFmtId="168" fontId="11" fillId="0" borderId="16" xfId="57" applyNumberFormat="1" applyFont="1" applyFill="1" applyBorder="1">
      <alignment/>
      <protection/>
    </xf>
    <xf numFmtId="0" fontId="2" fillId="0" borderId="0" xfId="57" applyFill="1" applyAlignment="1">
      <alignment horizontal="left"/>
      <protection/>
    </xf>
    <xf numFmtId="0" fontId="2" fillId="0" borderId="0" xfId="57" applyFill="1" applyAlignment="1">
      <alignment horizontal="center"/>
      <protection/>
    </xf>
    <xf numFmtId="3" fontId="2" fillId="0" borderId="0" xfId="57" applyNumberFormat="1" applyFill="1">
      <alignment/>
      <protection/>
    </xf>
    <xf numFmtId="168" fontId="8" fillId="0" borderId="0" xfId="57" applyNumberFormat="1" applyFont="1" applyFill="1">
      <alignment/>
      <protection/>
    </xf>
    <xf numFmtId="1" fontId="7" fillId="0" borderId="19" xfId="55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1" fontId="8" fillId="0" borderId="14" xfId="51" applyNumberFormat="1" applyFont="1" applyFill="1" applyBorder="1" applyAlignment="1">
      <alignment horizontal="left"/>
      <protection/>
    </xf>
    <xf numFmtId="1" fontId="8" fillId="0" borderId="15" xfId="51" applyNumberFormat="1" applyFont="1" applyFill="1" applyBorder="1" applyAlignment="1">
      <alignment horizontal="center"/>
      <protection/>
    </xf>
    <xf numFmtId="0" fontId="8" fillId="0" borderId="15" xfId="51" applyFont="1" applyFill="1" applyBorder="1" applyAlignment="1">
      <alignment/>
      <protection/>
    </xf>
    <xf numFmtId="0" fontId="8" fillId="0" borderId="15" xfId="51" applyFont="1" applyFill="1" applyBorder="1" applyAlignment="1">
      <alignment horizontal="left"/>
      <protection/>
    </xf>
    <xf numFmtId="3" fontId="7" fillId="0" borderId="15" xfId="51" applyNumberFormat="1" applyFont="1" applyFill="1" applyBorder="1" applyAlignment="1">
      <alignment horizontal="right"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6" fillId="37" borderId="0" xfId="55" applyFont="1" applyFill="1" applyBorder="1">
      <alignment/>
      <protection/>
    </xf>
    <xf numFmtId="0" fontId="0" fillId="37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1" xfId="57" applyFont="1" applyFill="1" applyBorder="1" applyAlignment="1">
      <alignment horizontal="left"/>
      <protection/>
    </xf>
    <xf numFmtId="0" fontId="19" fillId="0" borderId="22" xfId="0" applyFont="1" applyFill="1" applyBorder="1" applyAlignment="1">
      <alignment horizontal="left"/>
    </xf>
    <xf numFmtId="0" fontId="8" fillId="0" borderId="11" xfId="54" applyFont="1" applyFill="1" applyBorder="1" applyAlignment="1">
      <alignment horizontal="left"/>
      <protection/>
    </xf>
    <xf numFmtId="0" fontId="8" fillId="0" borderId="11" xfId="57" applyFont="1" applyFill="1" applyBorder="1" applyAlignment="1">
      <alignment horizontal="left"/>
      <protection/>
    </xf>
    <xf numFmtId="0" fontId="19" fillId="0" borderId="11" xfId="57" applyFont="1" applyFill="1" applyBorder="1" applyAlignment="1">
      <alignment horizontal="center"/>
      <protection/>
    </xf>
    <xf numFmtId="0" fontId="8" fillId="0" borderId="34" xfId="51" applyFont="1" applyBorder="1">
      <alignment/>
      <protection/>
    </xf>
    <xf numFmtId="0" fontId="8" fillId="0" borderId="35" xfId="51" applyFont="1" applyBorder="1">
      <alignment/>
      <protection/>
    </xf>
    <xf numFmtId="0" fontId="8" fillId="0" borderId="1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7" fillId="0" borderId="36" xfId="57" applyNumberFormat="1" applyFont="1" applyFill="1" applyBorder="1">
      <alignment/>
      <protection/>
    </xf>
    <xf numFmtId="3" fontId="7" fillId="0" borderId="37" xfId="57" applyNumberFormat="1" applyFont="1" applyFill="1" applyBorder="1">
      <alignment/>
      <protection/>
    </xf>
    <xf numFmtId="3" fontId="8" fillId="0" borderId="11" xfId="55" applyNumberFormat="1" applyFont="1" applyBorder="1">
      <alignment/>
      <protection/>
    </xf>
    <xf numFmtId="3" fontId="14" fillId="33" borderId="11" xfId="0" applyNumberFormat="1" applyFont="1" applyFill="1" applyBorder="1" applyAlignment="1">
      <alignment/>
    </xf>
    <xf numFmtId="168" fontId="7" fillId="0" borderId="36" xfId="57" applyNumberFormat="1" applyFont="1" applyFill="1" applyBorder="1">
      <alignment/>
      <protection/>
    </xf>
    <xf numFmtId="168" fontId="8" fillId="0" borderId="11" xfId="57" applyNumberFormat="1" applyFont="1" applyFill="1" applyBorder="1">
      <alignment/>
      <protection/>
    </xf>
    <xf numFmtId="168" fontId="7" fillId="0" borderId="11" xfId="57" applyNumberFormat="1" applyFont="1" applyFill="1" applyBorder="1">
      <alignment/>
      <protection/>
    </xf>
    <xf numFmtId="168" fontId="4" fillId="0" borderId="17" xfId="57" applyNumberFormat="1" applyFont="1" applyBorder="1" applyAlignment="1">
      <alignment horizontal="center"/>
      <protection/>
    </xf>
    <xf numFmtId="168" fontId="7" fillId="0" borderId="22" xfId="57" applyNumberFormat="1" applyFont="1" applyFill="1" applyBorder="1">
      <alignment/>
      <protection/>
    </xf>
    <xf numFmtId="168" fontId="8" fillId="0" borderId="11" xfId="0" applyNumberFormat="1" applyFont="1" applyBorder="1" applyAlignment="1">
      <alignment/>
    </xf>
    <xf numFmtId="168" fontId="7" fillId="0" borderId="15" xfId="57" applyNumberFormat="1" applyFont="1" applyFill="1" applyBorder="1">
      <alignment/>
      <protection/>
    </xf>
    <xf numFmtId="168" fontId="4" fillId="0" borderId="31" xfId="57" applyNumberFormat="1" applyFont="1" applyBorder="1" applyAlignment="1">
      <alignment horizontal="center"/>
      <protection/>
    </xf>
    <xf numFmtId="0" fontId="7" fillId="0" borderId="13" xfId="50" applyFont="1" applyBorder="1" applyAlignment="1">
      <alignment horizontal="left"/>
      <protection/>
    </xf>
    <xf numFmtId="0" fontId="8" fillId="0" borderId="11" xfId="50" applyFont="1" applyBorder="1" applyAlignment="1">
      <alignment horizontal="center"/>
      <protection/>
    </xf>
    <xf numFmtId="0" fontId="8" fillId="0" borderId="11" xfId="50" applyFont="1" applyBorder="1" applyAlignment="1">
      <alignment horizontal="left"/>
      <protection/>
    </xf>
    <xf numFmtId="0" fontId="8" fillId="33" borderId="13" xfId="50" applyFont="1" applyFill="1" applyBorder="1" applyAlignment="1">
      <alignment horizontal="center"/>
      <protection/>
    </xf>
    <xf numFmtId="0" fontId="7" fillId="33" borderId="13" xfId="50" applyFont="1" applyFill="1" applyBorder="1" applyAlignment="1">
      <alignment horizontal="left"/>
      <protection/>
    </xf>
    <xf numFmtId="0" fontId="8" fillId="33" borderId="11" xfId="50" applyFont="1" applyFill="1" applyBorder="1" applyAlignment="1">
      <alignment horizontal="center"/>
      <protection/>
    </xf>
    <xf numFmtId="0" fontId="8" fillId="33" borderId="11" xfId="50" applyFont="1" applyFill="1" applyBorder="1" applyAlignment="1">
      <alignment horizontal="left"/>
      <protection/>
    </xf>
    <xf numFmtId="0" fontId="8" fillId="0" borderId="11" xfId="50" applyFont="1" applyBorder="1">
      <alignment/>
      <protection/>
    </xf>
    <xf numFmtId="0" fontId="7" fillId="0" borderId="13" xfId="50" applyFont="1" applyFill="1" applyBorder="1" applyAlignment="1">
      <alignment horizontal="left"/>
      <protection/>
    </xf>
    <xf numFmtId="0" fontId="8" fillId="0" borderId="11" xfId="50" applyFont="1" applyFill="1" applyBorder="1" applyAlignment="1">
      <alignment horizontal="center"/>
      <protection/>
    </xf>
    <xf numFmtId="0" fontId="8" fillId="0" borderId="11" xfId="50" applyFont="1" applyFill="1" applyBorder="1" applyAlignment="1">
      <alignment horizontal="left"/>
      <protection/>
    </xf>
    <xf numFmtId="0" fontId="8" fillId="0" borderId="13" xfId="50" applyFont="1" applyFill="1" applyBorder="1" applyAlignment="1">
      <alignment horizontal="center"/>
      <protection/>
    </xf>
    <xf numFmtId="0" fontId="8" fillId="0" borderId="12" xfId="50" applyFont="1" applyBorder="1">
      <alignment/>
      <protection/>
    </xf>
    <xf numFmtId="0" fontId="8" fillId="0" borderId="12" xfId="50" applyFont="1" applyFill="1" applyBorder="1" applyAlignment="1">
      <alignment horizontal="left"/>
      <protection/>
    </xf>
    <xf numFmtId="0" fontId="7" fillId="0" borderId="38" xfId="50" applyFont="1" applyBorder="1" applyAlignment="1">
      <alignment/>
      <protection/>
    </xf>
    <xf numFmtId="0" fontId="0" fillId="0" borderId="11" xfId="50" applyBorder="1" applyAlignment="1">
      <alignment/>
      <protection/>
    </xf>
    <xf numFmtId="0" fontId="8" fillId="0" borderId="13" xfId="50" applyFont="1" applyBorder="1" applyAlignment="1">
      <alignment horizontal="center"/>
      <protection/>
    </xf>
    <xf numFmtId="0" fontId="8" fillId="0" borderId="13" xfId="50" applyFont="1" applyBorder="1" applyAlignment="1">
      <alignment horizontal="center"/>
      <protection/>
    </xf>
    <xf numFmtId="0" fontId="8" fillId="0" borderId="11" xfId="50" applyFont="1" applyBorder="1" applyAlignment="1">
      <alignment horizontal="left"/>
      <protection/>
    </xf>
    <xf numFmtId="3" fontId="8" fillId="0" borderId="12" xfId="50" applyNumberFormat="1" applyFont="1" applyFill="1" applyBorder="1">
      <alignment/>
      <protection/>
    </xf>
    <xf numFmtId="3" fontId="7" fillId="0" borderId="35" xfId="57" applyNumberFormat="1" applyFont="1" applyFill="1" applyBorder="1">
      <alignment/>
      <protection/>
    </xf>
    <xf numFmtId="3" fontId="8" fillId="0" borderId="11" xfId="50" applyNumberFormat="1" applyFont="1" applyFill="1" applyBorder="1">
      <alignment/>
      <protection/>
    </xf>
    <xf numFmtId="168" fontId="7" fillId="0" borderId="12" xfId="0" applyNumberFormat="1" applyFont="1" applyFill="1" applyBorder="1" applyAlignment="1">
      <alignment/>
    </xf>
    <xf numFmtId="168" fontId="7" fillId="0" borderId="18" xfId="0" applyNumberFormat="1" applyFont="1" applyFill="1" applyBorder="1" applyAlignment="1">
      <alignment/>
    </xf>
    <xf numFmtId="168" fontId="8" fillId="0" borderId="12" xfId="57" applyNumberFormat="1" applyFont="1" applyFill="1" applyBorder="1">
      <alignment/>
      <protection/>
    </xf>
    <xf numFmtId="168" fontId="8" fillId="0" borderId="18" xfId="57" applyNumberFormat="1" applyFont="1" applyFill="1" applyBorder="1">
      <alignment/>
      <protection/>
    </xf>
    <xf numFmtId="168" fontId="8" fillId="0" borderId="12" xfId="0" applyNumberFormat="1" applyFont="1" applyFill="1" applyBorder="1" applyAlignment="1">
      <alignment/>
    </xf>
    <xf numFmtId="168" fontId="8" fillId="0" borderId="18" xfId="0" applyNumberFormat="1" applyFont="1" applyFill="1" applyBorder="1" applyAlignment="1">
      <alignment/>
    </xf>
    <xf numFmtId="168" fontId="7" fillId="0" borderId="18" xfId="0" applyNumberFormat="1" applyFont="1" applyBorder="1" applyAlignment="1">
      <alignment/>
    </xf>
    <xf numFmtId="168" fontId="8" fillId="0" borderId="23" xfId="57" applyNumberFormat="1" applyFont="1" applyFill="1" applyBorder="1">
      <alignment/>
      <protection/>
    </xf>
    <xf numFmtId="168" fontId="8" fillId="0" borderId="24" xfId="57" applyNumberFormat="1" applyFont="1" applyFill="1" applyBorder="1">
      <alignment/>
      <protection/>
    </xf>
    <xf numFmtId="0" fontId="7" fillId="0" borderId="25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3" fontId="7" fillId="0" borderId="23" xfId="57" applyNumberFormat="1" applyFont="1" applyFill="1" applyBorder="1">
      <alignment/>
      <protection/>
    </xf>
    <xf numFmtId="3" fontId="8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0" fontId="7" fillId="33" borderId="38" xfId="50" applyFont="1" applyFill="1" applyBorder="1" applyAlignment="1">
      <alignment horizontal="left"/>
      <protection/>
    </xf>
    <xf numFmtId="0" fontId="8" fillId="33" borderId="35" xfId="50" applyFont="1" applyFill="1" applyBorder="1" applyAlignment="1">
      <alignment horizontal="center"/>
      <protection/>
    </xf>
    <xf numFmtId="0" fontId="8" fillId="33" borderId="36" xfId="50" applyFont="1" applyFill="1" applyBorder="1" applyAlignment="1">
      <alignment horizontal="left"/>
      <protection/>
    </xf>
    <xf numFmtId="0" fontId="74" fillId="37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ill="1" applyAlignment="1">
      <alignment/>
    </xf>
    <xf numFmtId="3" fontId="7" fillId="38" borderId="0" xfId="57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1" fillId="0" borderId="13" xfId="56" applyFont="1" applyFill="1" applyBorder="1" applyAlignment="1">
      <alignment horizontal="left"/>
      <protection/>
    </xf>
    <xf numFmtId="0" fontId="19" fillId="0" borderId="12" xfId="57" applyFont="1" applyFill="1" applyBorder="1" applyAlignment="1">
      <alignment horizontal="left"/>
      <protection/>
    </xf>
    <xf numFmtId="3" fontId="8" fillId="0" borderId="11" xfId="57" applyNumberFormat="1" applyFont="1" applyFill="1" applyBorder="1" applyAlignment="1">
      <alignment horizontal="right"/>
      <protection/>
    </xf>
    <xf numFmtId="3" fontId="8" fillId="0" borderId="12" xfId="57" applyNumberFormat="1" applyFont="1" applyFill="1" applyBorder="1" applyAlignment="1">
      <alignment horizontal="right"/>
      <protection/>
    </xf>
    <xf numFmtId="3" fontId="8" fillId="0" borderId="13" xfId="57" applyNumberFormat="1" applyFont="1" applyFill="1" applyBorder="1" applyAlignment="1">
      <alignment horizontal="right"/>
      <protection/>
    </xf>
    <xf numFmtId="3" fontId="8" fillId="0" borderId="41" xfId="57" applyNumberFormat="1" applyFont="1" applyFill="1" applyBorder="1" applyAlignment="1">
      <alignment horizontal="right"/>
      <protection/>
    </xf>
    <xf numFmtId="0" fontId="19" fillId="0" borderId="13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left"/>
      <protection/>
    </xf>
    <xf numFmtId="168" fontId="8" fillId="0" borderId="41" xfId="57" applyNumberFormat="1" applyFont="1" applyFill="1" applyBorder="1" applyAlignment="1">
      <alignment horizontal="right"/>
      <protection/>
    </xf>
    <xf numFmtId="3" fontId="8" fillId="0" borderId="0" xfId="0" applyNumberFormat="1" applyFont="1" applyFill="1" applyAlignment="1">
      <alignment/>
    </xf>
    <xf numFmtId="0" fontId="20" fillId="0" borderId="13" xfId="56" applyFont="1" applyFill="1" applyBorder="1" applyAlignment="1">
      <alignment horizontal="left"/>
      <protection/>
    </xf>
    <xf numFmtId="0" fontId="20" fillId="0" borderId="11" xfId="56" applyFont="1" applyFill="1" applyBorder="1" applyAlignment="1">
      <alignment horizontal="left"/>
      <protection/>
    </xf>
    <xf numFmtId="0" fontId="20" fillId="0" borderId="11" xfId="57" applyFont="1" applyFill="1" applyBorder="1" applyAlignment="1">
      <alignment horizontal="left"/>
      <protection/>
    </xf>
    <xf numFmtId="0" fontId="20" fillId="0" borderId="12" xfId="57" applyFont="1" applyFill="1" applyBorder="1" applyAlignment="1">
      <alignment horizontal="left"/>
      <protection/>
    </xf>
    <xf numFmtId="3" fontId="7" fillId="0" borderId="11" xfId="56" applyNumberFormat="1" applyFont="1" applyFill="1" applyBorder="1" applyAlignment="1">
      <alignment/>
      <protection/>
    </xf>
    <xf numFmtId="3" fontId="7" fillId="0" borderId="13" xfId="56" applyNumberFormat="1" applyFont="1" applyFill="1" applyBorder="1" applyAlignment="1">
      <alignment/>
      <protection/>
    </xf>
    <xf numFmtId="168" fontId="7" fillId="0" borderId="41" xfId="56" applyNumberFormat="1" applyFont="1" applyFill="1" applyBorder="1" applyAlignment="1">
      <alignment/>
      <protection/>
    </xf>
    <xf numFmtId="3" fontId="7" fillId="0" borderId="12" xfId="56" applyNumberFormat="1" applyFont="1" applyFill="1" applyBorder="1" applyAlignment="1">
      <alignment/>
      <protection/>
    </xf>
    <xf numFmtId="0" fontId="19" fillId="0" borderId="11" xfId="56" applyFont="1" applyFill="1" applyBorder="1" applyAlignment="1">
      <alignment horizontal="left" shrinkToFit="1"/>
      <protection/>
    </xf>
    <xf numFmtId="0" fontId="19" fillId="0" borderId="12" xfId="56" applyFont="1" applyFill="1" applyBorder="1" applyAlignment="1">
      <alignment horizontal="left"/>
      <protection/>
    </xf>
    <xf numFmtId="0" fontId="20" fillId="0" borderId="12" xfId="56" applyFont="1" applyFill="1" applyBorder="1" applyAlignment="1">
      <alignment horizontal="left"/>
      <protection/>
    </xf>
    <xf numFmtId="0" fontId="19" fillId="0" borderId="11" xfId="0" applyFont="1" applyFill="1" applyBorder="1" applyAlignment="1">
      <alignment horizontal="left"/>
    </xf>
    <xf numFmtId="0" fontId="20" fillId="0" borderId="11" xfId="54" applyFont="1" applyFill="1" applyBorder="1" applyAlignment="1">
      <alignment horizontal="left"/>
      <protection/>
    </xf>
    <xf numFmtId="0" fontId="20" fillId="0" borderId="12" xfId="54" applyFont="1" applyFill="1" applyBorder="1" applyAlignment="1">
      <alignment horizontal="left"/>
      <protection/>
    </xf>
    <xf numFmtId="0" fontId="19" fillId="0" borderId="11" xfId="54" applyFont="1" applyFill="1" applyBorder="1" applyAlignment="1">
      <alignment horizontal="left"/>
      <protection/>
    </xf>
    <xf numFmtId="0" fontId="19" fillId="0" borderId="12" xfId="54" applyFont="1" applyFill="1" applyBorder="1" applyAlignment="1">
      <alignment horizontal="left"/>
      <protection/>
    </xf>
    <xf numFmtId="3" fontId="8" fillId="0" borderId="12" xfId="56" applyNumberFormat="1" applyFont="1" applyFill="1" applyBorder="1" applyAlignment="1">
      <alignment/>
      <protection/>
    </xf>
    <xf numFmtId="3" fontId="8" fillId="0" borderId="38" xfId="56" applyNumberFormat="1" applyFont="1" applyFill="1" applyBorder="1" applyAlignment="1">
      <alignment/>
      <protection/>
    </xf>
    <xf numFmtId="168" fontId="8" fillId="0" borderId="18" xfId="56" applyNumberFormat="1" applyFont="1" applyFill="1" applyBorder="1" applyAlignment="1">
      <alignment/>
      <protection/>
    </xf>
    <xf numFmtId="3" fontId="7" fillId="0" borderId="38" xfId="56" applyNumberFormat="1" applyFont="1" applyFill="1" applyBorder="1" applyAlignment="1">
      <alignment/>
      <protection/>
    </xf>
    <xf numFmtId="168" fontId="7" fillId="0" borderId="18" xfId="56" applyNumberFormat="1" applyFont="1" applyFill="1" applyBorder="1" applyAlignment="1">
      <alignment/>
      <protection/>
    </xf>
    <xf numFmtId="0" fontId="20" fillId="0" borderId="14" xfId="57" applyFont="1" applyFill="1" applyBorder="1" applyAlignment="1">
      <alignment horizontal="left"/>
      <protection/>
    </xf>
    <xf numFmtId="0" fontId="20" fillId="0" borderId="15" xfId="57" applyFont="1" applyFill="1" applyBorder="1" applyAlignment="1">
      <alignment horizontal="left"/>
      <protection/>
    </xf>
    <xf numFmtId="0" fontId="20" fillId="0" borderId="20" xfId="57" applyFont="1" applyFill="1" applyBorder="1" applyAlignment="1">
      <alignment horizontal="left"/>
      <protection/>
    </xf>
    <xf numFmtId="3" fontId="7" fillId="0" borderId="15" xfId="57" applyNumberFormat="1" applyFont="1" applyFill="1" applyBorder="1" applyAlignment="1">
      <alignment/>
      <protection/>
    </xf>
    <xf numFmtId="3" fontId="7" fillId="0" borderId="14" xfId="57" applyNumberFormat="1" applyFont="1" applyFill="1" applyBorder="1" applyAlignment="1">
      <alignment/>
      <protection/>
    </xf>
    <xf numFmtId="168" fontId="7" fillId="0" borderId="42" xfId="57" applyNumberFormat="1" applyFont="1" applyFill="1" applyBorder="1" applyAlignment="1">
      <alignment/>
      <protection/>
    </xf>
    <xf numFmtId="0" fontId="20" fillId="0" borderId="43" xfId="52" applyFont="1" applyFill="1" applyBorder="1" applyAlignment="1">
      <alignment horizontal="left"/>
      <protection/>
    </xf>
    <xf numFmtId="0" fontId="20" fillId="0" borderId="37" xfId="52" applyFont="1" applyFill="1" applyBorder="1" applyAlignment="1">
      <alignment horizontal="left"/>
      <protection/>
    </xf>
    <xf numFmtId="0" fontId="20" fillId="0" borderId="37" xfId="52" applyFont="1" applyFill="1" applyBorder="1" applyAlignment="1">
      <alignment horizontal="left" wrapText="1"/>
      <protection/>
    </xf>
    <xf numFmtId="0" fontId="20" fillId="0" borderId="44" xfId="52" applyFont="1" applyFill="1" applyBorder="1" applyAlignment="1">
      <alignment horizontal="left" wrapText="1"/>
      <protection/>
    </xf>
    <xf numFmtId="3" fontId="7" fillId="0" borderId="37" xfId="52" applyNumberFormat="1" applyFont="1" applyFill="1" applyBorder="1" applyAlignment="1">
      <alignment/>
      <protection/>
    </xf>
    <xf numFmtId="3" fontId="7" fillId="0" borderId="44" xfId="52" applyNumberFormat="1" applyFont="1" applyFill="1" applyBorder="1" applyAlignment="1">
      <alignment/>
      <protection/>
    </xf>
    <xf numFmtId="3" fontId="7" fillId="0" borderId="43" xfId="52" applyNumberFormat="1" applyFont="1" applyFill="1" applyBorder="1" applyAlignment="1">
      <alignment/>
      <protection/>
    </xf>
    <xf numFmtId="168" fontId="7" fillId="0" borderId="45" xfId="52" applyNumberFormat="1" applyFont="1" applyFill="1" applyBorder="1" applyAlignment="1">
      <alignment/>
      <protection/>
    </xf>
    <xf numFmtId="0" fontId="21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46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68" fontId="8" fillId="0" borderId="47" xfId="0" applyNumberFormat="1" applyFont="1" applyFill="1" applyBorder="1" applyAlignment="1">
      <alignment horizontal="center"/>
    </xf>
    <xf numFmtId="0" fontId="19" fillId="0" borderId="13" xfId="57" applyFont="1" applyFill="1" applyBorder="1" applyAlignment="1">
      <alignment horizontal="left"/>
      <protection/>
    </xf>
    <xf numFmtId="0" fontId="19" fillId="0" borderId="11" xfId="53" applyFont="1" applyFill="1" applyBorder="1">
      <alignment/>
      <protection/>
    </xf>
    <xf numFmtId="0" fontId="19" fillId="0" borderId="11" xfId="52" applyFont="1" applyFill="1" applyBorder="1" applyAlignment="1">
      <alignment horizontal="left" wrapText="1"/>
      <protection/>
    </xf>
    <xf numFmtId="0" fontId="19" fillId="0" borderId="46" xfId="0" applyFont="1" applyFill="1" applyBorder="1" applyAlignment="1">
      <alignment horizontal="left"/>
    </xf>
    <xf numFmtId="0" fontId="20" fillId="0" borderId="13" xfId="57" applyFont="1" applyFill="1" applyBorder="1" applyAlignment="1">
      <alignment horizontal="left"/>
      <protection/>
    </xf>
    <xf numFmtId="3" fontId="7" fillId="0" borderId="26" xfId="0" applyNumberFormat="1" applyFont="1" applyFill="1" applyBorder="1" applyAlignment="1">
      <alignment horizontal="right"/>
    </xf>
    <xf numFmtId="168" fontId="7" fillId="0" borderId="4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7" fillId="0" borderId="13" xfId="57" applyNumberFormat="1" applyFont="1" applyFill="1" applyBorder="1" applyAlignment="1">
      <alignment horizontal="right"/>
      <protection/>
    </xf>
    <xf numFmtId="168" fontId="7" fillId="0" borderId="41" xfId="57" applyNumberFormat="1" applyFont="1" applyFill="1" applyBorder="1" applyAlignment="1">
      <alignment horizontal="right"/>
      <protection/>
    </xf>
    <xf numFmtId="0" fontId="20" fillId="0" borderId="4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168" fontId="7" fillId="0" borderId="4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3" fontId="7" fillId="0" borderId="11" xfId="56" applyNumberFormat="1" applyFont="1" applyFill="1" applyBorder="1" applyAlignment="1">
      <alignment horizontal="center"/>
      <protection/>
    </xf>
    <xf numFmtId="3" fontId="7" fillId="0" borderId="12" xfId="56" applyNumberFormat="1" applyFont="1" applyFill="1" applyBorder="1" applyAlignment="1">
      <alignment horizontal="center"/>
      <protection/>
    </xf>
    <xf numFmtId="3" fontId="7" fillId="0" borderId="13" xfId="56" applyNumberFormat="1" applyFont="1" applyFill="1" applyBorder="1" applyAlignment="1">
      <alignment horizontal="center"/>
      <protection/>
    </xf>
    <xf numFmtId="168" fontId="7" fillId="0" borderId="41" xfId="56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3" fontId="7" fillId="0" borderId="13" xfId="57" applyNumberFormat="1" applyFont="1" applyFill="1" applyBorder="1" applyAlignment="1">
      <alignment/>
      <protection/>
    </xf>
    <xf numFmtId="168" fontId="7" fillId="0" borderId="41" xfId="57" applyNumberFormat="1" applyFont="1" applyFill="1" applyBorder="1" applyAlignment="1">
      <alignment/>
      <protection/>
    </xf>
    <xf numFmtId="3" fontId="8" fillId="0" borderId="11" xfId="56" applyNumberFormat="1" applyFont="1" applyFill="1" applyBorder="1" applyAlignment="1">
      <alignment/>
      <protection/>
    </xf>
    <xf numFmtId="3" fontId="8" fillId="0" borderId="12" xfId="56" applyNumberFormat="1" applyFont="1" applyFill="1" applyBorder="1" applyAlignment="1">
      <alignment/>
      <protection/>
    </xf>
    <xf numFmtId="3" fontId="8" fillId="0" borderId="13" xfId="57" applyNumberFormat="1" applyFont="1" applyFill="1" applyBorder="1" applyAlignment="1">
      <alignment/>
      <protection/>
    </xf>
    <xf numFmtId="168" fontId="8" fillId="0" borderId="41" xfId="57" applyNumberFormat="1" applyFont="1" applyFill="1" applyBorder="1" applyAlignment="1">
      <alignment/>
      <protection/>
    </xf>
    <xf numFmtId="3" fontId="7" fillId="0" borderId="11" xfId="56" applyNumberFormat="1" applyFont="1" applyFill="1" applyBorder="1" applyAlignment="1">
      <alignment/>
      <protection/>
    </xf>
    <xf numFmtId="0" fontId="19" fillId="0" borderId="12" xfId="0" applyFont="1" applyFill="1" applyBorder="1" applyAlignment="1">
      <alignment horizontal="left"/>
    </xf>
    <xf numFmtId="0" fontId="19" fillId="0" borderId="12" xfId="52" applyFont="1" applyFill="1" applyBorder="1" applyAlignment="1">
      <alignment horizontal="left" wrapText="1"/>
      <protection/>
    </xf>
    <xf numFmtId="0" fontId="20" fillId="0" borderId="11" xfId="52" applyFont="1" applyFill="1" applyBorder="1" applyAlignment="1">
      <alignment horizontal="left" wrapText="1"/>
      <protection/>
    </xf>
    <xf numFmtId="0" fontId="20" fillId="0" borderId="12" xfId="52" applyFont="1" applyFill="1" applyBorder="1" applyAlignment="1">
      <alignment horizontal="left" wrapText="1"/>
      <protection/>
    </xf>
    <xf numFmtId="0" fontId="19" fillId="0" borderId="25" xfId="57" applyFont="1" applyFill="1" applyBorder="1" applyAlignment="1">
      <alignment horizontal="left"/>
      <protection/>
    </xf>
    <xf numFmtId="0" fontId="19" fillId="0" borderId="22" xfId="57" applyFont="1" applyFill="1" applyBorder="1" applyAlignment="1">
      <alignment horizontal="left"/>
      <protection/>
    </xf>
    <xf numFmtId="0" fontId="20" fillId="0" borderId="23" xfId="52" applyFont="1" applyFill="1" applyBorder="1" applyAlignment="1">
      <alignment horizontal="left" wrapText="1"/>
      <protection/>
    </xf>
    <xf numFmtId="3" fontId="7" fillId="0" borderId="22" xfId="56" applyNumberFormat="1" applyFont="1" applyFill="1" applyBorder="1" applyAlignment="1">
      <alignment/>
      <protection/>
    </xf>
    <xf numFmtId="3" fontId="8" fillId="0" borderId="22" xfId="56" applyNumberFormat="1" applyFont="1" applyFill="1" applyBorder="1" applyAlignment="1">
      <alignment/>
      <protection/>
    </xf>
    <xf numFmtId="0" fontId="20" fillId="0" borderId="22" xfId="57" applyFont="1" applyFill="1" applyBorder="1" applyAlignment="1">
      <alignment horizontal="left"/>
      <protection/>
    </xf>
    <xf numFmtId="3" fontId="7" fillId="0" borderId="22" xfId="56" applyNumberFormat="1" applyFont="1" applyFill="1" applyBorder="1" applyAlignment="1">
      <alignment/>
      <protection/>
    </xf>
    <xf numFmtId="3" fontId="7" fillId="0" borderId="25" xfId="57" applyNumberFormat="1" applyFont="1" applyFill="1" applyBorder="1" applyAlignment="1">
      <alignment/>
      <protection/>
    </xf>
    <xf numFmtId="168" fontId="7" fillId="0" borderId="49" xfId="57" applyNumberFormat="1" applyFont="1" applyFill="1" applyBorder="1" applyAlignment="1">
      <alignment/>
      <protection/>
    </xf>
    <xf numFmtId="3" fontId="7" fillId="0" borderId="15" xfId="57" applyNumberFormat="1" applyFont="1" applyFill="1" applyBorder="1" applyAlignment="1">
      <alignment/>
      <protection/>
    </xf>
    <xf numFmtId="3" fontId="7" fillId="0" borderId="14" xfId="57" applyNumberFormat="1" applyFont="1" applyFill="1" applyBorder="1" applyAlignment="1">
      <alignment/>
      <protection/>
    </xf>
    <xf numFmtId="168" fontId="7" fillId="0" borderId="42" xfId="57" applyNumberFormat="1" applyFont="1" applyFill="1" applyBorder="1" applyAlignment="1">
      <alignment/>
      <protection/>
    </xf>
    <xf numFmtId="0" fontId="20" fillId="0" borderId="43" xfId="57" applyFont="1" applyFill="1" applyBorder="1" applyAlignment="1">
      <alignment horizontal="left"/>
      <protection/>
    </xf>
    <xf numFmtId="0" fontId="20" fillId="0" borderId="37" xfId="57" applyFont="1" applyFill="1" applyBorder="1" applyAlignment="1">
      <alignment horizontal="left"/>
      <protection/>
    </xf>
    <xf numFmtId="0" fontId="20" fillId="0" borderId="44" xfId="57" applyFont="1" applyFill="1" applyBorder="1" applyAlignment="1">
      <alignment horizontal="left"/>
      <protection/>
    </xf>
    <xf numFmtId="3" fontId="7" fillId="0" borderId="37" xfId="57" applyNumberFormat="1" applyFont="1" applyFill="1" applyBorder="1" applyAlignment="1">
      <alignment/>
      <protection/>
    </xf>
    <xf numFmtId="3" fontId="7" fillId="0" borderId="44" xfId="57" applyNumberFormat="1" applyFont="1" applyFill="1" applyBorder="1" applyAlignment="1">
      <alignment/>
      <protection/>
    </xf>
    <xf numFmtId="3" fontId="7" fillId="0" borderId="43" xfId="57" applyNumberFormat="1" applyFont="1" applyFill="1" applyBorder="1" applyAlignment="1">
      <alignment/>
      <protection/>
    </xf>
    <xf numFmtId="168" fontId="7" fillId="0" borderId="45" xfId="57" applyNumberFormat="1" applyFont="1" applyFill="1" applyBorder="1" applyAlignment="1">
      <alignment/>
      <protection/>
    </xf>
    <xf numFmtId="3" fontId="7" fillId="0" borderId="11" xfId="57" applyNumberFormat="1" applyFont="1" applyFill="1" applyBorder="1" applyAlignment="1">
      <alignment horizontal="right"/>
      <protection/>
    </xf>
    <xf numFmtId="3" fontId="7" fillId="0" borderId="12" xfId="57" applyNumberFormat="1" applyFont="1" applyFill="1" applyBorder="1" applyAlignment="1">
      <alignment horizontal="right"/>
      <protection/>
    </xf>
    <xf numFmtId="0" fontId="19" fillId="0" borderId="23" xfId="57" applyFont="1" applyFill="1" applyBorder="1" applyAlignment="1">
      <alignment horizontal="left"/>
      <protection/>
    </xf>
    <xf numFmtId="0" fontId="20" fillId="0" borderId="23" xfId="57" applyFont="1" applyFill="1" applyBorder="1" applyAlignment="1">
      <alignment horizontal="left"/>
      <protection/>
    </xf>
    <xf numFmtId="0" fontId="20" fillId="0" borderId="13" xfId="52" applyFont="1" applyFill="1" applyBorder="1" applyAlignment="1">
      <alignment horizontal="left"/>
      <protection/>
    </xf>
    <xf numFmtId="0" fontId="20" fillId="0" borderId="11" xfId="52" applyFont="1" applyFill="1" applyBorder="1" applyAlignment="1">
      <alignment horizontal="left"/>
      <protection/>
    </xf>
    <xf numFmtId="3" fontId="7" fillId="0" borderId="11" xfId="52" applyNumberFormat="1" applyFont="1" applyFill="1" applyBorder="1" applyAlignment="1">
      <alignment/>
      <protection/>
    </xf>
    <xf numFmtId="3" fontId="7" fillId="0" borderId="12" xfId="52" applyNumberFormat="1" applyFont="1" applyFill="1" applyBorder="1" applyAlignment="1">
      <alignment/>
      <protection/>
    </xf>
    <xf numFmtId="3" fontId="7" fillId="0" borderId="13" xfId="52" applyNumberFormat="1" applyFont="1" applyFill="1" applyBorder="1" applyAlignment="1">
      <alignment/>
      <protection/>
    </xf>
    <xf numFmtId="168" fontId="7" fillId="0" borderId="41" xfId="52" applyNumberFormat="1" applyFont="1" applyFill="1" applyBorder="1" applyAlignment="1">
      <alignment/>
      <protection/>
    </xf>
    <xf numFmtId="3" fontId="8" fillId="0" borderId="11" xfId="54" applyNumberFormat="1" applyFont="1" applyFill="1" applyBorder="1">
      <alignment/>
      <protection/>
    </xf>
    <xf numFmtId="3" fontId="8" fillId="0" borderId="12" xfId="54" applyNumberFormat="1" applyFont="1" applyFill="1" applyBorder="1">
      <alignment/>
      <protection/>
    </xf>
    <xf numFmtId="3" fontId="8" fillId="0" borderId="13" xfId="54" applyNumberFormat="1" applyFont="1" applyFill="1" applyBorder="1">
      <alignment/>
      <protection/>
    </xf>
    <xf numFmtId="168" fontId="8" fillId="0" borderId="41" xfId="54" applyNumberFormat="1" applyFont="1" applyFill="1" applyBorder="1">
      <alignment/>
      <protection/>
    </xf>
    <xf numFmtId="3" fontId="7" fillId="0" borderId="13" xfId="57" applyNumberFormat="1" applyFont="1" applyFill="1" applyBorder="1" applyAlignment="1">
      <alignment/>
      <protection/>
    </xf>
    <xf numFmtId="168" fontId="7" fillId="0" borderId="41" xfId="57" applyNumberFormat="1" applyFont="1" applyFill="1" applyBorder="1" applyAlignment="1">
      <alignment/>
      <protection/>
    </xf>
    <xf numFmtId="0" fontId="20" fillId="0" borderId="26" xfId="52" applyFont="1" applyFill="1" applyBorder="1" applyAlignment="1">
      <alignment horizontal="left"/>
      <protection/>
    </xf>
    <xf numFmtId="0" fontId="20" fillId="0" borderId="27" xfId="52" applyFont="1" applyFill="1" applyBorder="1" applyAlignment="1">
      <alignment horizontal="left"/>
      <protection/>
    </xf>
    <xf numFmtId="0" fontId="20" fillId="0" borderId="27" xfId="52" applyFont="1" applyFill="1" applyBorder="1" applyAlignment="1">
      <alignment horizontal="left" wrapText="1"/>
      <protection/>
    </xf>
    <xf numFmtId="0" fontId="20" fillId="0" borderId="46" xfId="52" applyFont="1" applyFill="1" applyBorder="1" applyAlignment="1">
      <alignment horizontal="left" wrapText="1"/>
      <protection/>
    </xf>
    <xf numFmtId="0" fontId="21" fillId="0" borderId="13" xfId="54" applyFont="1" applyFill="1" applyBorder="1" applyAlignment="1">
      <alignment horizontal="left"/>
      <protection/>
    </xf>
    <xf numFmtId="3" fontId="7" fillId="0" borderId="11" xfId="57" applyNumberFormat="1" applyFont="1" applyFill="1" applyBorder="1" applyAlignment="1">
      <alignment horizontal="right"/>
      <protection/>
    </xf>
    <xf numFmtId="3" fontId="7" fillId="0" borderId="12" xfId="57" applyNumberFormat="1" applyFont="1" applyFill="1" applyBorder="1" applyAlignment="1">
      <alignment horizontal="right"/>
      <protection/>
    </xf>
    <xf numFmtId="3" fontId="7" fillId="0" borderId="13" xfId="57" applyNumberFormat="1" applyFont="1" applyFill="1" applyBorder="1" applyAlignment="1">
      <alignment horizontal="right"/>
      <protection/>
    </xf>
    <xf numFmtId="168" fontId="7" fillId="0" borderId="41" xfId="57" applyNumberFormat="1" applyFont="1" applyFill="1" applyBorder="1" applyAlignment="1">
      <alignment horizontal="right"/>
      <protection/>
    </xf>
    <xf numFmtId="3" fontId="8" fillId="0" borderId="11" xfId="56" applyNumberFormat="1" applyFont="1" applyFill="1" applyBorder="1" applyAlignment="1">
      <alignment/>
      <protection/>
    </xf>
    <xf numFmtId="0" fontId="19" fillId="0" borderId="13" xfId="54" applyFont="1" applyFill="1" applyBorder="1" applyAlignment="1">
      <alignment horizontal="left"/>
      <protection/>
    </xf>
    <xf numFmtId="0" fontId="20" fillId="0" borderId="13" xfId="54" applyFont="1" applyFill="1" applyBorder="1" applyAlignment="1">
      <alignment horizontal="left"/>
      <protection/>
    </xf>
    <xf numFmtId="3" fontId="7" fillId="0" borderId="13" xfId="0" applyNumberFormat="1" applyFont="1" applyFill="1" applyBorder="1" applyAlignment="1">
      <alignment/>
    </xf>
    <xf numFmtId="168" fontId="7" fillId="0" borderId="41" xfId="0" applyNumberFormat="1" applyFont="1" applyFill="1" applyBorder="1" applyAlignment="1">
      <alignment/>
    </xf>
    <xf numFmtId="0" fontId="19" fillId="0" borderId="11" xfId="52" applyFont="1" applyFill="1" applyBorder="1" applyAlignment="1">
      <alignment horizontal="left"/>
      <protection/>
    </xf>
    <xf numFmtId="0" fontId="21" fillId="0" borderId="13" xfId="57" applyFont="1" applyFill="1" applyBorder="1" applyAlignment="1">
      <alignment horizontal="left"/>
      <protection/>
    </xf>
    <xf numFmtId="0" fontId="19" fillId="0" borderId="13" xfId="59" applyFont="1" applyFill="1" applyBorder="1" applyAlignment="1">
      <alignment horizontal="left"/>
      <protection/>
    </xf>
    <xf numFmtId="0" fontId="19" fillId="0" borderId="11" xfId="59" applyFont="1" applyFill="1" applyBorder="1" applyAlignment="1">
      <alignment horizontal="left"/>
      <protection/>
    </xf>
    <xf numFmtId="0" fontId="19" fillId="0" borderId="11" xfId="59" applyFont="1" applyFill="1" applyBorder="1">
      <alignment/>
      <protection/>
    </xf>
    <xf numFmtId="0" fontId="19" fillId="0" borderId="12" xfId="59" applyFont="1" applyFill="1" applyBorder="1">
      <alignment/>
      <protection/>
    </xf>
    <xf numFmtId="0" fontId="20" fillId="0" borderId="11" xfId="59" applyFont="1" applyFill="1" applyBorder="1" applyAlignment="1">
      <alignment horizontal="left"/>
      <protection/>
    </xf>
    <xf numFmtId="0" fontId="20" fillId="0" borderId="12" xfId="59" applyFont="1" applyFill="1" applyBorder="1" applyAlignment="1">
      <alignment horizontal="left"/>
      <protection/>
    </xf>
    <xf numFmtId="3" fontId="7" fillId="0" borderId="11" xfId="57" applyNumberFormat="1" applyFont="1" applyFill="1" applyBorder="1" applyAlignment="1">
      <alignment/>
      <protection/>
    </xf>
    <xf numFmtId="3" fontId="7" fillId="0" borderId="12" xfId="57" applyNumberFormat="1" applyFont="1" applyFill="1" applyBorder="1" applyAlignment="1">
      <alignment/>
      <protection/>
    </xf>
    <xf numFmtId="3" fontId="8" fillId="0" borderId="11" xfId="60" applyNumberFormat="1" applyFont="1" applyFill="1" applyBorder="1">
      <alignment/>
      <protection/>
    </xf>
    <xf numFmtId="3" fontId="8" fillId="0" borderId="12" xfId="60" applyNumberFormat="1" applyFont="1" applyFill="1" applyBorder="1">
      <alignment/>
      <protection/>
    </xf>
    <xf numFmtId="3" fontId="8" fillId="0" borderId="13" xfId="60" applyNumberFormat="1" applyFont="1" applyFill="1" applyBorder="1">
      <alignment/>
      <protection/>
    </xf>
    <xf numFmtId="168" fontId="8" fillId="0" borderId="41" xfId="60" applyNumberFormat="1" applyFont="1" applyFill="1" applyBorder="1">
      <alignment/>
      <protection/>
    </xf>
    <xf numFmtId="0" fontId="19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/>
    </xf>
    <xf numFmtId="168" fontId="8" fillId="0" borderId="41" xfId="0" applyNumberFormat="1" applyFont="1" applyFill="1" applyBorder="1" applyAlignment="1">
      <alignment/>
    </xf>
    <xf numFmtId="0" fontId="19" fillId="0" borderId="34" xfId="51" applyFont="1" applyFill="1" applyBorder="1">
      <alignment/>
      <protection/>
    </xf>
    <xf numFmtId="0" fontId="19" fillId="0" borderId="12" xfId="0" applyFont="1" applyFill="1" applyBorder="1" applyAlignment="1">
      <alignment horizontal="left" wrapText="1"/>
    </xf>
    <xf numFmtId="3" fontId="7" fillId="0" borderId="13" xfId="0" applyNumberFormat="1" applyFont="1" applyFill="1" applyBorder="1" applyAlignment="1">
      <alignment/>
    </xf>
    <xf numFmtId="168" fontId="7" fillId="0" borderId="41" xfId="0" applyNumberFormat="1" applyFont="1" applyFill="1" applyBorder="1" applyAlignment="1">
      <alignment/>
    </xf>
    <xf numFmtId="0" fontId="20" fillId="0" borderId="43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0" fillId="0" borderId="44" xfId="0" applyFont="1" applyFill="1" applyBorder="1" applyAlignment="1">
      <alignment horizontal="left"/>
    </xf>
    <xf numFmtId="3" fontId="7" fillId="0" borderId="37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168" fontId="7" fillId="0" borderId="45" xfId="0" applyNumberFormat="1" applyFont="1" applyFill="1" applyBorder="1" applyAlignment="1">
      <alignment/>
    </xf>
    <xf numFmtId="0" fontId="21" fillId="0" borderId="13" xfId="57" applyNumberFormat="1" applyFont="1" applyFill="1" applyBorder="1" applyAlignment="1">
      <alignment horizontal="left"/>
      <protection/>
    </xf>
    <xf numFmtId="0" fontId="20" fillId="0" borderId="22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1" xfId="54" applyNumberFormat="1" applyFont="1" applyFill="1" applyBorder="1" applyAlignment="1">
      <alignment horizontal="right"/>
      <protection/>
    </xf>
    <xf numFmtId="3" fontId="8" fillId="0" borderId="12" xfId="54" applyNumberFormat="1" applyFont="1" applyFill="1" applyBorder="1" applyAlignment="1">
      <alignment horizontal="right"/>
      <protection/>
    </xf>
    <xf numFmtId="3" fontId="8" fillId="0" borderId="13" xfId="54" applyNumberFormat="1" applyFont="1" applyFill="1" applyBorder="1" applyAlignment="1">
      <alignment horizontal="right"/>
      <protection/>
    </xf>
    <xf numFmtId="168" fontId="8" fillId="0" borderId="41" xfId="54" applyNumberFormat="1" applyFont="1" applyFill="1" applyBorder="1" applyAlignment="1">
      <alignment horizontal="right"/>
      <protection/>
    </xf>
    <xf numFmtId="3" fontId="7" fillId="0" borderId="11" xfId="54" applyNumberFormat="1" applyFont="1" applyFill="1" applyBorder="1" applyAlignment="1">
      <alignment horizontal="right"/>
      <protection/>
    </xf>
    <xf numFmtId="3" fontId="8" fillId="0" borderId="11" xfId="54" applyNumberFormat="1" applyFont="1" applyFill="1" applyBorder="1" applyAlignment="1">
      <alignment horizontal="right"/>
      <protection/>
    </xf>
    <xf numFmtId="3" fontId="8" fillId="0" borderId="12" xfId="54" applyNumberFormat="1" applyFont="1" applyFill="1" applyBorder="1" applyAlignment="1">
      <alignment horizontal="right"/>
      <protection/>
    </xf>
    <xf numFmtId="3" fontId="7" fillId="0" borderId="13" xfId="54" applyNumberFormat="1" applyFont="1" applyFill="1" applyBorder="1" applyAlignment="1">
      <alignment horizontal="right"/>
      <protection/>
    </xf>
    <xf numFmtId="168" fontId="7" fillId="0" borderId="41" xfId="54" applyNumberFormat="1" applyFont="1" applyFill="1" applyBorder="1" applyAlignment="1">
      <alignment horizontal="right"/>
      <protection/>
    </xf>
    <xf numFmtId="168" fontId="8" fillId="0" borderId="41" xfId="54" applyNumberFormat="1" applyFont="1" applyFill="1" applyBorder="1" applyAlignment="1">
      <alignment horizontal="right"/>
      <protection/>
    </xf>
    <xf numFmtId="0" fontId="23" fillId="0" borderId="11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3" fontId="8" fillId="0" borderId="22" xfId="56" applyNumberFormat="1" applyFont="1" applyFill="1" applyBorder="1" applyAlignment="1">
      <alignment/>
      <protection/>
    </xf>
    <xf numFmtId="3" fontId="8" fillId="0" borderId="11" xfId="58" applyNumberFormat="1" applyFont="1" applyFill="1" applyBorder="1" applyAlignment="1">
      <alignment horizontal="right"/>
      <protection/>
    </xf>
    <xf numFmtId="3" fontId="8" fillId="0" borderId="12" xfId="58" applyNumberFormat="1" applyFont="1" applyFill="1" applyBorder="1" applyAlignment="1">
      <alignment horizontal="right"/>
      <protection/>
    </xf>
    <xf numFmtId="3" fontId="8" fillId="0" borderId="13" xfId="58" applyNumberFormat="1" applyFont="1" applyFill="1" applyBorder="1" applyAlignment="1">
      <alignment horizontal="right"/>
      <protection/>
    </xf>
    <xf numFmtId="168" fontId="8" fillId="0" borderId="41" xfId="58" applyNumberFormat="1" applyFont="1" applyFill="1" applyBorder="1" applyAlignment="1">
      <alignment horizontal="right"/>
      <protection/>
    </xf>
    <xf numFmtId="0" fontId="20" fillId="0" borderId="3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68" fontId="7" fillId="0" borderId="49" xfId="0" applyNumberFormat="1" applyFont="1" applyFill="1" applyBorder="1" applyAlignment="1">
      <alignment horizontal="center"/>
    </xf>
    <xf numFmtId="0" fontId="21" fillId="0" borderId="13" xfId="52" applyFont="1" applyFill="1" applyBorder="1" applyAlignment="1">
      <alignment horizontal="left"/>
      <protection/>
    </xf>
    <xf numFmtId="0" fontId="21" fillId="0" borderId="11" xfId="52" applyFont="1" applyFill="1" applyBorder="1" applyAlignment="1">
      <alignment horizontal="left"/>
      <protection/>
    </xf>
    <xf numFmtId="0" fontId="19" fillId="0" borderId="13" xfId="52" applyFont="1" applyFill="1" applyBorder="1" applyAlignment="1">
      <alignment horizontal="left"/>
      <protection/>
    </xf>
    <xf numFmtId="3" fontId="24" fillId="0" borderId="11" xfId="0" applyNumberFormat="1" applyFont="1" applyFill="1" applyBorder="1" applyAlignment="1">
      <alignment/>
    </xf>
    <xf numFmtId="168" fontId="24" fillId="0" borderId="41" xfId="0" applyNumberFormat="1" applyFont="1" applyFill="1" applyBorder="1" applyAlignment="1">
      <alignment/>
    </xf>
    <xf numFmtId="3" fontId="8" fillId="0" borderId="11" xfId="57" applyNumberFormat="1" applyFont="1" applyFill="1" applyBorder="1" applyAlignment="1">
      <alignment horizontal="right"/>
      <protection/>
    </xf>
    <xf numFmtId="3" fontId="8" fillId="0" borderId="12" xfId="57" applyNumberFormat="1" applyFont="1" applyFill="1" applyBorder="1" applyAlignment="1">
      <alignment horizontal="right"/>
      <protection/>
    </xf>
    <xf numFmtId="0" fontId="19" fillId="0" borderId="11" xfId="57" applyFont="1" applyFill="1" applyBorder="1" applyAlignment="1">
      <alignment horizontal="left" wrapText="1"/>
      <protection/>
    </xf>
    <xf numFmtId="0" fontId="19" fillId="0" borderId="12" xfId="57" applyFont="1" applyFill="1" applyBorder="1" applyAlignment="1">
      <alignment horizontal="left" wrapText="1"/>
      <protection/>
    </xf>
    <xf numFmtId="0" fontId="20" fillId="0" borderId="11" xfId="57" applyFont="1" applyFill="1" applyBorder="1" applyAlignment="1">
      <alignment horizontal="left" wrapText="1"/>
      <protection/>
    </xf>
    <xf numFmtId="0" fontId="20" fillId="0" borderId="12" xfId="57" applyFont="1" applyFill="1" applyBorder="1" applyAlignment="1">
      <alignment horizontal="left" wrapText="1"/>
      <protection/>
    </xf>
    <xf numFmtId="0" fontId="20" fillId="0" borderId="25" xfId="57" applyFont="1" applyFill="1" applyBorder="1" applyAlignment="1">
      <alignment horizontal="left"/>
      <protection/>
    </xf>
    <xf numFmtId="3" fontId="7" fillId="0" borderId="22" xfId="57" applyNumberFormat="1" applyFont="1" applyFill="1" applyBorder="1" applyAlignment="1">
      <alignment/>
      <protection/>
    </xf>
    <xf numFmtId="3" fontId="7" fillId="0" borderId="23" xfId="57" applyNumberFormat="1" applyFont="1" applyFill="1" applyBorder="1" applyAlignment="1">
      <alignment/>
      <protection/>
    </xf>
    <xf numFmtId="3" fontId="7" fillId="0" borderId="25" xfId="57" applyNumberFormat="1" applyFont="1" applyFill="1" applyBorder="1" applyAlignment="1">
      <alignment/>
      <protection/>
    </xf>
    <xf numFmtId="168" fontId="7" fillId="0" borderId="49" xfId="57" applyNumberFormat="1" applyFont="1" applyFill="1" applyBorder="1" applyAlignment="1">
      <alignment/>
      <protection/>
    </xf>
    <xf numFmtId="3" fontId="8" fillId="0" borderId="13" xfId="57" applyNumberFormat="1" applyFont="1" applyFill="1" applyBorder="1" applyAlignment="1">
      <alignment/>
      <protection/>
    </xf>
    <xf numFmtId="168" fontId="8" fillId="0" borderId="41" xfId="57" applyNumberFormat="1" applyFont="1" applyFill="1" applyBorder="1" applyAlignment="1">
      <alignment/>
      <protection/>
    </xf>
    <xf numFmtId="0" fontId="16" fillId="0" borderId="12" xfId="57" applyFont="1" applyFill="1" applyBorder="1" applyAlignment="1">
      <alignment horizontal="left"/>
      <protection/>
    </xf>
    <xf numFmtId="168" fontId="8" fillId="0" borderId="41" xfId="57" applyNumberFormat="1" applyFont="1" applyFill="1" applyBorder="1" applyAlignment="1">
      <alignment horizontal="right"/>
      <protection/>
    </xf>
    <xf numFmtId="0" fontId="19" fillId="0" borderId="23" xfId="52" applyFont="1" applyFill="1" applyBorder="1" applyAlignment="1">
      <alignment horizontal="left" wrapText="1"/>
      <protection/>
    </xf>
    <xf numFmtId="3" fontId="8" fillId="0" borderId="13" xfId="52" applyNumberFormat="1" applyFont="1" applyFill="1" applyBorder="1" applyAlignment="1">
      <alignment/>
      <protection/>
    </xf>
    <xf numFmtId="168" fontId="8" fillId="0" borderId="41" xfId="52" applyNumberFormat="1" applyFont="1" applyFill="1" applyBorder="1" applyAlignment="1">
      <alignment/>
      <protection/>
    </xf>
    <xf numFmtId="1" fontId="19" fillId="0" borderId="11" xfId="0" applyNumberFormat="1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left"/>
    </xf>
    <xf numFmtId="1" fontId="20" fillId="0" borderId="11" xfId="0" applyNumberFormat="1" applyFont="1" applyFill="1" applyBorder="1" applyAlignment="1">
      <alignment horizontal="left"/>
    </xf>
    <xf numFmtId="3" fontId="7" fillId="0" borderId="13" xfId="54" applyNumberFormat="1" applyFont="1" applyFill="1" applyBorder="1" applyAlignment="1">
      <alignment horizontal="right"/>
      <protection/>
    </xf>
    <xf numFmtId="168" fontId="7" fillId="0" borderId="41" xfId="54" applyNumberFormat="1" applyFont="1" applyFill="1" applyBorder="1" applyAlignment="1">
      <alignment horizontal="right"/>
      <protection/>
    </xf>
    <xf numFmtId="3" fontId="25" fillId="0" borderId="13" xfId="0" applyNumberFormat="1" applyFont="1" applyFill="1" applyBorder="1" applyAlignment="1">
      <alignment/>
    </xf>
    <xf numFmtId="168" fontId="25" fillId="0" borderId="41" xfId="0" applyNumberFormat="1" applyFont="1" applyFill="1" applyBorder="1" applyAlignment="1">
      <alignment/>
    </xf>
    <xf numFmtId="0" fontId="19" fillId="0" borderId="12" xfId="57" applyFont="1" applyFill="1" applyBorder="1" applyAlignment="1">
      <alignment horizontal="left" shrinkToFit="1"/>
      <protection/>
    </xf>
    <xf numFmtId="0" fontId="19" fillId="0" borderId="11" xfId="0" applyFont="1" applyFill="1" applyBorder="1" applyAlignment="1">
      <alignment/>
    </xf>
    <xf numFmtId="3" fontId="7" fillId="0" borderId="13" xfId="54" applyNumberFormat="1" applyFont="1" applyFill="1" applyBorder="1" applyAlignment="1">
      <alignment/>
      <protection/>
    </xf>
    <xf numFmtId="168" fontId="7" fillId="0" borderId="41" xfId="54" applyNumberFormat="1" applyFont="1" applyFill="1" applyBorder="1" applyAlignment="1">
      <alignment/>
      <protection/>
    </xf>
    <xf numFmtId="3" fontId="8" fillId="0" borderId="13" xfId="54" applyNumberFormat="1" applyFont="1" applyFill="1" applyBorder="1" applyAlignment="1">
      <alignment/>
      <protection/>
    </xf>
    <xf numFmtId="168" fontId="8" fillId="0" borderId="41" xfId="54" applyNumberFormat="1" applyFont="1" applyFill="1" applyBorder="1" applyAlignment="1">
      <alignment/>
      <protection/>
    </xf>
    <xf numFmtId="0" fontId="19" fillId="0" borderId="27" xfId="54" applyFont="1" applyFill="1" applyBorder="1" applyAlignment="1">
      <alignment horizontal="left"/>
      <protection/>
    </xf>
    <xf numFmtId="0" fontId="19" fillId="0" borderId="46" xfId="54" applyFont="1" applyFill="1" applyBorder="1" applyAlignment="1">
      <alignment horizontal="left"/>
      <protection/>
    </xf>
    <xf numFmtId="0" fontId="20" fillId="0" borderId="26" xfId="54" applyFont="1" applyFill="1" applyBorder="1" applyAlignment="1">
      <alignment horizontal="left"/>
      <protection/>
    </xf>
    <xf numFmtId="0" fontId="20" fillId="0" borderId="27" xfId="54" applyFont="1" applyFill="1" applyBorder="1" applyAlignment="1">
      <alignment horizontal="left"/>
      <protection/>
    </xf>
    <xf numFmtId="0" fontId="20" fillId="0" borderId="46" xfId="54" applyFont="1" applyFill="1" applyBorder="1" applyAlignment="1">
      <alignment horizontal="left"/>
      <protection/>
    </xf>
    <xf numFmtId="3" fontId="7" fillId="0" borderId="15" xfId="56" applyNumberFormat="1" applyFont="1" applyFill="1" applyBorder="1" applyAlignment="1">
      <alignment/>
      <protection/>
    </xf>
    <xf numFmtId="3" fontId="7" fillId="0" borderId="37" xfId="54" applyNumberFormat="1" applyFont="1" applyFill="1" applyBorder="1" applyAlignment="1">
      <alignment/>
      <protection/>
    </xf>
    <xf numFmtId="3" fontId="7" fillId="0" borderId="44" xfId="54" applyNumberFormat="1" applyFont="1" applyFill="1" applyBorder="1" applyAlignment="1">
      <alignment/>
      <protection/>
    </xf>
    <xf numFmtId="3" fontId="7" fillId="0" borderId="43" xfId="54" applyNumberFormat="1" applyFont="1" applyFill="1" applyBorder="1" applyAlignment="1">
      <alignment/>
      <protection/>
    </xf>
    <xf numFmtId="168" fontId="7" fillId="0" borderId="45" xfId="54" applyNumberFormat="1" applyFont="1" applyFill="1" applyBorder="1" applyAlignment="1">
      <alignment/>
      <protection/>
    </xf>
    <xf numFmtId="0" fontId="19" fillId="0" borderId="13" xfId="57" applyFont="1" applyFill="1" applyBorder="1" applyAlignment="1">
      <alignment horizontal="left" vertical="center"/>
      <protection/>
    </xf>
    <xf numFmtId="0" fontId="19" fillId="0" borderId="11" xfId="57" applyFont="1" applyFill="1" applyBorder="1" applyAlignment="1">
      <alignment horizontal="left" vertical="center"/>
      <protection/>
    </xf>
    <xf numFmtId="0" fontId="20" fillId="0" borderId="13" xfId="57" applyFont="1" applyFill="1" applyBorder="1" applyAlignment="1">
      <alignment horizontal="left"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3" fontId="7" fillId="0" borderId="13" xfId="57" applyNumberFormat="1" applyFont="1" applyFill="1" applyBorder="1" applyAlignment="1">
      <alignment vertical="center"/>
      <protection/>
    </xf>
    <xf numFmtId="168" fontId="7" fillId="0" borderId="41" xfId="57" applyNumberFormat="1" applyFont="1" applyFill="1" applyBorder="1" applyAlignment="1">
      <alignment vertical="center"/>
      <protection/>
    </xf>
    <xf numFmtId="3" fontId="8" fillId="0" borderId="11" xfId="57" applyNumberFormat="1" applyFont="1" applyFill="1" applyBorder="1" applyAlignment="1">
      <alignment horizontal="right" vertical="center"/>
      <protection/>
    </xf>
    <xf numFmtId="3" fontId="8" fillId="0" borderId="12" xfId="57" applyNumberFormat="1" applyFont="1" applyFill="1" applyBorder="1" applyAlignment="1">
      <alignment horizontal="right" vertical="center"/>
      <protection/>
    </xf>
    <xf numFmtId="3" fontId="8" fillId="0" borderId="13" xfId="57" applyNumberFormat="1" applyFont="1" applyFill="1" applyBorder="1" applyAlignment="1">
      <alignment horizontal="right" vertical="center"/>
      <protection/>
    </xf>
    <xf numFmtId="168" fontId="8" fillId="0" borderId="41" xfId="57" applyNumberFormat="1" applyFont="1" applyFill="1" applyBorder="1" applyAlignment="1">
      <alignment horizontal="right" vertical="center"/>
      <protection/>
    </xf>
    <xf numFmtId="3" fontId="7" fillId="0" borderId="20" xfId="57" applyNumberFormat="1" applyFont="1" applyFill="1" applyBorder="1" applyAlignment="1">
      <alignment/>
      <protection/>
    </xf>
    <xf numFmtId="0" fontId="21" fillId="0" borderId="11" xfId="57" applyFont="1" applyFill="1" applyBorder="1" applyAlignment="1">
      <alignment horizontal="left"/>
      <protection/>
    </xf>
    <xf numFmtId="0" fontId="20" fillId="0" borderId="11" xfId="57" applyFont="1" applyFill="1" applyBorder="1" applyAlignment="1">
      <alignment horizontal="left" shrinkToFit="1"/>
      <protection/>
    </xf>
    <xf numFmtId="0" fontId="19" fillId="0" borderId="22" xfId="52" applyFont="1" applyFill="1" applyBorder="1" applyAlignment="1">
      <alignment horizontal="left"/>
      <protection/>
    </xf>
    <xf numFmtId="0" fontId="20" fillId="0" borderId="51" xfId="57" applyFont="1" applyFill="1" applyBorder="1" applyAlignment="1">
      <alignment horizontal="left"/>
      <protection/>
    </xf>
    <xf numFmtId="0" fontId="20" fillId="0" borderId="32" xfId="57" applyFont="1" applyFill="1" applyBorder="1" applyAlignment="1">
      <alignment horizontal="left"/>
      <protection/>
    </xf>
    <xf numFmtId="0" fontId="20" fillId="0" borderId="52" xfId="57" applyFont="1" applyFill="1" applyBorder="1" applyAlignment="1">
      <alignment horizontal="left"/>
      <protection/>
    </xf>
    <xf numFmtId="3" fontId="7" fillId="0" borderId="32" xfId="57" applyNumberFormat="1" applyFont="1" applyFill="1" applyBorder="1" applyAlignment="1">
      <alignment/>
      <protection/>
    </xf>
    <xf numFmtId="168" fontId="7" fillId="0" borderId="52" xfId="57" applyNumberFormat="1" applyFont="1" applyFill="1" applyBorder="1" applyAlignment="1">
      <alignment/>
      <protection/>
    </xf>
    <xf numFmtId="3" fontId="7" fillId="0" borderId="51" xfId="57" applyNumberFormat="1" applyFont="1" applyFill="1" applyBorder="1" applyAlignment="1">
      <alignment/>
      <protection/>
    </xf>
    <xf numFmtId="168" fontId="7" fillId="0" borderId="53" xfId="57" applyNumberFormat="1" applyFont="1" applyFill="1" applyBorder="1" applyAlignment="1">
      <alignment/>
      <protection/>
    </xf>
    <xf numFmtId="0" fontId="20" fillId="0" borderId="54" xfId="57" applyFont="1" applyFill="1" applyBorder="1" applyAlignment="1">
      <alignment horizontal="left"/>
      <protection/>
    </xf>
    <xf numFmtId="0" fontId="20" fillId="0" borderId="55" xfId="57" applyFont="1" applyFill="1" applyBorder="1" applyAlignment="1">
      <alignment horizontal="left"/>
      <protection/>
    </xf>
    <xf numFmtId="0" fontId="20" fillId="0" borderId="56" xfId="57" applyFont="1" applyFill="1" applyBorder="1" applyAlignment="1">
      <alignment horizontal="left"/>
      <protection/>
    </xf>
    <xf numFmtId="3" fontId="7" fillId="0" borderId="27" xfId="52" applyNumberFormat="1" applyFont="1" applyFill="1" applyBorder="1" applyAlignment="1">
      <alignment/>
      <protection/>
    </xf>
    <xf numFmtId="3" fontId="7" fillId="0" borderId="46" xfId="52" applyNumberFormat="1" applyFont="1" applyFill="1" applyBorder="1" applyAlignment="1">
      <alignment/>
      <protection/>
    </xf>
    <xf numFmtId="3" fontId="7" fillId="0" borderId="54" xfId="57" applyNumberFormat="1" applyFont="1" applyFill="1" applyBorder="1" applyAlignment="1">
      <alignment/>
      <protection/>
    </xf>
    <xf numFmtId="168" fontId="7" fillId="0" borderId="57" xfId="57" applyNumberFormat="1" applyFont="1" applyFill="1" applyBorder="1" applyAlignment="1">
      <alignment/>
      <protection/>
    </xf>
    <xf numFmtId="0" fontId="20" fillId="0" borderId="58" xfId="57" applyFont="1" applyFill="1" applyBorder="1" applyAlignment="1">
      <alignment horizontal="left"/>
      <protection/>
    </xf>
    <xf numFmtId="0" fontId="20" fillId="0" borderId="59" xfId="57" applyFont="1" applyFill="1" applyBorder="1" applyAlignment="1">
      <alignment horizontal="left"/>
      <protection/>
    </xf>
    <xf numFmtId="3" fontId="7" fillId="0" borderId="10" xfId="57" applyNumberFormat="1" applyFont="1" applyFill="1" applyBorder="1" applyAlignment="1">
      <alignment/>
      <protection/>
    </xf>
    <xf numFmtId="3" fontId="7" fillId="0" borderId="39" xfId="57" applyNumberFormat="1" applyFont="1" applyFill="1" applyBorder="1" applyAlignment="1">
      <alignment/>
      <protection/>
    </xf>
    <xf numFmtId="3" fontId="7" fillId="0" borderId="19" xfId="57" applyNumberFormat="1" applyFont="1" applyFill="1" applyBorder="1" applyAlignment="1">
      <alignment/>
      <protection/>
    </xf>
    <xf numFmtId="168" fontId="7" fillId="0" borderId="40" xfId="57" applyNumberFormat="1" applyFont="1" applyFill="1" applyBorder="1" applyAlignment="1">
      <alignment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4" fillId="0" borderId="60" xfId="57" applyFont="1" applyFill="1" applyBorder="1" applyAlignment="1">
      <alignment horizontal="left"/>
      <protection/>
    </xf>
    <xf numFmtId="0" fontId="4" fillId="0" borderId="61" xfId="57" applyFont="1" applyFill="1" applyBorder="1" applyAlignment="1">
      <alignment horizontal="left"/>
      <protection/>
    </xf>
    <xf numFmtId="0" fontId="4" fillId="0" borderId="62" xfId="57" applyFont="1" applyFill="1" applyBorder="1" applyAlignment="1">
      <alignment horizontal="left"/>
      <protection/>
    </xf>
    <xf numFmtId="0" fontId="20" fillId="0" borderId="12" xfId="57" applyFont="1" applyFill="1" applyBorder="1" applyAlignment="1">
      <alignment horizontal="left"/>
      <protection/>
    </xf>
    <xf numFmtId="0" fontId="20" fillId="0" borderId="36" xfId="57" applyFont="1" applyFill="1" applyBorder="1" applyAlignment="1">
      <alignment horizontal="left"/>
      <protection/>
    </xf>
    <xf numFmtId="0" fontId="20" fillId="0" borderId="12" xfId="0" applyFont="1" applyFill="1" applyBorder="1" applyAlignment="1">
      <alignment horizontal="left"/>
    </xf>
    <xf numFmtId="0" fontId="20" fillId="0" borderId="36" xfId="0" applyFont="1" applyFill="1" applyBorder="1" applyAlignment="1">
      <alignment horizontal="left"/>
    </xf>
    <xf numFmtId="0" fontId="21" fillId="0" borderId="13" xfId="52" applyFont="1" applyFill="1" applyBorder="1" applyAlignment="1">
      <alignment horizontal="left"/>
      <protection/>
    </xf>
    <xf numFmtId="0" fontId="21" fillId="0" borderId="11" xfId="52" applyFont="1" applyFill="1" applyBorder="1" applyAlignment="1">
      <alignment horizontal="left"/>
      <protection/>
    </xf>
    <xf numFmtId="0" fontId="7" fillId="0" borderId="38" xfId="50" applyFont="1" applyFill="1" applyBorder="1" applyAlignment="1">
      <alignment horizontal="left"/>
      <protection/>
    </xf>
    <xf numFmtId="0" fontId="0" fillId="0" borderId="35" xfId="50" applyBorder="1" applyAlignment="1">
      <alignment/>
      <protection/>
    </xf>
    <xf numFmtId="0" fontId="0" fillId="0" borderId="36" xfId="50" applyBorder="1" applyAlignment="1">
      <alignment/>
      <protection/>
    </xf>
    <xf numFmtId="0" fontId="75" fillId="0" borderId="0" xfId="0" applyFont="1" applyFill="1" applyAlignment="1" applyProtection="1">
      <alignment/>
      <protection/>
    </xf>
    <xf numFmtId="0" fontId="75" fillId="0" borderId="0" xfId="0" applyFont="1" applyFill="1" applyAlignment="1">
      <alignment/>
    </xf>
    <xf numFmtId="0" fontId="76" fillId="0" borderId="0" xfId="0" applyFont="1" applyFill="1" applyAlignment="1" applyProtection="1">
      <alignment horizontal="center"/>
      <protection/>
    </xf>
    <xf numFmtId="0" fontId="75" fillId="0" borderId="0" xfId="0" applyFont="1" applyFill="1" applyAlignment="1" applyProtection="1">
      <alignment horizontal="center" vertical="center"/>
      <protection/>
    </xf>
    <xf numFmtId="49" fontId="46" fillId="39" borderId="11" xfId="0" applyNumberFormat="1" applyFont="1" applyFill="1" applyBorder="1" applyAlignment="1">
      <alignment horizontal="center" vertical="center"/>
    </xf>
    <xf numFmtId="0" fontId="46" fillId="40" borderId="11" xfId="0" applyFont="1" applyFill="1" applyBorder="1" applyAlignment="1">
      <alignment horizontal="center" vertical="center"/>
    </xf>
    <xf numFmtId="0" fontId="46" fillId="41" borderId="11" xfId="0" applyFont="1" applyFill="1" applyBorder="1" applyAlignment="1">
      <alignment horizontal="center" vertical="center" wrapText="1"/>
    </xf>
    <xf numFmtId="0" fontId="46" fillId="42" borderId="11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0" fontId="76" fillId="0" borderId="0" xfId="0" applyFont="1" applyFill="1" applyAlignment="1" applyProtection="1">
      <alignment horizontal="center" vertical="center" wrapText="1"/>
      <protection/>
    </xf>
    <xf numFmtId="1" fontId="76" fillId="0" borderId="0" xfId="0" applyNumberFormat="1" applyFont="1" applyFill="1" applyAlignment="1" applyProtection="1">
      <alignment horizontal="center" vertical="center" wrapText="1"/>
      <protection/>
    </xf>
    <xf numFmtId="1" fontId="75" fillId="0" borderId="0" xfId="0" applyNumberFormat="1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 locked="0"/>
    </xf>
    <xf numFmtId="0" fontId="75" fillId="0" borderId="63" xfId="0" applyFont="1" applyFill="1" applyBorder="1" applyAlignment="1" applyProtection="1">
      <alignment/>
      <protection/>
    </xf>
    <xf numFmtId="49" fontId="46" fillId="0" borderId="11" xfId="0" applyNumberFormat="1" applyFont="1" applyFill="1" applyBorder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 horizontal="left"/>
      <protection locked="0"/>
    </xf>
    <xf numFmtId="0" fontId="46" fillId="0" borderId="11" xfId="0" applyFont="1" applyFill="1" applyBorder="1" applyAlignment="1" applyProtection="1">
      <alignment horizontal="left" vertical="center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3" fontId="46" fillId="0" borderId="11" xfId="0" applyNumberFormat="1" applyFont="1" applyFill="1" applyBorder="1" applyAlignment="1" applyProtection="1">
      <alignment vertical="center" wrapText="1"/>
      <protection locked="0"/>
    </xf>
    <xf numFmtId="3" fontId="46" fillId="0" borderId="11" xfId="0" applyNumberFormat="1" applyFont="1" applyFill="1" applyBorder="1" applyAlignment="1" applyProtection="1">
      <alignment vertical="center" shrinkToFit="1"/>
      <protection locked="0"/>
    </xf>
    <xf numFmtId="3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75" fillId="0" borderId="11" xfId="63" applyNumberFormat="1" applyFont="1" applyFill="1" applyBorder="1" applyAlignment="1" applyProtection="1">
      <alignment/>
      <protection/>
    </xf>
    <xf numFmtId="3" fontId="77" fillId="0" borderId="11" xfId="0" applyNumberFormat="1" applyFont="1" applyFill="1" applyBorder="1" applyAlignment="1" applyProtection="1">
      <alignment horizontal="right" vertical="center"/>
      <protection locked="0"/>
    </xf>
    <xf numFmtId="0" fontId="46" fillId="0" borderId="11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3" fontId="76" fillId="0" borderId="0" xfId="0" applyNumberFormat="1" applyFont="1" applyFill="1" applyAlignment="1" applyProtection="1">
      <alignment/>
      <protection/>
    </xf>
    <xf numFmtId="0" fontId="76" fillId="0" borderId="0" xfId="0" applyFont="1" applyFill="1" applyAlignment="1" applyProtection="1">
      <alignment/>
      <protection/>
    </xf>
    <xf numFmtId="1" fontId="76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1" fontId="78" fillId="0" borderId="0" xfId="0" applyNumberFormat="1" applyFont="1" applyFill="1" applyAlignment="1" applyProtection="1">
      <alignment/>
      <protection/>
    </xf>
    <xf numFmtId="0" fontId="46" fillId="0" borderId="11" xfId="0" applyFont="1" applyFill="1" applyBorder="1" applyAlignment="1" applyProtection="1">
      <alignment horizontal="left" vertical="center" shrinkToFit="1"/>
      <protection locked="0"/>
    </xf>
    <xf numFmtId="49" fontId="49" fillId="0" borderId="11" xfId="0" applyNumberFormat="1" applyFont="1" applyFill="1" applyBorder="1" applyAlignment="1" applyProtection="1">
      <alignment horizontal="left"/>
      <protection locked="0"/>
    </xf>
    <xf numFmtId="49" fontId="46" fillId="0" borderId="11" xfId="0" applyNumberFormat="1" applyFont="1" applyFill="1" applyBorder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center"/>
      <protection locked="0"/>
    </xf>
    <xf numFmtId="3" fontId="46" fillId="0" borderId="11" xfId="0" applyNumberFormat="1" applyFont="1" applyFill="1" applyBorder="1" applyAlignment="1" applyProtection="1">
      <alignment/>
      <protection locked="0"/>
    </xf>
    <xf numFmtId="3" fontId="46" fillId="0" borderId="11" xfId="0" applyNumberFormat="1" applyFont="1" applyFill="1" applyBorder="1" applyAlignment="1" applyProtection="1">
      <alignment horizontal="right"/>
      <protection locked="0"/>
    </xf>
    <xf numFmtId="3" fontId="77" fillId="0" borderId="11" xfId="0" applyNumberFormat="1" applyFont="1" applyFill="1" applyBorder="1" applyAlignment="1" applyProtection="1">
      <alignment horizontal="right"/>
      <protection locked="0"/>
    </xf>
    <xf numFmtId="49" fontId="46" fillId="0" borderId="11" xfId="0" applyNumberFormat="1" applyFont="1" applyFill="1" applyBorder="1" applyAlignment="1" applyProtection="1">
      <alignment horizontal="left"/>
      <protection locked="0"/>
    </xf>
    <xf numFmtId="3" fontId="46" fillId="0" borderId="11" xfId="0" applyNumberFormat="1" applyFont="1" applyFill="1" applyBorder="1" applyAlignment="1" applyProtection="1">
      <alignment shrinkToFit="1"/>
      <protection locked="0"/>
    </xf>
    <xf numFmtId="0" fontId="46" fillId="0" borderId="11" xfId="0" applyNumberFormat="1" applyFont="1" applyFill="1" applyBorder="1" applyAlignment="1" applyProtection="1">
      <alignment horizontal="left"/>
      <protection locked="0"/>
    </xf>
    <xf numFmtId="0" fontId="49" fillId="0" borderId="11" xfId="0" applyFont="1" applyFill="1" applyBorder="1" applyAlignment="1" applyProtection="1">
      <alignment horizontal="left"/>
      <protection locked="0"/>
    </xf>
    <xf numFmtId="0" fontId="46" fillId="0" borderId="11" xfId="0" applyNumberFormat="1" applyFont="1" applyFill="1" applyBorder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right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9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3" fontId="46" fillId="0" borderId="11" xfId="0" applyNumberFormat="1" applyFont="1" applyFill="1" applyBorder="1" applyAlignment="1" applyProtection="1">
      <alignment horizontal="left"/>
      <protection locked="0"/>
    </xf>
    <xf numFmtId="0" fontId="46" fillId="0" borderId="11" xfId="0" applyFont="1" applyFill="1" applyBorder="1" applyAlignment="1" applyProtection="1">
      <alignment horizontal="left" shrinkToFit="1"/>
      <protection locked="0"/>
    </xf>
    <xf numFmtId="0" fontId="75" fillId="0" borderId="11" xfId="0" applyFont="1" applyFill="1" applyBorder="1" applyAlignment="1" applyProtection="1">
      <alignment/>
      <protection locked="0"/>
    </xf>
    <xf numFmtId="3" fontId="46" fillId="43" borderId="11" xfId="0" applyNumberFormat="1" applyFont="1" applyFill="1" applyBorder="1" applyAlignment="1" applyProtection="1">
      <alignment/>
      <protection locked="0"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1" xfId="0" applyFont="1" applyFill="1" applyBorder="1" applyAlignment="1" applyProtection="1">
      <alignment horizontal="left"/>
      <protection/>
    </xf>
    <xf numFmtId="0" fontId="46" fillId="0" borderId="11" xfId="0" applyFont="1" applyFill="1" applyBorder="1" applyAlignment="1" applyProtection="1">
      <alignment horizontal="left" vertic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 horizontal="left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/>
      <protection locked="0"/>
    </xf>
    <xf numFmtId="3" fontId="77" fillId="0" borderId="11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3" fontId="46" fillId="0" borderId="0" xfId="0" applyNumberFormat="1" applyFont="1" applyFill="1" applyBorder="1" applyAlignment="1" applyProtection="1">
      <alignment/>
      <protection locked="0"/>
    </xf>
    <xf numFmtId="3" fontId="46" fillId="0" borderId="0" xfId="0" applyNumberFormat="1" applyFont="1" applyFill="1" applyBorder="1" applyAlignment="1" applyProtection="1">
      <alignment horizontal="right"/>
      <protection locked="0"/>
    </xf>
    <xf numFmtId="3" fontId="77" fillId="0" borderId="0" xfId="0" applyNumberFormat="1" applyFont="1" applyFill="1" applyBorder="1" applyAlignment="1" applyProtection="1">
      <alignment horizontal="right"/>
      <protection locked="0"/>
    </xf>
    <xf numFmtId="49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right"/>
    </xf>
    <xf numFmtId="166" fontId="46" fillId="0" borderId="0" xfId="63" applyNumberFormat="1" applyFont="1" applyFill="1" applyBorder="1" applyAlignment="1" applyProtection="1">
      <alignment horizontal="right"/>
      <protection/>
    </xf>
    <xf numFmtId="3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/>
      <protection/>
    </xf>
    <xf numFmtId="49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right"/>
    </xf>
    <xf numFmtId="166" fontId="46" fillId="0" borderId="0" xfId="63" applyNumberFormat="1" applyFont="1" applyFill="1" applyAlignment="1" applyProtection="1">
      <alignment horizontal="right"/>
      <protection/>
    </xf>
    <xf numFmtId="1" fontId="46" fillId="0" borderId="0" xfId="0" applyNumberFormat="1" applyFont="1" applyFill="1" applyAlignment="1" applyProtection="1">
      <alignment/>
      <protection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166" fontId="75" fillId="0" borderId="0" xfId="63" applyNumberFormat="1" applyFont="1" applyFill="1" applyAlignment="1" applyProtection="1">
      <alignment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3" fontId="46" fillId="0" borderId="0" xfId="0" applyNumberFormat="1" applyFont="1" applyFill="1" applyAlignment="1">
      <alignment/>
    </xf>
    <xf numFmtId="166" fontId="46" fillId="0" borderId="0" xfId="63" applyNumberFormat="1" applyFont="1" applyFill="1" applyAlignment="1">
      <alignment/>
    </xf>
    <xf numFmtId="3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66" fontId="78" fillId="0" borderId="0" xfId="63" applyNumberFormat="1" applyFont="1" applyFill="1" applyAlignment="1" applyProtection="1">
      <alignment/>
      <protection/>
    </xf>
    <xf numFmtId="0" fontId="78" fillId="0" borderId="0" xfId="0" applyFont="1" applyFill="1" applyBorder="1" applyAlignment="1">
      <alignment/>
    </xf>
    <xf numFmtId="166" fontId="78" fillId="0" borderId="0" xfId="63" applyNumberFormat="1" applyFont="1" applyFill="1" applyBorder="1" applyAlignment="1" applyProtection="1">
      <alignment/>
      <protection/>
    </xf>
    <xf numFmtId="3" fontId="78" fillId="0" borderId="0" xfId="0" applyNumberFormat="1" applyFont="1" applyFill="1" applyBorder="1" applyAlignment="1">
      <alignment/>
    </xf>
    <xf numFmtId="0" fontId="49" fillId="44" borderId="11" xfId="0" applyFont="1" applyFill="1" applyBorder="1" applyAlignment="1">
      <alignment horizontal="left" vertical="center"/>
    </xf>
    <xf numFmtId="3" fontId="49" fillId="45" borderId="11" xfId="0" applyNumberFormat="1" applyFont="1" applyFill="1" applyBorder="1" applyAlignment="1">
      <alignment horizontal="right" vertical="center"/>
    </xf>
    <xf numFmtId="166" fontId="49" fillId="46" borderId="11" xfId="63" applyNumberFormat="1" applyFont="1" applyFill="1" applyBorder="1" applyAlignment="1">
      <alignment horizontal="right" vertical="center"/>
    </xf>
  </cellXfs>
  <cellStyles count="64">
    <cellStyle name="Normal" xfId="0"/>
    <cellStyle name="_Příjmy 2001-tab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_x0001_n" xfId="42"/>
    <cellStyle name="Nadpis 1" xfId="43"/>
    <cellStyle name="Nadpis 2" xfId="44"/>
    <cellStyle name="Nadpis 3" xfId="45"/>
    <cellStyle name="Nadpis 4" xfId="46"/>
    <cellStyle name="Název" xfId="47"/>
    <cellStyle name="Nedefinován" xfId="48"/>
    <cellStyle name="Neutrální" xfId="49"/>
    <cellStyle name="normální 2" xfId="50"/>
    <cellStyle name="normální_Archiv- příjmy" xfId="51"/>
    <cellStyle name="normální_Kunovská-Plnění rozpočtu příjmů a výdajů v.m.06-2002" xfId="52"/>
    <cellStyle name="normální_Perka 13-závěr" xfId="53"/>
    <cellStyle name="normální_Plnění PV" xfId="54"/>
    <cellStyle name="normální_Příjmy 2001-tab" xfId="55"/>
    <cellStyle name="normální_Výdaje" xfId="56"/>
    <cellStyle name="normální_Výdaje 2001-tab" xfId="57"/>
    <cellStyle name="normální_Výdaje provoz 2000" xfId="58"/>
    <cellStyle name="normální_Vydaje1_ OŽP -konečná verze" xfId="59"/>
    <cellStyle name="normální_Výdaje-2 etapa-vokurková" xfId="60"/>
    <cellStyle name="Followed Hyperlink" xfId="61"/>
    <cellStyle name="Poznámka" xfId="62"/>
    <cellStyle name="Percent" xfId="63"/>
    <cellStyle name="Propojená buňka" xfId="64"/>
    <cellStyle name="Správně" xfId="65"/>
    <cellStyle name="Styl 1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12"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/>
        <right/>
        <top/>
        <bottom/>
      </border>
    </dxf>
    <dxf>
      <font>
        <b/>
        <i val="0"/>
      </font>
      <fill>
        <gradientFill degree="90">
          <stop position="0">
            <color theme="0" tint="-0.0509600006043911"/>
          </stop>
          <stop position="1">
            <color rgb="FFFFC000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gradientFill degree="90">
          <stop position="0">
            <color theme="0"/>
          </stop>
          <stop position="1">
            <color rgb="FFFFE285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gradientFill degree="90">
          <stop position="0">
            <color theme="0" tint="-0.0509600006043911"/>
          </stop>
          <stop position="1">
            <color rgb="FF339933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gradientFill degree="90">
          <stop position="0">
            <color theme="0"/>
          </stop>
          <stop position="1">
            <color rgb="FF33CC33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v&#283;re&#269;n&#253;%20&#250;&#269;et%202014\KV%20z&#225;vazn&#253;%20pl&#225;n%20k%2031.12.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zavplan"/>
      <sheetName val="koment"/>
      <sheetName val="zavplan_navrh"/>
      <sheetName val="navrh§§"/>
      <sheetName val="navrh_zdroje"/>
      <sheetName val="help"/>
      <sheetName val="navrh_zdroje_pomoc"/>
      <sheetName val="zp_navrh_pomoc"/>
      <sheetName val="chybyCN"/>
    </sheetNames>
    <sheetDataSet>
      <sheetData sheetId="2">
        <row r="1">
          <cell r="F1">
            <v>0.75</v>
          </cell>
        </row>
        <row r="2">
          <cell r="F2">
            <v>3000</v>
          </cell>
        </row>
      </sheetData>
    </sheetDataSet>
  </externalBook>
</externalLink>
</file>

<file path=xl/tables/table1.xml><?xml version="1.0" encoding="utf-8"?>
<table xmlns="http://schemas.openxmlformats.org/spreadsheetml/2006/main" id="1" name="CN_chyby" displayName="CN_chyby" ref="Y2:AA468" comment="" totalsRowShown="0">
  <tableColumns count="3">
    <tableColumn id="1" name="ORJ - chyby v CN"/>
    <tableColumn id="2" name="ORG - chyby v CN"/>
    <tableColumn id="3" name="ORJ+§+ORG+Zdro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5.375" style="168" customWidth="1"/>
    <col min="2" max="2" width="8.125" style="169" customWidth="1"/>
    <col min="3" max="3" width="6.00390625" style="170" customWidth="1"/>
    <col min="4" max="4" width="42.25390625" style="171" customWidth="1"/>
    <col min="5" max="5" width="17.875" style="148" customWidth="1"/>
    <col min="6" max="6" width="15.75390625" style="148" customWidth="1"/>
    <col min="7" max="7" width="16.00390625" style="148" customWidth="1"/>
    <col min="8" max="8" width="9.125" style="149" customWidth="1"/>
    <col min="9" max="9" width="9.75390625" style="149" customWidth="1"/>
    <col min="10" max="10" width="0" style="119" hidden="1" customWidth="1"/>
    <col min="11" max="12" width="9.125" style="119" customWidth="1"/>
    <col min="13" max="13" width="9.00390625" style="119" customWidth="1"/>
    <col min="14" max="14" width="8.375" style="119" customWidth="1"/>
    <col min="15" max="16384" width="9.125" style="119" customWidth="1"/>
  </cols>
  <sheetData>
    <row r="1" spans="1:9" s="156" customFormat="1" ht="13.5" thickBot="1">
      <c r="A1" s="245" t="s">
        <v>226</v>
      </c>
      <c r="B1" s="153" t="s">
        <v>99</v>
      </c>
      <c r="C1" s="154" t="s">
        <v>100</v>
      </c>
      <c r="D1" s="153" t="s">
        <v>101</v>
      </c>
      <c r="E1" s="132" t="s">
        <v>245</v>
      </c>
      <c r="F1" s="132" t="s">
        <v>298</v>
      </c>
      <c r="G1" s="132" t="s">
        <v>300</v>
      </c>
      <c r="H1" s="133" t="s">
        <v>102</v>
      </c>
      <c r="I1" s="155" t="s">
        <v>103</v>
      </c>
    </row>
    <row r="2" spans="1:9" s="158" customFormat="1" ht="12.75">
      <c r="A2" s="74">
        <v>1700</v>
      </c>
      <c r="B2" s="75" t="str">
        <f>(MID(C2,1,3))</f>
        <v>111</v>
      </c>
      <c r="C2" s="76">
        <v>1111</v>
      </c>
      <c r="D2" s="77" t="s">
        <v>104</v>
      </c>
      <c r="E2" s="78">
        <v>1540000</v>
      </c>
      <c r="F2" s="78">
        <v>1540000</v>
      </c>
      <c r="G2" s="78">
        <v>1651908</v>
      </c>
      <c r="H2" s="135">
        <f>IF(E2&lt;=0,0,$G2/E2*100)</f>
        <v>107.26675324675325</v>
      </c>
      <c r="I2" s="157">
        <f>IF(F2&lt;=0,0,$G2/F2*100)</f>
        <v>107.26675324675325</v>
      </c>
    </row>
    <row r="3" spans="1:9" s="158" customFormat="1" ht="12.75">
      <c r="A3" s="79">
        <v>1700</v>
      </c>
      <c r="B3" s="75" t="str">
        <f>(MID(C3,1,3))</f>
        <v>111</v>
      </c>
      <c r="C3" s="80">
        <v>1112</v>
      </c>
      <c r="D3" s="81" t="s">
        <v>105</v>
      </c>
      <c r="E3" s="82">
        <v>83000</v>
      </c>
      <c r="F3" s="82">
        <v>83000</v>
      </c>
      <c r="G3" s="82">
        <v>58562</v>
      </c>
      <c r="H3" s="101">
        <f aca="true" t="shared" si="0" ref="H3:H37">IF(E3&lt;=0,0,$G3/E3*100)</f>
        <v>70.5566265060241</v>
      </c>
      <c r="I3" s="102">
        <f aca="true" t="shared" si="1" ref="I3:I37">IF(F3&lt;=0,0,$G3/F3*100)</f>
        <v>70.5566265060241</v>
      </c>
    </row>
    <row r="4" spans="1:9" s="158" customFormat="1" ht="12.75">
      <c r="A4" s="79">
        <v>1700</v>
      </c>
      <c r="B4" s="75" t="str">
        <f>(MID(C4,1,3))</f>
        <v>111</v>
      </c>
      <c r="C4" s="80">
        <v>1113</v>
      </c>
      <c r="D4" s="81" t="s">
        <v>106</v>
      </c>
      <c r="E4" s="82">
        <v>160000</v>
      </c>
      <c r="F4" s="82">
        <v>160000</v>
      </c>
      <c r="G4" s="82">
        <v>176508</v>
      </c>
      <c r="H4" s="101">
        <f t="shared" si="0"/>
        <v>110.3175</v>
      </c>
      <c r="I4" s="102">
        <f t="shared" si="1"/>
        <v>110.3175</v>
      </c>
    </row>
    <row r="5" spans="1:9" s="158" customFormat="1" ht="12.75">
      <c r="A5" s="79"/>
      <c r="B5" s="83" t="s">
        <v>107</v>
      </c>
      <c r="C5" s="80"/>
      <c r="D5" s="81"/>
      <c r="E5" s="84">
        <f>SUBTOTAL(9,E2:E4)</f>
        <v>1783000</v>
      </c>
      <c r="F5" s="84">
        <f>SUBTOTAL(9,F2:F4)</f>
        <v>1783000</v>
      </c>
      <c r="G5" s="84">
        <f>SUBTOTAL(9,G2:G4)</f>
        <v>1886978</v>
      </c>
      <c r="H5" s="159">
        <f t="shared" si="0"/>
        <v>105.83163208076276</v>
      </c>
      <c r="I5" s="160">
        <f t="shared" si="1"/>
        <v>105.83163208076276</v>
      </c>
    </row>
    <row r="6" spans="1:9" s="158" customFormat="1" ht="12.75">
      <c r="A6" s="79">
        <v>1700</v>
      </c>
      <c r="B6" s="75" t="str">
        <f>(MID(C6,1,3))</f>
        <v>112</v>
      </c>
      <c r="C6" s="80">
        <v>1121</v>
      </c>
      <c r="D6" s="81" t="s">
        <v>108</v>
      </c>
      <c r="E6" s="82">
        <v>1450000</v>
      </c>
      <c r="F6" s="82">
        <v>1450000</v>
      </c>
      <c r="G6" s="82">
        <v>1689600</v>
      </c>
      <c r="H6" s="101">
        <f t="shared" si="0"/>
        <v>116.52413793103449</v>
      </c>
      <c r="I6" s="102">
        <f t="shared" si="1"/>
        <v>116.52413793103449</v>
      </c>
    </row>
    <row r="7" spans="1:9" s="158" customFormat="1" ht="12.75">
      <c r="A7" s="79">
        <v>1700</v>
      </c>
      <c r="B7" s="75" t="str">
        <f>(MID(C7,1,3))</f>
        <v>112</v>
      </c>
      <c r="C7" s="80">
        <v>1122</v>
      </c>
      <c r="D7" s="81" t="s">
        <v>109</v>
      </c>
      <c r="E7" s="82">
        <v>350000</v>
      </c>
      <c r="F7" s="82">
        <v>204249</v>
      </c>
      <c r="G7" s="82">
        <v>204249</v>
      </c>
      <c r="H7" s="101">
        <f>IF(E7&lt;=0,0,$G7/E7*100)</f>
        <v>58.356857142857145</v>
      </c>
      <c r="I7" s="102">
        <f>IF(F7&lt;=0,0,$G7/F7*100)</f>
        <v>100</v>
      </c>
    </row>
    <row r="8" spans="1:9" s="158" customFormat="1" ht="12.75">
      <c r="A8" s="79">
        <v>3200</v>
      </c>
      <c r="B8" s="75" t="str">
        <f>(MID(C8,1,3))</f>
        <v>112</v>
      </c>
      <c r="C8" s="80">
        <v>1122</v>
      </c>
      <c r="D8" s="81" t="s">
        <v>109</v>
      </c>
      <c r="E8" s="82"/>
      <c r="F8" s="82">
        <v>88</v>
      </c>
      <c r="G8" s="82">
        <v>88</v>
      </c>
      <c r="H8" s="101">
        <f>IF(E8&lt;=0,0,$G8/E8*100)</f>
        <v>0</v>
      </c>
      <c r="I8" s="102">
        <f>IF(F8&lt;=0,0,$G8/F8*100)</f>
        <v>100</v>
      </c>
    </row>
    <row r="9" spans="1:9" ht="12.75">
      <c r="A9" s="79"/>
      <c r="B9" s="85" t="s">
        <v>110</v>
      </c>
      <c r="C9" s="80"/>
      <c r="D9" s="81"/>
      <c r="E9" s="84">
        <f>SUBTOTAL(9,E6:E8)</f>
        <v>1800000</v>
      </c>
      <c r="F9" s="84">
        <f>SUBTOTAL(9,F6:F8)</f>
        <v>1654337</v>
      </c>
      <c r="G9" s="84">
        <f>SUBTOTAL(9,G6:G8)</f>
        <v>1893937</v>
      </c>
      <c r="H9" s="159">
        <f t="shared" si="0"/>
        <v>105.21872222222221</v>
      </c>
      <c r="I9" s="160">
        <f t="shared" si="1"/>
        <v>114.48314339823145</v>
      </c>
    </row>
    <row r="10" spans="1:9" ht="12.75">
      <c r="A10" s="79">
        <v>1700</v>
      </c>
      <c r="B10" s="75" t="str">
        <f>(MID(C10,1,3))</f>
        <v>121</v>
      </c>
      <c r="C10" s="80">
        <v>1211</v>
      </c>
      <c r="D10" s="81" t="s">
        <v>111</v>
      </c>
      <c r="E10" s="82">
        <v>3160000</v>
      </c>
      <c r="F10" s="82">
        <v>3160000</v>
      </c>
      <c r="G10" s="82">
        <v>3435094</v>
      </c>
      <c r="H10" s="101">
        <f t="shared" si="0"/>
        <v>108.70550632911393</v>
      </c>
      <c r="I10" s="102">
        <f t="shared" si="1"/>
        <v>108.70550632911393</v>
      </c>
    </row>
    <row r="11" spans="1:9" ht="12.75">
      <c r="A11" s="79"/>
      <c r="B11" s="85" t="s">
        <v>112</v>
      </c>
      <c r="C11" s="80"/>
      <c r="D11" s="81"/>
      <c r="E11" s="84">
        <f>SUBTOTAL(9,E10:E10)</f>
        <v>3160000</v>
      </c>
      <c r="F11" s="84">
        <f>SUBTOTAL(9,F10:F10)</f>
        <v>3160000</v>
      </c>
      <c r="G11" s="84">
        <f>SUBTOTAL(9,G10:G10)</f>
        <v>3435094</v>
      </c>
      <c r="H11" s="159">
        <f t="shared" si="0"/>
        <v>108.70550632911393</v>
      </c>
      <c r="I11" s="160">
        <f t="shared" si="1"/>
        <v>108.70550632911393</v>
      </c>
    </row>
    <row r="12" spans="1:9" ht="12.75">
      <c r="A12" s="120">
        <v>4300</v>
      </c>
      <c r="B12" s="75" t="str">
        <f>(MID(C12,1,3))</f>
        <v>133</v>
      </c>
      <c r="C12" s="121">
        <v>1334</v>
      </c>
      <c r="D12" s="161" t="s">
        <v>113</v>
      </c>
      <c r="E12" s="86">
        <v>600</v>
      </c>
      <c r="F12" s="86">
        <v>600</v>
      </c>
      <c r="G12" s="86">
        <v>254</v>
      </c>
      <c r="H12" s="123">
        <f t="shared" si="0"/>
        <v>42.333333333333336</v>
      </c>
      <c r="I12" s="124">
        <f t="shared" si="1"/>
        <v>42.333333333333336</v>
      </c>
    </row>
    <row r="13" spans="1:9" s="158" customFormat="1" ht="12.75">
      <c r="A13" s="120">
        <v>4300</v>
      </c>
      <c r="B13" s="75" t="str">
        <f>(MID(C13,1,3))</f>
        <v>133</v>
      </c>
      <c r="C13" s="121">
        <v>1335</v>
      </c>
      <c r="D13" s="161" t="s">
        <v>114</v>
      </c>
      <c r="E13" s="86">
        <v>60</v>
      </c>
      <c r="F13" s="86">
        <v>60</v>
      </c>
      <c r="G13" s="86">
        <v>21</v>
      </c>
      <c r="H13" s="123">
        <f t="shared" si="0"/>
        <v>35</v>
      </c>
      <c r="I13" s="124">
        <f t="shared" si="1"/>
        <v>35</v>
      </c>
    </row>
    <row r="14" spans="1:9" s="158" customFormat="1" ht="12.75">
      <c r="A14" s="79">
        <v>4200</v>
      </c>
      <c r="B14" s="75" t="str">
        <f>(MID(C14,1,3))</f>
        <v>133</v>
      </c>
      <c r="C14" s="80">
        <v>1339</v>
      </c>
      <c r="D14" s="81" t="s">
        <v>218</v>
      </c>
      <c r="E14" s="82">
        <v>113</v>
      </c>
      <c r="F14" s="82">
        <v>113</v>
      </c>
      <c r="G14" s="82">
        <v>124</v>
      </c>
      <c r="H14" s="87">
        <f t="shared" si="0"/>
        <v>109.73451327433628</v>
      </c>
      <c r="I14" s="88">
        <f t="shared" si="1"/>
        <v>109.73451327433628</v>
      </c>
    </row>
    <row r="15" spans="1:9" s="158" customFormat="1" ht="12.75">
      <c r="A15" s="79"/>
      <c r="B15" s="85" t="s">
        <v>115</v>
      </c>
      <c r="C15" s="80"/>
      <c r="D15" s="81"/>
      <c r="E15" s="84">
        <f>SUBTOTAL(9,E12:E14)</f>
        <v>773</v>
      </c>
      <c r="F15" s="84">
        <f>SUBTOTAL(9,F12:F14)</f>
        <v>773</v>
      </c>
      <c r="G15" s="84">
        <f>SUBTOTAL(9,G12:G14)</f>
        <v>399</v>
      </c>
      <c r="H15" s="159">
        <f t="shared" si="0"/>
        <v>51.61707632600259</v>
      </c>
      <c r="I15" s="160">
        <f t="shared" si="1"/>
        <v>51.61707632600259</v>
      </c>
    </row>
    <row r="16" spans="1:9" s="158" customFormat="1" ht="12.75">
      <c r="A16" s="79">
        <v>4200</v>
      </c>
      <c r="B16" s="75" t="str">
        <f>(MID(C16,1,3))</f>
        <v>134</v>
      </c>
      <c r="C16" s="80">
        <v>1340</v>
      </c>
      <c r="D16" s="81" t="s">
        <v>223</v>
      </c>
      <c r="E16" s="82">
        <v>259705</v>
      </c>
      <c r="F16" s="82">
        <v>259705</v>
      </c>
      <c r="G16" s="82">
        <v>243936</v>
      </c>
      <c r="H16" s="87">
        <f>IF(E16&lt;=0,0,$G16/E16*100)</f>
        <v>93.9281107410331</v>
      </c>
      <c r="I16" s="88">
        <f>IF(F16&lt;=0,0,$G16/F16*100)</f>
        <v>93.9281107410331</v>
      </c>
    </row>
    <row r="17" spans="1:9" s="162" customFormat="1" ht="12.75">
      <c r="A17" s="120">
        <v>5400</v>
      </c>
      <c r="B17" s="75" t="str">
        <f>(MID(C17,1,3))</f>
        <v>134</v>
      </c>
      <c r="C17" s="121">
        <v>1346</v>
      </c>
      <c r="D17" s="161" t="s">
        <v>116</v>
      </c>
      <c r="E17" s="86">
        <v>4500</v>
      </c>
      <c r="F17" s="86">
        <v>4500</v>
      </c>
      <c r="G17" s="86">
        <v>3739</v>
      </c>
      <c r="H17" s="123">
        <f t="shared" si="0"/>
        <v>83.08888888888889</v>
      </c>
      <c r="I17" s="124">
        <f t="shared" si="1"/>
        <v>83.08888888888889</v>
      </c>
    </row>
    <row r="18" spans="1:9" s="162" customFormat="1" ht="12.75">
      <c r="A18" s="120"/>
      <c r="B18" s="85" t="s">
        <v>172</v>
      </c>
      <c r="C18" s="121"/>
      <c r="D18" s="161"/>
      <c r="E18" s="84">
        <f>SUBTOTAL(9,E16:E17)</f>
        <v>264205</v>
      </c>
      <c r="F18" s="84">
        <f>SUBTOTAL(9,F16:F17)</f>
        <v>264205</v>
      </c>
      <c r="G18" s="84">
        <f>SUBTOTAL(9,G16:G17)</f>
        <v>247675</v>
      </c>
      <c r="H18" s="159">
        <f t="shared" si="0"/>
        <v>93.74349463484793</v>
      </c>
      <c r="I18" s="160">
        <f t="shared" si="1"/>
        <v>93.74349463484793</v>
      </c>
    </row>
    <row r="19" spans="1:9" s="162" customFormat="1" ht="12.75">
      <c r="A19" s="120">
        <v>1700</v>
      </c>
      <c r="B19" s="75" t="str">
        <f>(MID(C19,1,3))</f>
        <v>135</v>
      </c>
      <c r="C19" s="121">
        <v>1351</v>
      </c>
      <c r="D19" s="161" t="s">
        <v>229</v>
      </c>
      <c r="E19" s="86">
        <v>33000</v>
      </c>
      <c r="F19" s="86">
        <v>33000</v>
      </c>
      <c r="G19" s="86">
        <v>26127</v>
      </c>
      <c r="H19" s="123">
        <f aca="true" t="shared" si="2" ref="H19:I22">IF(E19&lt;=0,0,$G19/E19*100)</f>
        <v>79.17272727272727</v>
      </c>
      <c r="I19" s="124">
        <f t="shared" si="2"/>
        <v>79.17272727272727</v>
      </c>
    </row>
    <row r="20" spans="1:10" s="162" customFormat="1" ht="12.75">
      <c r="A20" s="120">
        <v>5800</v>
      </c>
      <c r="B20" s="75" t="str">
        <f>(MID(C20,1,3))</f>
        <v>135</v>
      </c>
      <c r="C20" s="121">
        <v>1353</v>
      </c>
      <c r="D20" s="161" t="s">
        <v>174</v>
      </c>
      <c r="E20" s="86">
        <v>7000</v>
      </c>
      <c r="F20" s="86">
        <v>7000</v>
      </c>
      <c r="G20" s="86">
        <v>5037</v>
      </c>
      <c r="H20" s="123">
        <f t="shared" si="2"/>
        <v>71.95714285714286</v>
      </c>
      <c r="I20" s="124">
        <f t="shared" si="2"/>
        <v>71.95714285714286</v>
      </c>
      <c r="J20" s="256"/>
    </row>
    <row r="21" spans="1:10" s="162" customFormat="1" ht="12.75">
      <c r="A21" s="120">
        <v>1700</v>
      </c>
      <c r="B21" s="75" t="str">
        <f>(MID(C21,1,3))</f>
        <v>135</v>
      </c>
      <c r="C21" s="121">
        <v>1355</v>
      </c>
      <c r="D21" s="161" t="s">
        <v>228</v>
      </c>
      <c r="E21" s="86">
        <v>67000</v>
      </c>
      <c r="F21" s="86">
        <v>42000</v>
      </c>
      <c r="G21" s="86">
        <v>105987</v>
      </c>
      <c r="H21" s="123">
        <f t="shared" si="2"/>
        <v>158.189552238806</v>
      </c>
      <c r="I21" s="124">
        <f t="shared" si="2"/>
        <v>252.35</v>
      </c>
      <c r="J21" s="256"/>
    </row>
    <row r="22" spans="1:9" s="162" customFormat="1" ht="12.75">
      <c r="A22" s="120">
        <v>5800</v>
      </c>
      <c r="B22" s="75" t="str">
        <f>(MID(C22,1,3))</f>
        <v>135</v>
      </c>
      <c r="C22" s="121">
        <v>1359</v>
      </c>
      <c r="D22" s="161" t="s">
        <v>202</v>
      </c>
      <c r="E22" s="86"/>
      <c r="F22" s="86"/>
      <c r="G22" s="86">
        <v>139</v>
      </c>
      <c r="H22" s="101">
        <f t="shared" si="2"/>
        <v>0</v>
      </c>
      <c r="I22" s="102">
        <f t="shared" si="2"/>
        <v>0</v>
      </c>
    </row>
    <row r="23" spans="1:9" s="162" customFormat="1" ht="12.75">
      <c r="A23" s="120"/>
      <c r="B23" s="85" t="s">
        <v>175</v>
      </c>
      <c r="C23" s="121"/>
      <c r="D23" s="161"/>
      <c r="E23" s="84">
        <f>SUBTOTAL(9,E19:E22)</f>
        <v>107000</v>
      </c>
      <c r="F23" s="84">
        <f>SUBTOTAL(9,F19:F22)</f>
        <v>82000</v>
      </c>
      <c r="G23" s="84">
        <f>SUBTOTAL(9,G19:G22)</f>
        <v>137290</v>
      </c>
      <c r="H23" s="159">
        <f>IF(E23&lt;=0,0,$G23/E23*100)</f>
        <v>128.30841121495325</v>
      </c>
      <c r="I23" s="160">
        <f>IF(F23&lt;=0,0,$G23/F23*100)</f>
        <v>167.4268292682927</v>
      </c>
    </row>
    <row r="24" spans="1:9" ht="12.75">
      <c r="A24" s="79">
        <v>1700</v>
      </c>
      <c r="B24" s="75" t="str">
        <f aca="true" t="shared" si="3" ref="B24:B30">(MID(C24,1,3))</f>
        <v>136</v>
      </c>
      <c r="C24" s="80">
        <v>1361</v>
      </c>
      <c r="D24" s="81" t="s">
        <v>117</v>
      </c>
      <c r="E24" s="82">
        <v>20</v>
      </c>
      <c r="F24" s="82">
        <v>20</v>
      </c>
      <c r="G24" s="82">
        <v>18</v>
      </c>
      <c r="H24" s="87">
        <f t="shared" si="0"/>
        <v>90</v>
      </c>
      <c r="I24" s="88">
        <f t="shared" si="1"/>
        <v>90</v>
      </c>
    </row>
    <row r="25" spans="1:9" s="162" customFormat="1" ht="12.75">
      <c r="A25" s="79">
        <v>3200</v>
      </c>
      <c r="B25" s="75" t="str">
        <f t="shared" si="3"/>
        <v>136</v>
      </c>
      <c r="C25" s="80">
        <v>1361</v>
      </c>
      <c r="D25" s="125" t="s">
        <v>117</v>
      </c>
      <c r="E25" s="82">
        <v>775</v>
      </c>
      <c r="F25" s="82">
        <v>775</v>
      </c>
      <c r="G25" s="82">
        <v>637</v>
      </c>
      <c r="H25" s="87">
        <f aca="true" t="shared" si="4" ref="H25:I28">IF(E25&lt;=0,0,$G25/E25*100)</f>
        <v>82.19354838709677</v>
      </c>
      <c r="I25" s="88">
        <f t="shared" si="4"/>
        <v>82.19354838709677</v>
      </c>
    </row>
    <row r="26" spans="1:10" s="162" customFormat="1" ht="12.75">
      <c r="A26" s="79">
        <v>3800</v>
      </c>
      <c r="B26" s="75" t="str">
        <f t="shared" si="3"/>
        <v>136</v>
      </c>
      <c r="C26" s="80">
        <v>1361</v>
      </c>
      <c r="D26" s="125" t="s">
        <v>117</v>
      </c>
      <c r="E26" s="82">
        <v>13400</v>
      </c>
      <c r="F26" s="82">
        <v>13400</v>
      </c>
      <c r="G26" s="82">
        <v>15670</v>
      </c>
      <c r="H26" s="87">
        <f t="shared" si="4"/>
        <v>116.94029850746269</v>
      </c>
      <c r="I26" s="88">
        <f t="shared" si="4"/>
        <v>116.94029850746269</v>
      </c>
      <c r="J26" s="256"/>
    </row>
    <row r="27" spans="1:9" ht="12.75">
      <c r="A27" s="79">
        <v>3900</v>
      </c>
      <c r="B27" s="75" t="str">
        <f>(MID(C27,1,3))</f>
        <v>136</v>
      </c>
      <c r="C27" s="80">
        <v>1361</v>
      </c>
      <c r="D27" s="125" t="s">
        <v>117</v>
      </c>
      <c r="E27" s="103">
        <v>5</v>
      </c>
      <c r="F27" s="103">
        <v>5</v>
      </c>
      <c r="G27" s="103">
        <v>1</v>
      </c>
      <c r="H27" s="87">
        <f t="shared" si="4"/>
        <v>20</v>
      </c>
      <c r="I27" s="88">
        <f t="shared" si="4"/>
        <v>20</v>
      </c>
    </row>
    <row r="28" spans="1:9" ht="12.75">
      <c r="A28" s="79">
        <v>4200</v>
      </c>
      <c r="B28" s="75" t="str">
        <f t="shared" si="3"/>
        <v>136</v>
      </c>
      <c r="C28" s="80">
        <v>1361</v>
      </c>
      <c r="D28" s="81" t="s">
        <v>117</v>
      </c>
      <c r="E28" s="82">
        <v>5</v>
      </c>
      <c r="F28" s="82">
        <v>5</v>
      </c>
      <c r="G28" s="82">
        <v>2</v>
      </c>
      <c r="H28" s="87">
        <f t="shared" si="4"/>
        <v>40</v>
      </c>
      <c r="I28" s="88">
        <f t="shared" si="4"/>
        <v>40</v>
      </c>
    </row>
    <row r="29" spans="1:9" ht="12.75">
      <c r="A29" s="120">
        <v>4300</v>
      </c>
      <c r="B29" s="75" t="str">
        <f t="shared" si="3"/>
        <v>136</v>
      </c>
      <c r="C29" s="121">
        <v>1361</v>
      </c>
      <c r="D29" s="161" t="s">
        <v>117</v>
      </c>
      <c r="E29" s="86">
        <v>300</v>
      </c>
      <c r="F29" s="86">
        <v>300</v>
      </c>
      <c r="G29" s="86">
        <v>355</v>
      </c>
      <c r="H29" s="123">
        <f t="shared" si="0"/>
        <v>118.33333333333333</v>
      </c>
      <c r="I29" s="124">
        <f t="shared" si="1"/>
        <v>118.33333333333333</v>
      </c>
    </row>
    <row r="30" spans="1:9" ht="12.75">
      <c r="A30" s="120">
        <v>5400</v>
      </c>
      <c r="B30" s="75" t="str">
        <f t="shared" si="3"/>
        <v>136</v>
      </c>
      <c r="C30" s="121">
        <v>1361</v>
      </c>
      <c r="D30" s="161" t="s">
        <v>117</v>
      </c>
      <c r="E30" s="86">
        <v>550</v>
      </c>
      <c r="F30" s="86">
        <v>550</v>
      </c>
      <c r="G30" s="86">
        <v>821</v>
      </c>
      <c r="H30" s="123">
        <f t="shared" si="0"/>
        <v>149.27272727272728</v>
      </c>
      <c r="I30" s="124">
        <f t="shared" si="1"/>
        <v>149.27272727272728</v>
      </c>
    </row>
    <row r="31" spans="1:9" ht="12.75">
      <c r="A31" s="120">
        <v>5800</v>
      </c>
      <c r="B31" s="77">
        <v>136</v>
      </c>
      <c r="C31" s="121">
        <v>1361</v>
      </c>
      <c r="D31" s="161" t="s">
        <v>117</v>
      </c>
      <c r="E31" s="86">
        <v>45000</v>
      </c>
      <c r="F31" s="86">
        <v>45000</v>
      </c>
      <c r="G31" s="86">
        <v>47007</v>
      </c>
      <c r="H31" s="123">
        <f t="shared" si="0"/>
        <v>104.46</v>
      </c>
      <c r="I31" s="124">
        <f t="shared" si="1"/>
        <v>104.46</v>
      </c>
    </row>
    <row r="32" spans="1:10" ht="12.75">
      <c r="A32" s="120">
        <v>6500</v>
      </c>
      <c r="B32" s="77">
        <v>136</v>
      </c>
      <c r="C32" s="121">
        <v>1361</v>
      </c>
      <c r="D32" s="161" t="s">
        <v>117</v>
      </c>
      <c r="E32" s="86">
        <v>5875</v>
      </c>
      <c r="F32" s="86">
        <v>5875</v>
      </c>
      <c r="G32" s="86">
        <v>7183</v>
      </c>
      <c r="H32" s="123">
        <f>IF(E32&lt;=0,0,$G32/E32*100)</f>
        <v>122.26382978723404</v>
      </c>
      <c r="I32" s="124">
        <f>IF(F32&lt;=0,0,$G32/F32*100)</f>
        <v>122.26382978723404</v>
      </c>
      <c r="J32" s="257"/>
    </row>
    <row r="33" spans="1:9" ht="12.75">
      <c r="A33" s="120">
        <v>7100</v>
      </c>
      <c r="B33" s="77">
        <v>136</v>
      </c>
      <c r="C33" s="121">
        <v>1361</v>
      </c>
      <c r="D33" s="161" t="s">
        <v>117</v>
      </c>
      <c r="E33" s="86"/>
      <c r="F33" s="86"/>
      <c r="G33" s="86">
        <v>2</v>
      </c>
      <c r="H33" s="123">
        <f>IF(E33&lt;=0,0,$G33/E33*100)</f>
        <v>0</v>
      </c>
      <c r="I33" s="124">
        <f>IF(F33&lt;=0,0,$G33/F33*100)</f>
        <v>0</v>
      </c>
    </row>
    <row r="34" spans="1:9" ht="12.75">
      <c r="A34" s="79"/>
      <c r="B34" s="85" t="s">
        <v>118</v>
      </c>
      <c r="C34" s="80"/>
      <c r="D34" s="125"/>
      <c r="E34" s="84">
        <f>SUBTOTAL(9,E24:E33)</f>
        <v>65930</v>
      </c>
      <c r="F34" s="84">
        <f>SUBTOTAL(9,F24:F33)</f>
        <v>65930</v>
      </c>
      <c r="G34" s="84">
        <f>SUBTOTAL(9,G24:G33)</f>
        <v>71696</v>
      </c>
      <c r="H34" s="159">
        <f t="shared" si="0"/>
        <v>108.74563931442438</v>
      </c>
      <c r="I34" s="160">
        <f t="shared" si="1"/>
        <v>108.74563931442438</v>
      </c>
    </row>
    <row r="35" spans="1:9" ht="12.75">
      <c r="A35" s="79">
        <v>1700</v>
      </c>
      <c r="B35" s="75" t="str">
        <f>(MID(C35,1,3))</f>
        <v>151</v>
      </c>
      <c r="C35" s="80">
        <v>1511</v>
      </c>
      <c r="D35" s="81" t="s">
        <v>260</v>
      </c>
      <c r="E35" s="82">
        <v>220000</v>
      </c>
      <c r="F35" s="82">
        <v>220000</v>
      </c>
      <c r="G35" s="82">
        <v>233623</v>
      </c>
      <c r="H35" s="101">
        <f t="shared" si="0"/>
        <v>106.19227272727272</v>
      </c>
      <c r="I35" s="102">
        <f t="shared" si="1"/>
        <v>106.19227272727272</v>
      </c>
    </row>
    <row r="36" spans="1:9" ht="13.5" thickBot="1">
      <c r="A36" s="89"/>
      <c r="B36" s="90" t="s">
        <v>119</v>
      </c>
      <c r="C36" s="91"/>
      <c r="D36" s="92"/>
      <c r="E36" s="93">
        <f>SUBTOTAL(9,E35:E35)</f>
        <v>220000</v>
      </c>
      <c r="F36" s="93">
        <f>SUBTOTAL(9,F35:F35)</f>
        <v>220000</v>
      </c>
      <c r="G36" s="93">
        <f>SUBTOTAL(9,G35:G35)</f>
        <v>233623</v>
      </c>
      <c r="H36" s="163">
        <f t="shared" si="0"/>
        <v>106.19227272727272</v>
      </c>
      <c r="I36" s="164">
        <f t="shared" si="1"/>
        <v>106.19227272727272</v>
      </c>
    </row>
    <row r="37" spans="1:9" ht="15" thickBot="1">
      <c r="A37" s="94"/>
      <c r="B37" s="116" t="s">
        <v>120</v>
      </c>
      <c r="C37" s="95"/>
      <c r="D37" s="96"/>
      <c r="E37" s="165">
        <f>SUBTOTAL(9,E2:E35)</f>
        <v>7400908</v>
      </c>
      <c r="F37" s="165">
        <f>SUBTOTAL(9,F2:F35)</f>
        <v>7230245</v>
      </c>
      <c r="G37" s="165">
        <f>SUBTOTAL(9,G2:G35)</f>
        <v>7906692</v>
      </c>
      <c r="H37" s="166">
        <f t="shared" si="0"/>
        <v>106.83408035878841</v>
      </c>
      <c r="I37" s="167">
        <f t="shared" si="1"/>
        <v>109.35579638034396</v>
      </c>
    </row>
  </sheetData>
  <sheetProtection/>
  <printOptions horizontalCentered="1" verticalCentered="1"/>
  <pageMargins left="0" right="0" top="0.8661417322834646" bottom="0.6299212598425197" header="0.5905511811023623" footer="0.5118110236220472"/>
  <pageSetup horizontalDpi="600" verticalDpi="600" orientation="landscape" paperSize="9" r:id="rId1"/>
  <headerFooter alignWithMargins="0">
    <oddHeader>&amp;C&amp;"Times New Roman,Tučné"&amp;12Plnění rozpočtu daňových příjmů města k 31.12.2014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Zeros="0" zoomScaleSheetLayoutView="100" zoomScalePageLayoutView="0" workbookViewId="0" topLeftCell="A1">
      <pane xSplit="5" ySplit="1" topLeftCell="F2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L1" sqref="L1:N16384"/>
    </sheetView>
  </sheetViews>
  <sheetFormatPr defaultColWidth="9.00390625" defaultRowHeight="12.75"/>
  <cols>
    <col min="1" max="1" width="5.375" style="168" customWidth="1"/>
    <col min="2" max="2" width="4.875" style="170" customWidth="1"/>
    <col min="3" max="3" width="41.375" style="169" customWidth="1"/>
    <col min="4" max="4" width="7.375" style="169" bestFit="1" customWidth="1"/>
    <col min="5" max="5" width="4.75390625" style="170" customWidth="1"/>
    <col min="6" max="6" width="40.75390625" style="171" customWidth="1"/>
    <col min="7" max="7" width="13.625" style="148" customWidth="1"/>
    <col min="8" max="8" width="14.25390625" style="148" customWidth="1"/>
    <col min="9" max="9" width="15.625" style="148" customWidth="1"/>
    <col min="10" max="11" width="9.25390625" style="149" bestFit="1" customWidth="1"/>
    <col min="12" max="12" width="8.875" style="119" hidden="1" customWidth="1"/>
    <col min="13" max="14" width="0" style="119" hidden="1" customWidth="1"/>
    <col min="15" max="16384" width="9.125" style="119" customWidth="1"/>
  </cols>
  <sheetData>
    <row r="1" spans="1:11" s="156" customFormat="1" ht="13.5" thickBot="1">
      <c r="A1" s="245" t="s">
        <v>226</v>
      </c>
      <c r="B1" s="154" t="s">
        <v>0</v>
      </c>
      <c r="C1" s="153" t="s">
        <v>121</v>
      </c>
      <c r="D1" s="153" t="s">
        <v>99</v>
      </c>
      <c r="E1" s="154" t="s">
        <v>100</v>
      </c>
      <c r="F1" s="153" t="s">
        <v>101</v>
      </c>
      <c r="G1" s="132" t="s">
        <v>245</v>
      </c>
      <c r="H1" s="132" t="s">
        <v>298</v>
      </c>
      <c r="I1" s="132" t="s">
        <v>300</v>
      </c>
      <c r="J1" s="133" t="s">
        <v>102</v>
      </c>
      <c r="K1" s="155" t="s">
        <v>103</v>
      </c>
    </row>
    <row r="2" spans="1:11" s="156" customFormat="1" ht="12.75">
      <c r="A2" s="208" t="s">
        <v>122</v>
      </c>
      <c r="B2" s="209"/>
      <c r="C2" s="210"/>
      <c r="D2" s="210"/>
      <c r="E2" s="209"/>
      <c r="F2" s="210"/>
      <c r="G2" s="134"/>
      <c r="H2" s="134"/>
      <c r="I2" s="134"/>
      <c r="J2" s="135">
        <f>IF(G2&lt;=0,0,$I2/G2*100)</f>
        <v>0</v>
      </c>
      <c r="K2" s="157">
        <f>IF(H2&lt;=0,0,$I2/H2*100)</f>
        <v>0</v>
      </c>
    </row>
    <row r="3" spans="1:11" s="156" customFormat="1" ht="12.75">
      <c r="A3" s="74">
        <v>3200</v>
      </c>
      <c r="B3" s="76">
        <v>6171</v>
      </c>
      <c r="C3" s="97" t="s">
        <v>9</v>
      </c>
      <c r="D3" s="75" t="str">
        <f>(MID(E3,1,3))</f>
        <v>211</v>
      </c>
      <c r="E3" s="76">
        <v>2111</v>
      </c>
      <c r="F3" s="67" t="s">
        <v>123</v>
      </c>
      <c r="G3" s="78">
        <v>66</v>
      </c>
      <c r="H3" s="78">
        <v>66</v>
      </c>
      <c r="I3" s="78">
        <v>89</v>
      </c>
      <c r="J3" s="87">
        <f>IF(G3&lt;=0,0,$I3/G3*100)</f>
        <v>134.84848484848484</v>
      </c>
      <c r="K3" s="88">
        <f>IF(H3&lt;=0,0,$I3/H3*100)</f>
        <v>134.84848484848484</v>
      </c>
    </row>
    <row r="4" spans="1:11" ht="12.75">
      <c r="A4" s="79">
        <v>3900</v>
      </c>
      <c r="B4" s="80">
        <v>6211</v>
      </c>
      <c r="C4" s="131" t="s">
        <v>56</v>
      </c>
      <c r="D4" s="75" t="str">
        <f>(MID(E4,1,3))</f>
        <v>211</v>
      </c>
      <c r="E4" s="80">
        <v>2111</v>
      </c>
      <c r="F4" s="67" t="s">
        <v>123</v>
      </c>
      <c r="G4" s="103">
        <v>30</v>
      </c>
      <c r="H4" s="103">
        <v>30</v>
      </c>
      <c r="I4" s="103">
        <v>26</v>
      </c>
      <c r="J4" s="87">
        <f aca="true" t="shared" si="0" ref="J4:J12">IF(G4&lt;=0,0,$I4/G4*100)</f>
        <v>86.66666666666667</v>
      </c>
      <c r="K4" s="88">
        <f aca="true" t="shared" si="1" ref="K4:K12">IF(H4&lt;=0,0,$I4/H4*100)</f>
        <v>86.66666666666667</v>
      </c>
    </row>
    <row r="5" spans="1:11" ht="12.75">
      <c r="A5" s="79">
        <v>4200</v>
      </c>
      <c r="B5" s="80">
        <v>3632</v>
      </c>
      <c r="C5" s="97" t="s">
        <v>1</v>
      </c>
      <c r="D5" s="75" t="str">
        <f aca="true" t="shared" si="2" ref="D5:D12">(MID(E5,1,3))</f>
        <v>211</v>
      </c>
      <c r="E5" s="76">
        <v>2111</v>
      </c>
      <c r="F5" s="67" t="s">
        <v>123</v>
      </c>
      <c r="G5" s="82">
        <v>11000</v>
      </c>
      <c r="H5" s="82">
        <v>11000</v>
      </c>
      <c r="I5" s="82">
        <v>10989</v>
      </c>
      <c r="J5" s="87">
        <f t="shared" si="0"/>
        <v>99.9</v>
      </c>
      <c r="K5" s="88">
        <f t="shared" si="1"/>
        <v>99.9</v>
      </c>
    </row>
    <row r="6" spans="1:11" ht="12.75">
      <c r="A6" s="79">
        <v>5300</v>
      </c>
      <c r="B6" s="80">
        <v>6171</v>
      </c>
      <c r="C6" s="97" t="s">
        <v>9</v>
      </c>
      <c r="D6" s="75" t="str">
        <f t="shared" si="2"/>
        <v>211</v>
      </c>
      <c r="E6" s="76">
        <v>2111</v>
      </c>
      <c r="F6" s="67" t="s">
        <v>123</v>
      </c>
      <c r="G6" s="82">
        <v>4</v>
      </c>
      <c r="H6" s="82">
        <v>4</v>
      </c>
      <c r="I6" s="211">
        <v>10</v>
      </c>
      <c r="J6" s="87">
        <f aca="true" t="shared" si="3" ref="J6:K9">IF(G6&lt;=0,0,$I6/G6*100)</f>
        <v>250</v>
      </c>
      <c r="K6" s="88">
        <f t="shared" si="3"/>
        <v>250</v>
      </c>
    </row>
    <row r="7" spans="1:11" ht="12.75">
      <c r="A7" s="79">
        <v>5400</v>
      </c>
      <c r="B7" s="80">
        <v>2219</v>
      </c>
      <c r="C7" s="122" t="s">
        <v>53</v>
      </c>
      <c r="D7" s="75" t="str">
        <f>(MID(E7,1,3))</f>
        <v>211</v>
      </c>
      <c r="E7" s="76">
        <v>2111</v>
      </c>
      <c r="F7" s="67" t="s">
        <v>123</v>
      </c>
      <c r="G7" s="82">
        <v>44500</v>
      </c>
      <c r="H7" s="82">
        <v>44500</v>
      </c>
      <c r="I7" s="211">
        <v>40866</v>
      </c>
      <c r="J7" s="87">
        <f t="shared" si="3"/>
        <v>91.83370786516853</v>
      </c>
      <c r="K7" s="88">
        <f t="shared" si="1"/>
        <v>91.83370786516853</v>
      </c>
    </row>
    <row r="8" spans="1:11" ht="12.75">
      <c r="A8" s="79">
        <v>6300</v>
      </c>
      <c r="B8" s="80">
        <v>3639</v>
      </c>
      <c r="C8" s="122" t="s">
        <v>124</v>
      </c>
      <c r="D8" s="75" t="str">
        <f>(MID(E8,1,3))</f>
        <v>211</v>
      </c>
      <c r="E8" s="76">
        <v>2111</v>
      </c>
      <c r="F8" s="67" t="s">
        <v>123</v>
      </c>
      <c r="G8" s="82"/>
      <c r="H8" s="82"/>
      <c r="I8" s="211">
        <v>1</v>
      </c>
      <c r="J8" s="87"/>
      <c r="K8" s="88"/>
    </row>
    <row r="9" spans="1:12" ht="12.75">
      <c r="A9" s="120">
        <v>7200</v>
      </c>
      <c r="B9" s="121">
        <v>4341</v>
      </c>
      <c r="C9" s="161" t="s">
        <v>213</v>
      </c>
      <c r="D9" s="75" t="str">
        <f t="shared" si="2"/>
        <v>211</v>
      </c>
      <c r="E9" s="76">
        <v>2111</v>
      </c>
      <c r="F9" s="67" t="s">
        <v>123</v>
      </c>
      <c r="G9" s="86">
        <v>4475</v>
      </c>
      <c r="H9" s="86">
        <v>4475</v>
      </c>
      <c r="I9" s="86">
        <v>3223</v>
      </c>
      <c r="J9" s="87">
        <f t="shared" si="3"/>
        <v>72.02234636871509</v>
      </c>
      <c r="K9" s="88">
        <f t="shared" si="3"/>
        <v>72.02234636871509</v>
      </c>
      <c r="L9" s="257"/>
    </row>
    <row r="10" spans="1:11" ht="12.75">
      <c r="A10" s="120">
        <v>7400</v>
      </c>
      <c r="B10" s="121">
        <v>3113</v>
      </c>
      <c r="C10" s="161" t="s">
        <v>23</v>
      </c>
      <c r="D10" s="75" t="str">
        <f>(MID(E10,1,3))</f>
        <v>211</v>
      </c>
      <c r="E10" s="76">
        <v>2111</v>
      </c>
      <c r="F10" s="67" t="s">
        <v>123</v>
      </c>
      <c r="G10" s="86">
        <v>60</v>
      </c>
      <c r="H10" s="86">
        <v>60</v>
      </c>
      <c r="I10" s="86">
        <v>27</v>
      </c>
      <c r="J10" s="87">
        <f t="shared" si="0"/>
        <v>45</v>
      </c>
      <c r="K10" s="88">
        <f t="shared" si="1"/>
        <v>45</v>
      </c>
    </row>
    <row r="11" spans="1:11" ht="12.75">
      <c r="A11" s="120">
        <v>8200</v>
      </c>
      <c r="B11" s="121">
        <v>1014</v>
      </c>
      <c r="C11" s="10" t="s">
        <v>169</v>
      </c>
      <c r="D11" s="75" t="str">
        <f t="shared" si="2"/>
        <v>211</v>
      </c>
      <c r="E11" s="76">
        <v>2111</v>
      </c>
      <c r="F11" s="67" t="s">
        <v>123</v>
      </c>
      <c r="G11" s="86">
        <v>320</v>
      </c>
      <c r="H11" s="86">
        <v>320</v>
      </c>
      <c r="I11" s="86">
        <v>404</v>
      </c>
      <c r="J11" s="87">
        <f t="shared" si="0"/>
        <v>126.25</v>
      </c>
      <c r="K11" s="88">
        <f t="shared" si="1"/>
        <v>126.25</v>
      </c>
    </row>
    <row r="12" spans="1:12" ht="12.75">
      <c r="A12" s="120">
        <v>8200</v>
      </c>
      <c r="B12" s="121">
        <v>5311</v>
      </c>
      <c r="C12" s="122" t="s">
        <v>88</v>
      </c>
      <c r="D12" s="75" t="str">
        <f t="shared" si="2"/>
        <v>211</v>
      </c>
      <c r="E12" s="121">
        <v>2111</v>
      </c>
      <c r="F12" s="67" t="s">
        <v>123</v>
      </c>
      <c r="G12" s="86">
        <v>2400</v>
      </c>
      <c r="H12" s="86">
        <v>3075</v>
      </c>
      <c r="I12" s="86">
        <v>3329</v>
      </c>
      <c r="J12" s="87">
        <f t="shared" si="0"/>
        <v>138.70833333333331</v>
      </c>
      <c r="K12" s="88">
        <f t="shared" si="1"/>
        <v>108.260162601626</v>
      </c>
      <c r="L12" s="257"/>
    </row>
    <row r="13" spans="1:11" ht="13.5" thickBot="1">
      <c r="A13" s="111"/>
      <c r="B13" s="112"/>
      <c r="C13" s="212"/>
      <c r="D13" s="98" t="s">
        <v>126</v>
      </c>
      <c r="E13" s="112"/>
      <c r="F13" s="213"/>
      <c r="G13" s="136">
        <f>SUBTOTAL(9,G3:G12)</f>
        <v>62855</v>
      </c>
      <c r="H13" s="136">
        <f>SUBTOTAL(9,H3:H12)</f>
        <v>63530</v>
      </c>
      <c r="I13" s="136">
        <f>SUBTOTAL(9,I3:I12)</f>
        <v>58964</v>
      </c>
      <c r="J13" s="137">
        <f aca="true" t="shared" si="4" ref="J13:J56">IF(G13&lt;=0,0,$I13/G13*100)</f>
        <v>93.80956168960304</v>
      </c>
      <c r="K13" s="214">
        <f aca="true" t="shared" si="5" ref="K13:K56">IF(H13&lt;=0,0,$I13/H13*100)</f>
        <v>92.81284432551551</v>
      </c>
    </row>
    <row r="14" spans="1:11" ht="12.75">
      <c r="A14" s="215"/>
      <c r="B14" s="216"/>
      <c r="C14" s="217"/>
      <c r="D14" s="83"/>
      <c r="E14" s="76"/>
      <c r="F14" s="218"/>
      <c r="G14" s="138"/>
      <c r="H14" s="138"/>
      <c r="I14" s="138"/>
      <c r="J14" s="139"/>
      <c r="K14" s="219"/>
    </row>
    <row r="15" spans="1:11" s="221" customFormat="1" ht="12.75">
      <c r="A15" s="105" t="s">
        <v>127</v>
      </c>
      <c r="B15" s="80"/>
      <c r="C15" s="131"/>
      <c r="D15" s="83"/>
      <c r="E15" s="76"/>
      <c r="F15" s="218"/>
      <c r="G15" s="138"/>
      <c r="H15" s="138"/>
      <c r="I15" s="138"/>
      <c r="J15" s="139">
        <f t="shared" si="4"/>
        <v>0</v>
      </c>
      <c r="K15" s="220">
        <f t="shared" si="5"/>
        <v>0</v>
      </c>
    </row>
    <row r="16" spans="1:11" ht="12.75">
      <c r="A16" s="79">
        <v>1900</v>
      </c>
      <c r="B16" s="80">
        <v>2143</v>
      </c>
      <c r="C16" s="12" t="s">
        <v>185</v>
      </c>
      <c r="D16" s="75" t="str">
        <f>(MID(E16,1,3))</f>
        <v>212</v>
      </c>
      <c r="E16" s="80">
        <v>2122</v>
      </c>
      <c r="F16" s="67" t="s">
        <v>128</v>
      </c>
      <c r="G16" s="103">
        <v>5046</v>
      </c>
      <c r="H16" s="103">
        <v>5046</v>
      </c>
      <c r="I16" s="103">
        <v>5046</v>
      </c>
      <c r="J16" s="87">
        <f aca="true" t="shared" si="6" ref="J16:K18">IF(G16&lt;=0,0,$I16/G16*100)</f>
        <v>100</v>
      </c>
      <c r="K16" s="88">
        <f t="shared" si="6"/>
        <v>100</v>
      </c>
    </row>
    <row r="17" spans="1:11" ht="12.75">
      <c r="A17" s="79">
        <v>7100</v>
      </c>
      <c r="B17" s="80">
        <v>3529</v>
      </c>
      <c r="C17" s="14" t="s">
        <v>85</v>
      </c>
      <c r="D17" s="75" t="str">
        <f>(MID(E17,1,3))</f>
        <v>212</v>
      </c>
      <c r="E17" s="80">
        <v>2122</v>
      </c>
      <c r="F17" s="67" t="s">
        <v>128</v>
      </c>
      <c r="G17" s="103">
        <v>2457</v>
      </c>
      <c r="H17" s="103">
        <v>2457</v>
      </c>
      <c r="I17" s="103">
        <v>2457</v>
      </c>
      <c r="J17" s="87">
        <f t="shared" si="6"/>
        <v>100</v>
      </c>
      <c r="K17" s="88">
        <f t="shared" si="6"/>
        <v>100</v>
      </c>
    </row>
    <row r="18" spans="1:11" ht="12.75">
      <c r="A18" s="79">
        <v>7200</v>
      </c>
      <c r="B18" s="80">
        <v>4357</v>
      </c>
      <c r="C18" s="122" t="s">
        <v>292</v>
      </c>
      <c r="D18" s="75" t="str">
        <f>(MID(E18,1,3))</f>
        <v>212</v>
      </c>
      <c r="E18" s="80">
        <v>2122</v>
      </c>
      <c r="F18" s="67" t="s">
        <v>128</v>
      </c>
      <c r="G18" s="103">
        <v>2720</v>
      </c>
      <c r="H18" s="103">
        <v>2720</v>
      </c>
      <c r="I18" s="103">
        <v>2720</v>
      </c>
      <c r="J18" s="87">
        <f t="shared" si="6"/>
        <v>100</v>
      </c>
      <c r="K18" s="88">
        <f t="shared" si="6"/>
        <v>100</v>
      </c>
    </row>
    <row r="19" spans="1:12" ht="12.75">
      <c r="A19" s="79">
        <v>7300</v>
      </c>
      <c r="B19" s="121">
        <v>3311</v>
      </c>
      <c r="C19" s="185" t="s">
        <v>24</v>
      </c>
      <c r="D19" s="75" t="str">
        <f>(MID(E19,1,3))</f>
        <v>212</v>
      </c>
      <c r="E19" s="80">
        <v>2122</v>
      </c>
      <c r="F19" s="67" t="s">
        <v>128</v>
      </c>
      <c r="G19" s="103">
        <v>84263</v>
      </c>
      <c r="H19" s="103">
        <v>84020</v>
      </c>
      <c r="I19" s="103">
        <v>84020</v>
      </c>
      <c r="J19" s="87">
        <f t="shared" si="4"/>
        <v>99.71161719853316</v>
      </c>
      <c r="K19" s="88">
        <f t="shared" si="5"/>
        <v>100</v>
      </c>
      <c r="L19" s="222"/>
    </row>
    <row r="20" spans="1:11" ht="12.75">
      <c r="A20" s="79">
        <v>7300</v>
      </c>
      <c r="B20" s="121">
        <v>3312</v>
      </c>
      <c r="C20" s="185" t="s">
        <v>89</v>
      </c>
      <c r="D20" s="77">
        <v>212</v>
      </c>
      <c r="E20" s="80">
        <v>2122</v>
      </c>
      <c r="F20" s="67" t="s">
        <v>128</v>
      </c>
      <c r="G20" s="103">
        <v>2700</v>
      </c>
      <c r="H20" s="103">
        <v>2660</v>
      </c>
      <c r="I20" s="103">
        <v>2660</v>
      </c>
      <c r="J20" s="87">
        <f t="shared" si="4"/>
        <v>98.51851851851852</v>
      </c>
      <c r="K20" s="88">
        <f t="shared" si="5"/>
        <v>100</v>
      </c>
    </row>
    <row r="21" spans="1:11" ht="12.75">
      <c r="A21" s="79">
        <v>7300</v>
      </c>
      <c r="B21" s="121">
        <v>3314</v>
      </c>
      <c r="C21" s="185" t="s">
        <v>90</v>
      </c>
      <c r="D21" s="77">
        <v>212</v>
      </c>
      <c r="E21" s="80">
        <v>2122</v>
      </c>
      <c r="F21" s="67" t="s">
        <v>128</v>
      </c>
      <c r="G21" s="103">
        <v>1606</v>
      </c>
      <c r="H21" s="103">
        <v>1046</v>
      </c>
      <c r="I21" s="103">
        <v>1046</v>
      </c>
      <c r="J21" s="87">
        <f t="shared" si="4"/>
        <v>65.1307596513076</v>
      </c>
      <c r="K21" s="88">
        <f t="shared" si="5"/>
        <v>100</v>
      </c>
    </row>
    <row r="22" spans="1:11" ht="12.75">
      <c r="A22" s="79">
        <v>7300</v>
      </c>
      <c r="B22" s="121">
        <v>3315</v>
      </c>
      <c r="C22" s="185" t="s">
        <v>91</v>
      </c>
      <c r="D22" s="77">
        <v>212</v>
      </c>
      <c r="E22" s="80">
        <v>2122</v>
      </c>
      <c r="F22" s="67" t="s">
        <v>128</v>
      </c>
      <c r="G22" s="103">
        <v>5036</v>
      </c>
      <c r="H22" s="103">
        <v>6878</v>
      </c>
      <c r="I22" s="103">
        <v>6878</v>
      </c>
      <c r="J22" s="87">
        <f t="shared" si="4"/>
        <v>136.57664813343925</v>
      </c>
      <c r="K22" s="88">
        <f t="shared" si="5"/>
        <v>100</v>
      </c>
    </row>
    <row r="23" spans="1:11" ht="12.75">
      <c r="A23" s="79">
        <v>7300</v>
      </c>
      <c r="B23" s="121">
        <v>3317</v>
      </c>
      <c r="C23" s="185" t="s">
        <v>92</v>
      </c>
      <c r="D23" s="77">
        <v>212</v>
      </c>
      <c r="E23" s="80">
        <v>2122</v>
      </c>
      <c r="F23" s="67" t="s">
        <v>128</v>
      </c>
      <c r="G23" s="103">
        <v>1597</v>
      </c>
      <c r="H23" s="103">
        <v>1578</v>
      </c>
      <c r="I23" s="103">
        <v>1578</v>
      </c>
      <c r="J23" s="87">
        <f t="shared" si="4"/>
        <v>98.81026925485284</v>
      </c>
      <c r="K23" s="88">
        <f t="shared" si="5"/>
        <v>100</v>
      </c>
    </row>
    <row r="24" spans="1:11" ht="12.75">
      <c r="A24" s="79">
        <v>7300</v>
      </c>
      <c r="B24" s="121">
        <v>3319</v>
      </c>
      <c r="C24" s="12" t="s">
        <v>48</v>
      </c>
      <c r="D24" s="77">
        <v>212</v>
      </c>
      <c r="E24" s="80">
        <v>2122</v>
      </c>
      <c r="F24" s="67" t="s">
        <v>128</v>
      </c>
      <c r="G24" s="103">
        <v>1000</v>
      </c>
      <c r="H24" s="103">
        <v>1000</v>
      </c>
      <c r="I24" s="103">
        <v>1000</v>
      </c>
      <c r="J24" s="87">
        <f aca="true" t="shared" si="7" ref="J24:K26">IF(G24&lt;=0,0,$I24/G24*100)</f>
        <v>100</v>
      </c>
      <c r="K24" s="88">
        <f t="shared" si="7"/>
        <v>100</v>
      </c>
    </row>
    <row r="25" spans="1:11" ht="12.75" customHeight="1">
      <c r="A25" s="79">
        <v>7400</v>
      </c>
      <c r="B25" s="80">
        <v>3113</v>
      </c>
      <c r="C25" s="131" t="s">
        <v>23</v>
      </c>
      <c r="D25" s="100">
        <v>212</v>
      </c>
      <c r="E25" s="80">
        <v>2122</v>
      </c>
      <c r="F25" s="67" t="s">
        <v>128</v>
      </c>
      <c r="G25" s="103">
        <v>4800</v>
      </c>
      <c r="H25" s="103">
        <v>4800</v>
      </c>
      <c r="I25" s="103">
        <v>4800</v>
      </c>
      <c r="J25" s="87">
        <f t="shared" si="7"/>
        <v>100</v>
      </c>
      <c r="K25" s="88">
        <f t="shared" si="7"/>
        <v>100</v>
      </c>
    </row>
    <row r="26" spans="1:11" ht="12.75" customHeight="1">
      <c r="A26" s="79">
        <v>7400</v>
      </c>
      <c r="B26" s="80">
        <v>3419</v>
      </c>
      <c r="C26" s="161" t="s">
        <v>49</v>
      </c>
      <c r="D26" s="100">
        <v>212</v>
      </c>
      <c r="E26" s="80">
        <v>2129</v>
      </c>
      <c r="F26" s="67" t="s">
        <v>295</v>
      </c>
      <c r="G26" s="103"/>
      <c r="H26" s="103"/>
      <c r="I26" s="103">
        <v>62</v>
      </c>
      <c r="J26" s="87">
        <f t="shared" si="7"/>
        <v>0</v>
      </c>
      <c r="K26" s="88">
        <f t="shared" si="7"/>
        <v>0</v>
      </c>
    </row>
    <row r="27" spans="1:11" ht="13.5" thickBot="1">
      <c r="A27" s="111"/>
      <c r="B27" s="112"/>
      <c r="C27" s="212"/>
      <c r="D27" s="98" t="s">
        <v>129</v>
      </c>
      <c r="E27" s="112"/>
      <c r="F27" s="213"/>
      <c r="G27" s="136">
        <f>SUBTOTAL(9,G16:G26)</f>
        <v>111225</v>
      </c>
      <c r="H27" s="136">
        <f>SUBTOTAL(9,H16:H26)</f>
        <v>112205</v>
      </c>
      <c r="I27" s="136">
        <f>SUBTOTAL(9,I16:I26)</f>
        <v>112267</v>
      </c>
      <c r="J27" s="137">
        <f t="shared" si="4"/>
        <v>100.93683973926726</v>
      </c>
      <c r="K27" s="214">
        <f t="shared" si="5"/>
        <v>100.05525600463439</v>
      </c>
    </row>
    <row r="28" spans="1:11" ht="12.75">
      <c r="A28" s="79"/>
      <c r="B28" s="80"/>
      <c r="C28" s="97"/>
      <c r="D28" s="85"/>
      <c r="E28" s="80"/>
      <c r="F28" s="81"/>
      <c r="G28" s="140"/>
      <c r="H28" s="140"/>
      <c r="I28" s="140"/>
      <c r="J28" s="141">
        <f t="shared" si="4"/>
        <v>0</v>
      </c>
      <c r="K28" s="220">
        <f t="shared" si="5"/>
        <v>0</v>
      </c>
    </row>
    <row r="29" spans="1:11" ht="12.75">
      <c r="A29" s="105" t="s">
        <v>130</v>
      </c>
      <c r="B29" s="80"/>
      <c r="C29" s="97"/>
      <c r="D29" s="85"/>
      <c r="E29" s="80"/>
      <c r="F29" s="81"/>
      <c r="G29" s="140"/>
      <c r="H29" s="140"/>
      <c r="I29" s="140"/>
      <c r="J29" s="101">
        <f t="shared" si="4"/>
        <v>0</v>
      </c>
      <c r="K29" s="102">
        <f t="shared" si="5"/>
        <v>0</v>
      </c>
    </row>
    <row r="30" spans="1:11" ht="12.75">
      <c r="A30" s="79">
        <v>4200</v>
      </c>
      <c r="B30" s="128">
        <v>3632</v>
      </c>
      <c r="C30" s="12" t="s">
        <v>1</v>
      </c>
      <c r="D30" s="75" t="str">
        <f aca="true" t="shared" si="8" ref="D30:D38">(MID(E30,1,3))</f>
        <v>213</v>
      </c>
      <c r="E30" s="128">
        <v>2131</v>
      </c>
      <c r="F30" s="161" t="s">
        <v>131</v>
      </c>
      <c r="G30" s="103">
        <v>9</v>
      </c>
      <c r="H30" s="103">
        <v>9</v>
      </c>
      <c r="I30" s="103">
        <v>20</v>
      </c>
      <c r="J30" s="87">
        <f t="shared" si="4"/>
        <v>222.22222222222223</v>
      </c>
      <c r="K30" s="88">
        <f t="shared" si="5"/>
        <v>222.22222222222223</v>
      </c>
    </row>
    <row r="31" spans="1:11" ht="12.75">
      <c r="A31" s="79">
        <v>4200</v>
      </c>
      <c r="B31" s="121">
        <v>3745</v>
      </c>
      <c r="C31" s="122" t="s">
        <v>2</v>
      </c>
      <c r="D31" s="75" t="str">
        <f t="shared" si="8"/>
        <v>213</v>
      </c>
      <c r="E31" s="121">
        <v>2131</v>
      </c>
      <c r="F31" s="161" t="s">
        <v>131</v>
      </c>
      <c r="G31" s="86">
        <v>227</v>
      </c>
      <c r="H31" s="86">
        <v>227</v>
      </c>
      <c r="I31" s="86">
        <v>253</v>
      </c>
      <c r="J31" s="87">
        <f t="shared" si="4"/>
        <v>111.45374449339207</v>
      </c>
      <c r="K31" s="88">
        <f t="shared" si="5"/>
        <v>111.45374449339207</v>
      </c>
    </row>
    <row r="32" spans="1:11" ht="12.75">
      <c r="A32" s="127">
        <v>6200</v>
      </c>
      <c r="B32" s="128">
        <v>3612</v>
      </c>
      <c r="C32" s="185" t="s">
        <v>12</v>
      </c>
      <c r="D32" s="75" t="str">
        <f t="shared" si="8"/>
        <v>213</v>
      </c>
      <c r="E32" s="121">
        <v>2131</v>
      </c>
      <c r="F32" s="161" t="s">
        <v>131</v>
      </c>
      <c r="G32" s="103">
        <v>128</v>
      </c>
      <c r="H32" s="103">
        <v>128</v>
      </c>
      <c r="I32" s="103">
        <v>133</v>
      </c>
      <c r="J32" s="87">
        <f t="shared" si="4"/>
        <v>103.90625</v>
      </c>
      <c r="K32" s="88">
        <f t="shared" si="5"/>
        <v>103.90625</v>
      </c>
    </row>
    <row r="33" spans="1:12" ht="12.75">
      <c r="A33" s="127">
        <v>6300</v>
      </c>
      <c r="B33" s="128">
        <v>3639</v>
      </c>
      <c r="C33" s="122" t="s">
        <v>124</v>
      </c>
      <c r="D33" s="75" t="str">
        <f>(MID(E33,1,3))</f>
        <v>213</v>
      </c>
      <c r="E33" s="128">
        <v>2131</v>
      </c>
      <c r="F33" s="161" t="s">
        <v>131</v>
      </c>
      <c r="G33" s="103">
        <v>950</v>
      </c>
      <c r="H33" s="103">
        <v>950</v>
      </c>
      <c r="I33" s="103">
        <v>6946</v>
      </c>
      <c r="J33" s="101">
        <f t="shared" si="4"/>
        <v>731.1578947368421</v>
      </c>
      <c r="K33" s="102">
        <f t="shared" si="5"/>
        <v>731.1578947368421</v>
      </c>
      <c r="L33" s="257" t="s">
        <v>306</v>
      </c>
    </row>
    <row r="34" spans="1:11" ht="12.75">
      <c r="A34" s="120">
        <v>6600</v>
      </c>
      <c r="B34" s="121">
        <v>3639</v>
      </c>
      <c r="C34" s="122" t="s">
        <v>124</v>
      </c>
      <c r="D34" s="75" t="str">
        <f t="shared" si="8"/>
        <v>213</v>
      </c>
      <c r="E34" s="121">
        <v>2131</v>
      </c>
      <c r="F34" s="161" t="s">
        <v>131</v>
      </c>
      <c r="G34" s="86">
        <v>46000</v>
      </c>
      <c r="H34" s="86">
        <v>46000</v>
      </c>
      <c r="I34" s="86">
        <v>42413</v>
      </c>
      <c r="J34" s="101">
        <f t="shared" si="4"/>
        <v>92.20217391304348</v>
      </c>
      <c r="K34" s="102">
        <f t="shared" si="5"/>
        <v>92.20217391304348</v>
      </c>
    </row>
    <row r="35" spans="1:11" ht="12.75">
      <c r="A35" s="120">
        <v>7300</v>
      </c>
      <c r="B35" s="121">
        <v>3311</v>
      </c>
      <c r="C35" s="122" t="s">
        <v>24</v>
      </c>
      <c r="D35" s="75" t="str">
        <f>(MID(E35,1,3))</f>
        <v>213</v>
      </c>
      <c r="E35" s="121">
        <v>2131</v>
      </c>
      <c r="F35" s="161" t="s">
        <v>131</v>
      </c>
      <c r="G35" s="86">
        <v>84</v>
      </c>
      <c r="H35" s="86">
        <v>3</v>
      </c>
      <c r="I35" s="86">
        <v>3</v>
      </c>
      <c r="J35" s="87">
        <f aca="true" t="shared" si="9" ref="J35:K38">IF(G35&lt;=0,0,$I35/G35*100)</f>
        <v>3.571428571428571</v>
      </c>
      <c r="K35" s="88">
        <f t="shared" si="9"/>
        <v>100</v>
      </c>
    </row>
    <row r="36" spans="1:11" ht="12.75">
      <c r="A36" s="79">
        <v>1900</v>
      </c>
      <c r="B36" s="80">
        <v>2143</v>
      </c>
      <c r="C36" s="12" t="s">
        <v>185</v>
      </c>
      <c r="D36" s="75" t="str">
        <f t="shared" si="8"/>
        <v>213</v>
      </c>
      <c r="E36" s="80">
        <v>2132</v>
      </c>
      <c r="F36" s="81" t="s">
        <v>203</v>
      </c>
      <c r="G36" s="82">
        <v>580</v>
      </c>
      <c r="H36" s="82">
        <v>580</v>
      </c>
      <c r="I36" s="82">
        <v>663</v>
      </c>
      <c r="J36" s="87">
        <f t="shared" si="9"/>
        <v>114.31034482758619</v>
      </c>
      <c r="K36" s="88">
        <f t="shared" si="9"/>
        <v>114.31034482758619</v>
      </c>
    </row>
    <row r="37" spans="1:11" ht="12.75">
      <c r="A37" s="79">
        <v>4200</v>
      </c>
      <c r="B37" s="80">
        <v>3745</v>
      </c>
      <c r="C37" s="97" t="s">
        <v>2</v>
      </c>
      <c r="D37" s="75" t="str">
        <f>(MID(E37,1,3))</f>
        <v>213</v>
      </c>
      <c r="E37" s="80">
        <v>2132</v>
      </c>
      <c r="F37" s="81" t="s">
        <v>203</v>
      </c>
      <c r="G37" s="82">
        <v>140</v>
      </c>
      <c r="H37" s="82">
        <v>140</v>
      </c>
      <c r="I37" s="82">
        <v>142</v>
      </c>
      <c r="J37" s="87">
        <f t="shared" si="9"/>
        <v>101.42857142857142</v>
      </c>
      <c r="K37" s="88">
        <f t="shared" si="9"/>
        <v>101.42857142857142</v>
      </c>
    </row>
    <row r="38" spans="1:11" ht="12.75">
      <c r="A38" s="120">
        <v>4300</v>
      </c>
      <c r="B38" s="121">
        <v>1031</v>
      </c>
      <c r="C38" s="122" t="s">
        <v>132</v>
      </c>
      <c r="D38" s="75" t="str">
        <f t="shared" si="8"/>
        <v>213</v>
      </c>
      <c r="E38" s="121">
        <v>2132</v>
      </c>
      <c r="F38" s="81" t="s">
        <v>203</v>
      </c>
      <c r="G38" s="86">
        <v>8300</v>
      </c>
      <c r="H38" s="86">
        <v>8300</v>
      </c>
      <c r="I38" s="86">
        <v>8355</v>
      </c>
      <c r="J38" s="87">
        <f t="shared" si="9"/>
        <v>100.66265060240964</v>
      </c>
      <c r="K38" s="88">
        <f t="shared" si="9"/>
        <v>100.66265060240964</v>
      </c>
    </row>
    <row r="39" spans="1:12" ht="12.75">
      <c r="A39" s="120">
        <v>5400</v>
      </c>
      <c r="B39" s="223">
        <v>2219</v>
      </c>
      <c r="C39" s="122" t="s">
        <v>53</v>
      </c>
      <c r="D39" s="75" t="str">
        <f aca="true" t="shared" si="10" ref="D39:D53">(MID(E39,1,3))</f>
        <v>213</v>
      </c>
      <c r="E39" s="121">
        <v>2132</v>
      </c>
      <c r="F39" s="81" t="s">
        <v>203</v>
      </c>
      <c r="G39" s="86">
        <v>3790</v>
      </c>
      <c r="H39" s="86">
        <v>4737</v>
      </c>
      <c r="I39" s="86">
        <v>7335</v>
      </c>
      <c r="J39" s="101">
        <f t="shared" si="4"/>
        <v>193.53562005277044</v>
      </c>
      <c r="K39" s="102">
        <f t="shared" si="5"/>
        <v>154.84483850538317</v>
      </c>
      <c r="L39" s="257"/>
    </row>
    <row r="40" spans="1:11" ht="12.75">
      <c r="A40" s="120">
        <v>5400</v>
      </c>
      <c r="B40" s="223">
        <v>2271</v>
      </c>
      <c r="C40" s="122" t="s">
        <v>20</v>
      </c>
      <c r="D40" s="75" t="str">
        <f>(MID(E40,1,3))</f>
        <v>213</v>
      </c>
      <c r="E40" s="121">
        <v>2132</v>
      </c>
      <c r="F40" s="81" t="s">
        <v>203</v>
      </c>
      <c r="G40" s="86">
        <v>78</v>
      </c>
      <c r="H40" s="86">
        <v>78</v>
      </c>
      <c r="I40" s="86">
        <v>97</v>
      </c>
      <c r="J40" s="87">
        <f t="shared" si="4"/>
        <v>124.35897435897436</v>
      </c>
      <c r="K40" s="88">
        <f t="shared" si="5"/>
        <v>124.35897435897436</v>
      </c>
    </row>
    <row r="41" spans="1:11" ht="12.75">
      <c r="A41" s="130" t="s">
        <v>170</v>
      </c>
      <c r="B41" s="128">
        <v>3612</v>
      </c>
      <c r="C41" s="185" t="s">
        <v>12</v>
      </c>
      <c r="D41" s="75" t="str">
        <f t="shared" si="10"/>
        <v>213</v>
      </c>
      <c r="E41" s="128">
        <v>2132</v>
      </c>
      <c r="F41" s="81" t="s">
        <v>203</v>
      </c>
      <c r="G41" s="103">
        <v>4800</v>
      </c>
      <c r="H41" s="103">
        <v>4800</v>
      </c>
      <c r="I41" s="103">
        <v>4847</v>
      </c>
      <c r="J41" s="123">
        <f t="shared" si="4"/>
        <v>100.97916666666666</v>
      </c>
      <c r="K41" s="102">
        <f t="shared" si="5"/>
        <v>100.97916666666666</v>
      </c>
    </row>
    <row r="42" spans="1:11" ht="12.75">
      <c r="A42" s="130" t="s">
        <v>195</v>
      </c>
      <c r="B42" s="128">
        <v>3612</v>
      </c>
      <c r="C42" s="185" t="s">
        <v>12</v>
      </c>
      <c r="D42" s="75" t="str">
        <f>(MID(E42,1,3))</f>
        <v>213</v>
      </c>
      <c r="E42" s="121">
        <v>2132</v>
      </c>
      <c r="F42" s="81" t="s">
        <v>203</v>
      </c>
      <c r="G42" s="103">
        <v>37137</v>
      </c>
      <c r="H42" s="103">
        <v>37137</v>
      </c>
      <c r="I42" s="103">
        <v>37916</v>
      </c>
      <c r="J42" s="123">
        <f>IF(G42&lt;=0,0,$I42/G42*100)</f>
        <v>102.09763847375932</v>
      </c>
      <c r="K42" s="102">
        <f>IF(H42&lt;=0,0,$I42/H42*100)</f>
        <v>102.09763847375932</v>
      </c>
    </row>
    <row r="43" spans="1:12" ht="12.75">
      <c r="A43" s="120">
        <v>6600</v>
      </c>
      <c r="B43" s="121">
        <v>3639</v>
      </c>
      <c r="C43" s="122" t="s">
        <v>124</v>
      </c>
      <c r="D43" s="75" t="str">
        <f t="shared" si="10"/>
        <v>213</v>
      </c>
      <c r="E43" s="121">
        <v>2132</v>
      </c>
      <c r="F43" s="81" t="s">
        <v>203</v>
      </c>
      <c r="G43" s="86">
        <v>39665</v>
      </c>
      <c r="H43" s="86">
        <v>39665</v>
      </c>
      <c r="I43" s="86">
        <v>42880</v>
      </c>
      <c r="J43" s="123">
        <f>IF(G43&lt;=0,0,$I43/G43*100)</f>
        <v>108.10538257909997</v>
      </c>
      <c r="K43" s="102">
        <f>IF(H43&lt;=0,0,$I43/H43*100)</f>
        <v>108.10538257909997</v>
      </c>
      <c r="L43" s="257"/>
    </row>
    <row r="44" spans="1:11" ht="12.75">
      <c r="A44" s="79">
        <v>6600</v>
      </c>
      <c r="B44" s="80">
        <v>6171</v>
      </c>
      <c r="C44" s="97" t="s">
        <v>9</v>
      </c>
      <c r="D44" s="75" t="str">
        <f t="shared" si="10"/>
        <v>213</v>
      </c>
      <c r="E44" s="80">
        <v>2132</v>
      </c>
      <c r="F44" s="81" t="s">
        <v>203</v>
      </c>
      <c r="G44" s="82">
        <v>8460</v>
      </c>
      <c r="H44" s="82">
        <v>8460</v>
      </c>
      <c r="I44" s="82">
        <v>8020</v>
      </c>
      <c r="J44" s="101">
        <f t="shared" si="4"/>
        <v>94.79905437352247</v>
      </c>
      <c r="K44" s="102">
        <f t="shared" si="5"/>
        <v>94.79905437352247</v>
      </c>
    </row>
    <row r="45" spans="1:12" ht="12.75">
      <c r="A45" s="127">
        <v>7100</v>
      </c>
      <c r="B45" s="128">
        <v>3511</v>
      </c>
      <c r="C45" s="10" t="s">
        <v>13</v>
      </c>
      <c r="D45" s="75" t="str">
        <f t="shared" si="10"/>
        <v>213</v>
      </c>
      <c r="E45" s="128">
        <v>2132</v>
      </c>
      <c r="F45" s="81" t="s">
        <v>203</v>
      </c>
      <c r="G45" s="103">
        <v>5821</v>
      </c>
      <c r="H45" s="103">
        <v>5821</v>
      </c>
      <c r="I45" s="103">
        <v>6189</v>
      </c>
      <c r="J45" s="101">
        <f t="shared" si="4"/>
        <v>106.32193781137262</v>
      </c>
      <c r="K45" s="102">
        <f t="shared" si="5"/>
        <v>106.32193781137262</v>
      </c>
      <c r="L45" s="257"/>
    </row>
    <row r="46" spans="1:11" ht="12.75">
      <c r="A46" s="120">
        <v>7200</v>
      </c>
      <c r="B46" s="121">
        <v>3639</v>
      </c>
      <c r="C46" s="122" t="s">
        <v>124</v>
      </c>
      <c r="D46" s="75" t="str">
        <f t="shared" si="10"/>
        <v>213</v>
      </c>
      <c r="E46" s="121">
        <v>2132</v>
      </c>
      <c r="F46" s="81" t="s">
        <v>203</v>
      </c>
      <c r="G46" s="86">
        <v>80</v>
      </c>
      <c r="H46" s="86">
        <v>80</v>
      </c>
      <c r="I46" s="86">
        <v>76</v>
      </c>
      <c r="J46" s="123">
        <f t="shared" si="4"/>
        <v>95</v>
      </c>
      <c r="K46" s="102">
        <f t="shared" si="5"/>
        <v>95</v>
      </c>
    </row>
    <row r="47" spans="1:11" ht="12.75">
      <c r="A47" s="120">
        <v>7200</v>
      </c>
      <c r="B47" s="121">
        <v>4341</v>
      </c>
      <c r="C47" s="161" t="s">
        <v>213</v>
      </c>
      <c r="D47" s="75" t="str">
        <f>(MID(E47,1,3))</f>
        <v>213</v>
      </c>
      <c r="E47" s="121">
        <v>2132</v>
      </c>
      <c r="F47" s="81" t="s">
        <v>203</v>
      </c>
      <c r="G47" s="86"/>
      <c r="H47" s="86"/>
      <c r="I47" s="86">
        <v>4</v>
      </c>
      <c r="J47" s="123"/>
      <c r="K47" s="102"/>
    </row>
    <row r="48" spans="1:11" ht="12.75">
      <c r="A48" s="120">
        <v>7200</v>
      </c>
      <c r="B48" s="121">
        <v>4357</v>
      </c>
      <c r="C48" s="122" t="s">
        <v>292</v>
      </c>
      <c r="D48" s="75" t="str">
        <f>(MID(E48,1,3))</f>
        <v>213</v>
      </c>
      <c r="E48" s="121">
        <v>2132</v>
      </c>
      <c r="F48" s="81" t="s">
        <v>203</v>
      </c>
      <c r="G48" s="86"/>
      <c r="H48" s="86"/>
      <c r="I48" s="86">
        <v>22</v>
      </c>
      <c r="J48" s="87">
        <f t="shared" si="4"/>
        <v>0</v>
      </c>
      <c r="K48" s="88">
        <f t="shared" si="5"/>
        <v>0</v>
      </c>
    </row>
    <row r="49" spans="1:12" ht="12.75">
      <c r="A49" s="120">
        <v>7300</v>
      </c>
      <c r="B49" s="121">
        <v>3311</v>
      </c>
      <c r="C49" s="185" t="s">
        <v>24</v>
      </c>
      <c r="D49" s="75" t="str">
        <f t="shared" si="10"/>
        <v>213</v>
      </c>
      <c r="E49" s="121">
        <v>2132</v>
      </c>
      <c r="F49" s="81" t="s">
        <v>203</v>
      </c>
      <c r="G49" s="86">
        <v>3182</v>
      </c>
      <c r="H49" s="86">
        <v>3084</v>
      </c>
      <c r="I49" s="86">
        <v>3306</v>
      </c>
      <c r="J49" s="123">
        <f t="shared" si="4"/>
        <v>103.89692017598995</v>
      </c>
      <c r="K49" s="102">
        <f t="shared" si="5"/>
        <v>107.19844357976653</v>
      </c>
      <c r="L49" s="257"/>
    </row>
    <row r="50" spans="1:11" ht="12.75">
      <c r="A50" s="120">
        <v>7300</v>
      </c>
      <c r="B50" s="121">
        <v>3312</v>
      </c>
      <c r="C50" s="185" t="s">
        <v>89</v>
      </c>
      <c r="D50" s="75" t="str">
        <f t="shared" si="10"/>
        <v>213</v>
      </c>
      <c r="E50" s="121">
        <v>2132</v>
      </c>
      <c r="F50" s="81" t="s">
        <v>203</v>
      </c>
      <c r="G50" s="86">
        <v>420</v>
      </c>
      <c r="H50" s="86">
        <v>452</v>
      </c>
      <c r="I50" s="86">
        <v>452</v>
      </c>
      <c r="J50" s="87">
        <f t="shared" si="4"/>
        <v>107.61904761904762</v>
      </c>
      <c r="K50" s="102">
        <f t="shared" si="5"/>
        <v>100</v>
      </c>
    </row>
    <row r="51" spans="1:11" ht="12.75">
      <c r="A51" s="120">
        <v>7300</v>
      </c>
      <c r="B51" s="121">
        <v>3314</v>
      </c>
      <c r="C51" s="185" t="s">
        <v>90</v>
      </c>
      <c r="D51" s="75" t="str">
        <f t="shared" si="10"/>
        <v>213</v>
      </c>
      <c r="E51" s="121">
        <v>2132</v>
      </c>
      <c r="F51" s="81" t="s">
        <v>203</v>
      </c>
      <c r="G51" s="86">
        <v>1174</v>
      </c>
      <c r="H51" s="86">
        <v>1163</v>
      </c>
      <c r="I51" s="86">
        <v>1179</v>
      </c>
      <c r="J51" s="101">
        <f t="shared" si="4"/>
        <v>100.4258943781942</v>
      </c>
      <c r="K51" s="102">
        <f t="shared" si="5"/>
        <v>101.37575236457437</v>
      </c>
    </row>
    <row r="52" spans="1:11" ht="12.75">
      <c r="A52" s="120">
        <v>7300</v>
      </c>
      <c r="B52" s="121">
        <v>3315</v>
      </c>
      <c r="C52" s="185" t="s">
        <v>91</v>
      </c>
      <c r="D52" s="75" t="str">
        <f t="shared" si="10"/>
        <v>213</v>
      </c>
      <c r="E52" s="121">
        <v>2132</v>
      </c>
      <c r="F52" s="81" t="s">
        <v>203</v>
      </c>
      <c r="G52" s="86">
        <v>300</v>
      </c>
      <c r="H52" s="86">
        <v>713</v>
      </c>
      <c r="I52" s="86">
        <v>678</v>
      </c>
      <c r="J52" s="87">
        <f t="shared" si="4"/>
        <v>225.99999999999997</v>
      </c>
      <c r="K52" s="102">
        <f t="shared" si="5"/>
        <v>95.09116409537167</v>
      </c>
    </row>
    <row r="53" spans="1:11" ht="12.75">
      <c r="A53" s="120">
        <v>7300</v>
      </c>
      <c r="B53" s="121">
        <v>3317</v>
      </c>
      <c r="C53" s="12" t="s">
        <v>92</v>
      </c>
      <c r="D53" s="75" t="str">
        <f t="shared" si="10"/>
        <v>213</v>
      </c>
      <c r="E53" s="121">
        <v>2132</v>
      </c>
      <c r="F53" s="81" t="s">
        <v>203</v>
      </c>
      <c r="G53" s="86">
        <v>1554</v>
      </c>
      <c r="H53" s="86">
        <v>1543</v>
      </c>
      <c r="I53" s="86">
        <v>1536</v>
      </c>
      <c r="J53" s="87">
        <f t="shared" si="4"/>
        <v>98.84169884169884</v>
      </c>
      <c r="K53" s="102">
        <f t="shared" si="5"/>
        <v>99.54633830200908</v>
      </c>
    </row>
    <row r="54" spans="1:11" ht="12.75">
      <c r="A54" s="120">
        <v>7400</v>
      </c>
      <c r="B54" s="121">
        <v>3113</v>
      </c>
      <c r="C54" s="131" t="s">
        <v>23</v>
      </c>
      <c r="D54" s="77">
        <v>213</v>
      </c>
      <c r="E54" s="121">
        <v>2132</v>
      </c>
      <c r="F54" s="81" t="s">
        <v>203</v>
      </c>
      <c r="G54" s="86">
        <v>769</v>
      </c>
      <c r="H54" s="86">
        <v>769</v>
      </c>
      <c r="I54" s="86">
        <v>781</v>
      </c>
      <c r="J54" s="87">
        <f t="shared" si="4"/>
        <v>101.56046814044213</v>
      </c>
      <c r="K54" s="102">
        <f t="shared" si="5"/>
        <v>101.56046814044213</v>
      </c>
    </row>
    <row r="55" spans="1:11" ht="12.75">
      <c r="A55" s="120">
        <v>7400</v>
      </c>
      <c r="B55" s="121">
        <v>3419</v>
      </c>
      <c r="C55" s="161" t="s">
        <v>49</v>
      </c>
      <c r="D55" s="75" t="str">
        <f>(MID(E55,1,3))</f>
        <v>213</v>
      </c>
      <c r="E55" s="121">
        <v>2132</v>
      </c>
      <c r="F55" s="81" t="s">
        <v>203</v>
      </c>
      <c r="G55" s="86">
        <v>1097</v>
      </c>
      <c r="H55" s="86">
        <v>1097</v>
      </c>
      <c r="I55" s="86">
        <v>1118</v>
      </c>
      <c r="J55" s="87">
        <f t="shared" si="4"/>
        <v>101.91431175934366</v>
      </c>
      <c r="K55" s="102">
        <f t="shared" si="5"/>
        <v>101.91431175934366</v>
      </c>
    </row>
    <row r="56" spans="1:11" ht="12.75">
      <c r="A56" s="79">
        <v>8200</v>
      </c>
      <c r="B56" s="80">
        <v>5311</v>
      </c>
      <c r="C56" s="12" t="s">
        <v>88</v>
      </c>
      <c r="D56" s="77">
        <v>213</v>
      </c>
      <c r="E56" s="80">
        <v>2132</v>
      </c>
      <c r="F56" s="81" t="s">
        <v>203</v>
      </c>
      <c r="G56" s="82">
        <v>150</v>
      </c>
      <c r="H56" s="82">
        <v>150</v>
      </c>
      <c r="I56" s="82">
        <v>122</v>
      </c>
      <c r="J56" s="87">
        <f t="shared" si="4"/>
        <v>81.33333333333333</v>
      </c>
      <c r="K56" s="88">
        <f t="shared" si="5"/>
        <v>81.33333333333333</v>
      </c>
    </row>
    <row r="57" spans="1:11" ht="13.5" thickBot="1">
      <c r="A57" s="111"/>
      <c r="B57" s="112"/>
      <c r="C57" s="212"/>
      <c r="D57" s="98" t="s">
        <v>133</v>
      </c>
      <c r="E57" s="112"/>
      <c r="F57" s="213"/>
      <c r="G57" s="136">
        <f>SUBTOTAL(9,G30:G56)</f>
        <v>164895</v>
      </c>
      <c r="H57" s="136">
        <f>SUBTOTAL(9,H30:H56)</f>
        <v>166086</v>
      </c>
      <c r="I57" s="136">
        <f>SUBTOTAL(9,I30:I56)</f>
        <v>175486</v>
      </c>
      <c r="J57" s="137">
        <f aca="true" t="shared" si="11" ref="J57:J74">IF(G57&lt;=0,0,$I57/G57*100)</f>
        <v>106.4228751629825</v>
      </c>
      <c r="K57" s="214">
        <f aca="true" t="shared" si="12" ref="K57:K92">IF(H57&lt;=0,0,$I57/H57*100)</f>
        <v>105.65971845911155</v>
      </c>
    </row>
    <row r="58" spans="1:11" ht="12.75">
      <c r="A58" s="79"/>
      <c r="B58" s="80"/>
      <c r="C58" s="97"/>
      <c r="D58" s="85"/>
      <c r="E58" s="80"/>
      <c r="F58" s="81"/>
      <c r="G58" s="140"/>
      <c r="H58" s="140"/>
      <c r="I58" s="140"/>
      <c r="J58" s="141">
        <f t="shared" si="11"/>
        <v>0</v>
      </c>
      <c r="K58" s="220">
        <f t="shared" si="12"/>
        <v>0</v>
      </c>
    </row>
    <row r="59" spans="1:11" ht="12.75">
      <c r="A59" s="105" t="s">
        <v>219</v>
      </c>
      <c r="B59" s="80"/>
      <c r="C59" s="97"/>
      <c r="D59" s="85"/>
      <c r="E59" s="80"/>
      <c r="F59" s="81"/>
      <c r="G59" s="140"/>
      <c r="H59" s="140"/>
      <c r="I59" s="140"/>
      <c r="J59" s="141">
        <f t="shared" si="11"/>
        <v>0</v>
      </c>
      <c r="K59" s="220">
        <f t="shared" si="12"/>
        <v>0</v>
      </c>
    </row>
    <row r="60" spans="1:12" ht="12.75">
      <c r="A60" s="79">
        <v>1700</v>
      </c>
      <c r="B60" s="80">
        <v>6310</v>
      </c>
      <c r="C60" s="97" t="s">
        <v>136</v>
      </c>
      <c r="D60" s="97" t="str">
        <f aca="true" t="shared" si="13" ref="D60:D65">(MID(E60,1,3))</f>
        <v>214</v>
      </c>
      <c r="E60" s="80">
        <v>2141</v>
      </c>
      <c r="F60" s="81" t="s">
        <v>134</v>
      </c>
      <c r="G60" s="82">
        <v>20200</v>
      </c>
      <c r="H60" s="82">
        <v>20200</v>
      </c>
      <c r="I60" s="82">
        <v>13884</v>
      </c>
      <c r="J60" s="101">
        <f t="shared" si="11"/>
        <v>68.73267326732673</v>
      </c>
      <c r="K60" s="102">
        <f t="shared" si="12"/>
        <v>68.73267326732673</v>
      </c>
      <c r="L60" s="257"/>
    </row>
    <row r="61" spans="1:11" ht="12.75">
      <c r="A61" s="79">
        <v>5600</v>
      </c>
      <c r="B61" s="80">
        <v>2212</v>
      </c>
      <c r="C61" s="97" t="s">
        <v>19</v>
      </c>
      <c r="D61" s="97" t="str">
        <f t="shared" si="13"/>
        <v>214</v>
      </c>
      <c r="E61" s="80">
        <v>2141</v>
      </c>
      <c r="F61" s="81" t="s">
        <v>134</v>
      </c>
      <c r="G61" s="82"/>
      <c r="H61" s="82"/>
      <c r="I61" s="82">
        <v>4</v>
      </c>
      <c r="J61" s="87">
        <f t="shared" si="11"/>
        <v>0</v>
      </c>
      <c r="K61" s="88">
        <f t="shared" si="12"/>
        <v>0</v>
      </c>
    </row>
    <row r="62" spans="1:11" ht="12.75">
      <c r="A62" s="130" t="s">
        <v>170</v>
      </c>
      <c r="B62" s="80">
        <v>3612</v>
      </c>
      <c r="C62" s="97" t="s">
        <v>12</v>
      </c>
      <c r="D62" s="75" t="str">
        <f t="shared" si="13"/>
        <v>214</v>
      </c>
      <c r="E62" s="80">
        <v>2141</v>
      </c>
      <c r="F62" s="81" t="s">
        <v>134</v>
      </c>
      <c r="G62" s="82">
        <v>166</v>
      </c>
      <c r="H62" s="82">
        <v>166</v>
      </c>
      <c r="I62" s="82">
        <v>164</v>
      </c>
      <c r="J62" s="101">
        <f t="shared" si="11"/>
        <v>98.79518072289156</v>
      </c>
      <c r="K62" s="102">
        <f t="shared" si="12"/>
        <v>98.79518072289156</v>
      </c>
    </row>
    <row r="63" spans="1:11" ht="12.75">
      <c r="A63" s="130" t="s">
        <v>170</v>
      </c>
      <c r="B63" s="80">
        <v>3619</v>
      </c>
      <c r="C63" s="97" t="s">
        <v>135</v>
      </c>
      <c r="D63" s="97" t="str">
        <f t="shared" si="13"/>
        <v>214</v>
      </c>
      <c r="E63" s="80">
        <v>2141</v>
      </c>
      <c r="F63" s="81" t="s">
        <v>134</v>
      </c>
      <c r="G63" s="82">
        <v>1697</v>
      </c>
      <c r="H63" s="82">
        <v>1697</v>
      </c>
      <c r="I63" s="82">
        <v>1508</v>
      </c>
      <c r="J63" s="101">
        <f t="shared" si="11"/>
        <v>88.86269888037714</v>
      </c>
      <c r="K63" s="102">
        <f t="shared" si="12"/>
        <v>88.86269888037714</v>
      </c>
    </row>
    <row r="64" spans="1:11" ht="12.75">
      <c r="A64" s="129" t="s">
        <v>212</v>
      </c>
      <c r="B64" s="80">
        <v>6310</v>
      </c>
      <c r="C64" s="97" t="s">
        <v>136</v>
      </c>
      <c r="D64" s="97" t="str">
        <f t="shared" si="13"/>
        <v>214</v>
      </c>
      <c r="E64" s="91">
        <v>2142</v>
      </c>
      <c r="F64" s="92" t="s">
        <v>233</v>
      </c>
      <c r="G64" s="104">
        <v>55000</v>
      </c>
      <c r="H64" s="104">
        <v>55000</v>
      </c>
      <c r="I64" s="104">
        <v>48465</v>
      </c>
      <c r="J64" s="87">
        <f>IF(G64&lt;=0,0,$I64/G64*100)</f>
        <v>88.11818181818182</v>
      </c>
      <c r="K64" s="102">
        <f>IF(H64&lt;=0,0,$I64/H64*100)</f>
        <v>88.11818181818182</v>
      </c>
    </row>
    <row r="65" spans="1:11" ht="12.75">
      <c r="A65" s="129" t="s">
        <v>212</v>
      </c>
      <c r="B65" s="80">
        <v>6310</v>
      </c>
      <c r="C65" s="97" t="s">
        <v>136</v>
      </c>
      <c r="D65" s="97" t="str">
        <f t="shared" si="13"/>
        <v>214</v>
      </c>
      <c r="E65" s="91">
        <v>2143</v>
      </c>
      <c r="F65" s="92" t="s">
        <v>302</v>
      </c>
      <c r="G65" s="104"/>
      <c r="H65" s="104"/>
      <c r="I65" s="104">
        <v>3</v>
      </c>
      <c r="J65" s="87">
        <f t="shared" si="11"/>
        <v>0</v>
      </c>
      <c r="K65" s="102">
        <f t="shared" si="12"/>
        <v>0</v>
      </c>
    </row>
    <row r="66" spans="1:11" ht="13.5" thickBot="1">
      <c r="A66" s="111"/>
      <c r="B66" s="112"/>
      <c r="C66" s="212"/>
      <c r="D66" s="98" t="s">
        <v>220</v>
      </c>
      <c r="E66" s="112"/>
      <c r="F66" s="213"/>
      <c r="G66" s="136">
        <f>SUBTOTAL(9,G60:G65)</f>
        <v>77063</v>
      </c>
      <c r="H66" s="136">
        <f>SUBTOTAL(9,H60:H65)</f>
        <v>77063</v>
      </c>
      <c r="I66" s="136">
        <f>SUBTOTAL(9,I60:I65)</f>
        <v>64028</v>
      </c>
      <c r="J66" s="137">
        <f t="shared" si="11"/>
        <v>83.0852678976941</v>
      </c>
      <c r="K66" s="214">
        <f t="shared" si="12"/>
        <v>83.0852678976941</v>
      </c>
    </row>
    <row r="67" spans="1:11" ht="12.75">
      <c r="A67" s="224"/>
      <c r="B67" s="225"/>
      <c r="C67" s="226"/>
      <c r="D67" s="85"/>
      <c r="E67" s="225"/>
      <c r="F67" s="227"/>
      <c r="G67" s="138"/>
      <c r="H67" s="138"/>
      <c r="I67" s="138"/>
      <c r="J67" s="139">
        <f t="shared" si="11"/>
        <v>0</v>
      </c>
      <c r="K67" s="228">
        <f t="shared" si="12"/>
        <v>0</v>
      </c>
    </row>
    <row r="68" spans="1:11" ht="12.75">
      <c r="A68" s="229" t="s">
        <v>137</v>
      </c>
      <c r="B68" s="121"/>
      <c r="C68" s="122"/>
      <c r="D68" s="85"/>
      <c r="E68" s="121"/>
      <c r="F68" s="161"/>
      <c r="G68" s="140"/>
      <c r="H68" s="140"/>
      <c r="I68" s="140"/>
      <c r="J68" s="141">
        <f t="shared" si="11"/>
        <v>0</v>
      </c>
      <c r="K68" s="220">
        <f t="shared" si="12"/>
        <v>0</v>
      </c>
    </row>
    <row r="69" spans="1:11" ht="12.75">
      <c r="A69" s="79">
        <v>1900</v>
      </c>
      <c r="B69" s="230">
        <v>2143</v>
      </c>
      <c r="C69" s="12" t="s">
        <v>185</v>
      </c>
      <c r="D69" s="75" t="str">
        <f aca="true" t="shared" si="14" ref="D69:D82">(MID(E69,1,3))</f>
        <v>221</v>
      </c>
      <c r="E69" s="80">
        <v>2212</v>
      </c>
      <c r="F69" s="125" t="s">
        <v>209</v>
      </c>
      <c r="G69" s="82"/>
      <c r="H69" s="82"/>
      <c r="I69" s="211">
        <v>5</v>
      </c>
      <c r="J69" s="87">
        <f t="shared" si="11"/>
        <v>0</v>
      </c>
      <c r="K69" s="88">
        <f t="shared" si="12"/>
        <v>0</v>
      </c>
    </row>
    <row r="70" spans="1:11" ht="12.75">
      <c r="A70" s="79">
        <v>3200</v>
      </c>
      <c r="B70" s="230">
        <v>6171</v>
      </c>
      <c r="C70" s="126" t="s">
        <v>9</v>
      </c>
      <c r="D70" s="75" t="str">
        <f>(MID(E70,1,3))</f>
        <v>221</v>
      </c>
      <c r="E70" s="80">
        <v>2212</v>
      </c>
      <c r="F70" s="125" t="s">
        <v>209</v>
      </c>
      <c r="G70" s="82">
        <v>40</v>
      </c>
      <c r="H70" s="82">
        <v>40</v>
      </c>
      <c r="I70" s="211">
        <v>29</v>
      </c>
      <c r="J70" s="87">
        <f t="shared" si="11"/>
        <v>72.5</v>
      </c>
      <c r="K70" s="88">
        <f t="shared" si="12"/>
        <v>72.5</v>
      </c>
    </row>
    <row r="71" spans="1:12" ht="12.75">
      <c r="A71" s="79">
        <v>3800</v>
      </c>
      <c r="B71" s="80">
        <v>6171</v>
      </c>
      <c r="C71" s="97" t="s">
        <v>9</v>
      </c>
      <c r="D71" s="75" t="str">
        <f t="shared" si="14"/>
        <v>221</v>
      </c>
      <c r="E71" s="80">
        <v>2212</v>
      </c>
      <c r="F71" s="125" t="s">
        <v>209</v>
      </c>
      <c r="G71" s="82">
        <v>1500</v>
      </c>
      <c r="H71" s="82">
        <v>1500</v>
      </c>
      <c r="I71" s="211">
        <v>1117</v>
      </c>
      <c r="J71" s="87">
        <f t="shared" si="11"/>
        <v>74.46666666666667</v>
      </c>
      <c r="K71" s="88">
        <f t="shared" si="12"/>
        <v>74.46666666666667</v>
      </c>
      <c r="L71" s="257"/>
    </row>
    <row r="72" spans="1:11" ht="12.75">
      <c r="A72" s="79">
        <v>4200</v>
      </c>
      <c r="B72" s="80">
        <v>3749</v>
      </c>
      <c r="C72" s="97" t="s">
        <v>148</v>
      </c>
      <c r="D72" s="75" t="str">
        <f t="shared" si="14"/>
        <v>221</v>
      </c>
      <c r="E72" s="80">
        <v>2212</v>
      </c>
      <c r="F72" s="125" t="s">
        <v>209</v>
      </c>
      <c r="G72" s="82">
        <v>400</v>
      </c>
      <c r="H72" s="82">
        <v>400</v>
      </c>
      <c r="I72" s="82">
        <v>561</v>
      </c>
      <c r="J72" s="87">
        <f t="shared" si="11"/>
        <v>140.25</v>
      </c>
      <c r="K72" s="88">
        <f t="shared" si="12"/>
        <v>140.25</v>
      </c>
    </row>
    <row r="73" spans="1:11" ht="12.75">
      <c r="A73" s="120">
        <v>4300</v>
      </c>
      <c r="B73" s="121">
        <v>2399</v>
      </c>
      <c r="C73" s="122" t="s">
        <v>138</v>
      </c>
      <c r="D73" s="75" t="str">
        <f t="shared" si="14"/>
        <v>221</v>
      </c>
      <c r="E73" s="80">
        <v>2212</v>
      </c>
      <c r="F73" s="125" t="s">
        <v>209</v>
      </c>
      <c r="G73" s="86">
        <v>100</v>
      </c>
      <c r="H73" s="86">
        <v>100</v>
      </c>
      <c r="I73" s="86">
        <v>210</v>
      </c>
      <c r="J73" s="87">
        <f t="shared" si="11"/>
        <v>210</v>
      </c>
      <c r="K73" s="88">
        <f t="shared" si="12"/>
        <v>210</v>
      </c>
    </row>
    <row r="74" spans="1:11" ht="12.75">
      <c r="A74" s="120">
        <v>5400</v>
      </c>
      <c r="B74" s="121">
        <v>2219</v>
      </c>
      <c r="C74" s="122" t="s">
        <v>53</v>
      </c>
      <c r="D74" s="75" t="str">
        <f t="shared" si="14"/>
        <v>221</v>
      </c>
      <c r="E74" s="80">
        <v>2212</v>
      </c>
      <c r="F74" s="125" t="s">
        <v>209</v>
      </c>
      <c r="G74" s="86">
        <v>200</v>
      </c>
      <c r="H74" s="86">
        <v>200</v>
      </c>
      <c r="I74" s="86">
        <v>427</v>
      </c>
      <c r="J74" s="87">
        <f t="shared" si="11"/>
        <v>213.49999999999997</v>
      </c>
      <c r="K74" s="88">
        <f t="shared" si="12"/>
        <v>213.49999999999997</v>
      </c>
    </row>
    <row r="75" spans="1:12" ht="12.75">
      <c r="A75" s="120">
        <v>5600</v>
      </c>
      <c r="B75" s="121">
        <v>3111</v>
      </c>
      <c r="C75" s="122" t="s">
        <v>95</v>
      </c>
      <c r="D75" s="75" t="str">
        <f>(MID(E75,1,3))</f>
        <v>221</v>
      </c>
      <c r="E75" s="80">
        <v>2212</v>
      </c>
      <c r="F75" s="125" t="s">
        <v>209</v>
      </c>
      <c r="G75" s="86"/>
      <c r="H75" s="86"/>
      <c r="I75" s="86">
        <v>498</v>
      </c>
      <c r="J75" s="87"/>
      <c r="K75" s="88"/>
      <c r="L75" s="257"/>
    </row>
    <row r="76" spans="1:12" ht="12.75">
      <c r="A76" s="120">
        <v>5600</v>
      </c>
      <c r="B76" s="121">
        <v>3113</v>
      </c>
      <c r="C76" s="131" t="s">
        <v>23</v>
      </c>
      <c r="D76" s="75" t="str">
        <f>(MID(E76,1,3))</f>
        <v>221</v>
      </c>
      <c r="E76" s="80">
        <v>2212</v>
      </c>
      <c r="F76" s="125" t="s">
        <v>209</v>
      </c>
      <c r="G76" s="86"/>
      <c r="H76" s="86"/>
      <c r="I76" s="86">
        <v>609</v>
      </c>
      <c r="J76" s="87"/>
      <c r="K76" s="88"/>
      <c r="L76" s="257"/>
    </row>
    <row r="77" spans="1:11" ht="12.75">
      <c r="A77" s="120">
        <v>5600</v>
      </c>
      <c r="B77" s="121">
        <v>3421</v>
      </c>
      <c r="C77" s="262" t="s">
        <v>94</v>
      </c>
      <c r="D77" s="75" t="str">
        <f>(MID(E77,1,3))</f>
        <v>221</v>
      </c>
      <c r="E77" s="80">
        <v>2212</v>
      </c>
      <c r="F77" s="125" t="s">
        <v>209</v>
      </c>
      <c r="G77" s="86"/>
      <c r="H77" s="86"/>
      <c r="I77" s="86">
        <v>31</v>
      </c>
      <c r="J77" s="87"/>
      <c r="K77" s="88"/>
    </row>
    <row r="78" spans="1:11" ht="12.75">
      <c r="A78" s="120">
        <v>5600</v>
      </c>
      <c r="B78" s="121">
        <v>3741</v>
      </c>
      <c r="C78" s="122" t="s">
        <v>6</v>
      </c>
      <c r="D78" s="75" t="str">
        <f>(MID(E78,1,3))</f>
        <v>221</v>
      </c>
      <c r="E78" s="80">
        <v>2212</v>
      </c>
      <c r="F78" s="125" t="s">
        <v>209</v>
      </c>
      <c r="G78" s="86"/>
      <c r="H78" s="86"/>
      <c r="I78" s="86">
        <v>117</v>
      </c>
      <c r="J78" s="87">
        <f aca="true" t="shared" si="15" ref="J78:J91">IF(G78&lt;=0,0,$I78/G78*100)</f>
        <v>0</v>
      </c>
      <c r="K78" s="88">
        <f aca="true" t="shared" si="16" ref="K78:K91">IF(H78&lt;=0,0,$I78/H78*100)</f>
        <v>0</v>
      </c>
    </row>
    <row r="79" spans="1:12" ht="12.75">
      <c r="A79" s="120">
        <v>5800</v>
      </c>
      <c r="B79" s="223">
        <v>2219</v>
      </c>
      <c r="C79" s="122" t="s">
        <v>53</v>
      </c>
      <c r="D79" s="75" t="str">
        <f t="shared" si="14"/>
        <v>221</v>
      </c>
      <c r="E79" s="80">
        <v>2212</v>
      </c>
      <c r="F79" s="125" t="s">
        <v>209</v>
      </c>
      <c r="G79" s="86">
        <v>15000</v>
      </c>
      <c r="H79" s="86">
        <v>15000</v>
      </c>
      <c r="I79" s="86">
        <v>20653</v>
      </c>
      <c r="J79" s="87">
        <f t="shared" si="15"/>
        <v>137.68666666666667</v>
      </c>
      <c r="K79" s="88">
        <f t="shared" si="16"/>
        <v>137.68666666666667</v>
      </c>
      <c r="L79" s="257"/>
    </row>
    <row r="80" spans="1:12" ht="12.75">
      <c r="A80" s="120">
        <v>6200</v>
      </c>
      <c r="B80" s="223">
        <v>3612</v>
      </c>
      <c r="C80" s="122" t="s">
        <v>12</v>
      </c>
      <c r="D80" s="75" t="str">
        <f>(MID(E80,1,3))</f>
        <v>221</v>
      </c>
      <c r="E80" s="80">
        <v>2212</v>
      </c>
      <c r="F80" s="125" t="s">
        <v>209</v>
      </c>
      <c r="G80" s="86"/>
      <c r="H80" s="86"/>
      <c r="I80" s="86">
        <v>1590</v>
      </c>
      <c r="J80" s="87">
        <f t="shared" si="15"/>
        <v>0</v>
      </c>
      <c r="K80" s="88">
        <f t="shared" si="16"/>
        <v>0</v>
      </c>
      <c r="L80" s="257"/>
    </row>
    <row r="81" spans="1:12" ht="12.75">
      <c r="A81" s="120">
        <v>6300</v>
      </c>
      <c r="B81" s="223">
        <v>3639</v>
      </c>
      <c r="C81" s="122" t="s">
        <v>124</v>
      </c>
      <c r="D81" s="75" t="str">
        <f>(MID(E81,1,3))</f>
        <v>221</v>
      </c>
      <c r="E81" s="80">
        <v>2212</v>
      </c>
      <c r="F81" s="125" t="s">
        <v>209</v>
      </c>
      <c r="G81" s="86"/>
      <c r="H81" s="86"/>
      <c r="I81" s="86">
        <v>725</v>
      </c>
      <c r="J81" s="87">
        <f t="shared" si="15"/>
        <v>0</v>
      </c>
      <c r="K81" s="88">
        <f t="shared" si="16"/>
        <v>0</v>
      </c>
      <c r="L81" s="257"/>
    </row>
    <row r="82" spans="1:12" ht="12.75">
      <c r="A82" s="120">
        <v>6500</v>
      </c>
      <c r="B82" s="80">
        <v>6171</v>
      </c>
      <c r="C82" s="97" t="s">
        <v>9</v>
      </c>
      <c r="D82" s="75" t="str">
        <f t="shared" si="14"/>
        <v>221</v>
      </c>
      <c r="E82" s="80">
        <v>2212</v>
      </c>
      <c r="F82" s="125" t="s">
        <v>209</v>
      </c>
      <c r="G82" s="86">
        <v>1500</v>
      </c>
      <c r="H82" s="86">
        <v>1500</v>
      </c>
      <c r="I82" s="86">
        <v>2433</v>
      </c>
      <c r="J82" s="87">
        <f t="shared" si="15"/>
        <v>162.20000000000002</v>
      </c>
      <c r="K82" s="88">
        <f t="shared" si="16"/>
        <v>162.20000000000002</v>
      </c>
      <c r="L82" s="257"/>
    </row>
    <row r="83" spans="1:11" ht="12.75">
      <c r="A83" s="120">
        <v>6600</v>
      </c>
      <c r="B83" s="80">
        <v>3639</v>
      </c>
      <c r="C83" s="97" t="s">
        <v>124</v>
      </c>
      <c r="D83" s="75" t="str">
        <f>(MID(E83,1,3))</f>
        <v>221</v>
      </c>
      <c r="E83" s="80">
        <v>2212</v>
      </c>
      <c r="F83" s="125" t="s">
        <v>209</v>
      </c>
      <c r="G83" s="86"/>
      <c r="H83" s="86"/>
      <c r="I83" s="86">
        <v>15</v>
      </c>
      <c r="J83" s="87">
        <f t="shared" si="15"/>
        <v>0</v>
      </c>
      <c r="K83" s="88">
        <f t="shared" si="16"/>
        <v>0</v>
      </c>
    </row>
    <row r="84" spans="1:11" ht="12.75">
      <c r="A84" s="120">
        <v>7100</v>
      </c>
      <c r="B84" s="80">
        <v>3511</v>
      </c>
      <c r="C84" s="10" t="s">
        <v>13</v>
      </c>
      <c r="D84" s="75" t="str">
        <f aca="true" t="shared" si="17" ref="D84:D93">(MID(E84,1,3))</f>
        <v>221</v>
      </c>
      <c r="E84" s="80">
        <v>2212</v>
      </c>
      <c r="F84" s="125" t="s">
        <v>209</v>
      </c>
      <c r="G84" s="86"/>
      <c r="H84" s="86"/>
      <c r="I84" s="86">
        <v>5</v>
      </c>
      <c r="J84" s="87">
        <f t="shared" si="15"/>
        <v>0</v>
      </c>
      <c r="K84" s="88">
        <f t="shared" si="16"/>
        <v>0</v>
      </c>
    </row>
    <row r="85" spans="1:11" ht="12.75">
      <c r="A85" s="120">
        <v>7200</v>
      </c>
      <c r="B85" s="80">
        <v>6171</v>
      </c>
      <c r="C85" s="97" t="s">
        <v>9</v>
      </c>
      <c r="D85" s="75" t="str">
        <f t="shared" si="17"/>
        <v>221</v>
      </c>
      <c r="E85" s="80">
        <v>2212</v>
      </c>
      <c r="F85" s="125" t="s">
        <v>209</v>
      </c>
      <c r="G85" s="86"/>
      <c r="H85" s="86"/>
      <c r="I85" s="86">
        <v>75</v>
      </c>
      <c r="J85" s="87">
        <f t="shared" si="15"/>
        <v>0</v>
      </c>
      <c r="K85" s="88">
        <f t="shared" si="16"/>
        <v>0</v>
      </c>
    </row>
    <row r="86" spans="1:11" ht="12.75">
      <c r="A86" s="120">
        <v>7300</v>
      </c>
      <c r="B86" s="80">
        <v>3311</v>
      </c>
      <c r="C86" s="185" t="s">
        <v>24</v>
      </c>
      <c r="D86" s="75" t="str">
        <f t="shared" si="17"/>
        <v>221</v>
      </c>
      <c r="E86" s="80">
        <v>2212</v>
      </c>
      <c r="F86" s="125" t="s">
        <v>209</v>
      </c>
      <c r="G86" s="86"/>
      <c r="H86" s="86">
        <v>2</v>
      </c>
      <c r="I86" s="86">
        <v>21</v>
      </c>
      <c r="J86" s="87">
        <f t="shared" si="15"/>
        <v>0</v>
      </c>
      <c r="K86" s="88">
        <f t="shared" si="16"/>
        <v>1050</v>
      </c>
    </row>
    <row r="87" spans="1:11" ht="12.75">
      <c r="A87" s="120">
        <v>7300</v>
      </c>
      <c r="B87" s="80">
        <v>3312</v>
      </c>
      <c r="C87" s="185" t="s">
        <v>89</v>
      </c>
      <c r="D87" s="75" t="str">
        <f t="shared" si="17"/>
        <v>221</v>
      </c>
      <c r="E87" s="80">
        <v>2212</v>
      </c>
      <c r="F87" s="125" t="s">
        <v>209</v>
      </c>
      <c r="G87" s="86"/>
      <c r="H87" s="86">
        <v>10</v>
      </c>
      <c r="I87" s="86">
        <v>11</v>
      </c>
      <c r="J87" s="87">
        <f t="shared" si="15"/>
        <v>0</v>
      </c>
      <c r="K87" s="88">
        <f t="shared" si="16"/>
        <v>110.00000000000001</v>
      </c>
    </row>
    <row r="88" spans="1:11" ht="12.75">
      <c r="A88" s="120">
        <v>7300</v>
      </c>
      <c r="B88" s="80">
        <v>3315</v>
      </c>
      <c r="C88" s="185" t="s">
        <v>91</v>
      </c>
      <c r="D88" s="75" t="str">
        <f>(MID(E88,1,3))</f>
        <v>221</v>
      </c>
      <c r="E88" s="80">
        <v>2212</v>
      </c>
      <c r="F88" s="125" t="s">
        <v>209</v>
      </c>
      <c r="G88" s="86"/>
      <c r="H88" s="86"/>
      <c r="I88" s="86">
        <v>1</v>
      </c>
      <c r="J88" s="87">
        <f t="shared" si="15"/>
        <v>0</v>
      </c>
      <c r="K88" s="88">
        <f t="shared" si="16"/>
        <v>0</v>
      </c>
    </row>
    <row r="89" spans="1:11" ht="12.75">
      <c r="A89" s="120">
        <v>7300</v>
      </c>
      <c r="B89" s="121">
        <v>3319</v>
      </c>
      <c r="C89" s="12" t="s">
        <v>48</v>
      </c>
      <c r="D89" s="75" t="str">
        <f t="shared" si="17"/>
        <v>221</v>
      </c>
      <c r="E89" s="80">
        <v>2212</v>
      </c>
      <c r="F89" s="125" t="s">
        <v>209</v>
      </c>
      <c r="G89" s="86">
        <v>50</v>
      </c>
      <c r="H89" s="86">
        <v>50</v>
      </c>
      <c r="I89" s="86">
        <v>116</v>
      </c>
      <c r="J89" s="87">
        <f t="shared" si="15"/>
        <v>231.99999999999997</v>
      </c>
      <c r="K89" s="88">
        <f t="shared" si="16"/>
        <v>231.99999999999997</v>
      </c>
    </row>
    <row r="90" spans="1:11" ht="12.75">
      <c r="A90" s="120">
        <v>7300</v>
      </c>
      <c r="B90" s="121">
        <v>3326</v>
      </c>
      <c r="C90" s="15" t="s">
        <v>168</v>
      </c>
      <c r="D90" s="75" t="str">
        <f>(MID(E90,1,3))</f>
        <v>221</v>
      </c>
      <c r="E90" s="80">
        <v>2212</v>
      </c>
      <c r="F90" s="125" t="s">
        <v>209</v>
      </c>
      <c r="G90" s="86"/>
      <c r="H90" s="86"/>
      <c r="I90" s="86">
        <v>10</v>
      </c>
      <c r="J90" s="87"/>
      <c r="K90" s="88"/>
    </row>
    <row r="91" spans="1:11" ht="12.75">
      <c r="A91" s="120">
        <v>7400</v>
      </c>
      <c r="B91" s="121">
        <v>3419</v>
      </c>
      <c r="C91" s="161" t="s">
        <v>49</v>
      </c>
      <c r="D91" s="75" t="str">
        <f t="shared" si="17"/>
        <v>221</v>
      </c>
      <c r="E91" s="80">
        <v>2212</v>
      </c>
      <c r="F91" s="125" t="s">
        <v>209</v>
      </c>
      <c r="G91" s="86"/>
      <c r="H91" s="86"/>
      <c r="I91" s="86">
        <v>31</v>
      </c>
      <c r="J91" s="87">
        <f t="shared" si="15"/>
        <v>0</v>
      </c>
      <c r="K91" s="88">
        <f t="shared" si="16"/>
        <v>0</v>
      </c>
    </row>
    <row r="92" spans="1:11" ht="12.75">
      <c r="A92" s="120">
        <v>7500</v>
      </c>
      <c r="B92" s="121">
        <v>3322</v>
      </c>
      <c r="C92" s="122" t="s">
        <v>27</v>
      </c>
      <c r="D92" s="75" t="str">
        <f t="shared" si="17"/>
        <v>221</v>
      </c>
      <c r="E92" s="80">
        <v>2212</v>
      </c>
      <c r="F92" s="125" t="s">
        <v>209</v>
      </c>
      <c r="G92" s="86">
        <v>200</v>
      </c>
      <c r="H92" s="86">
        <v>200</v>
      </c>
      <c r="I92" s="86">
        <v>153</v>
      </c>
      <c r="J92" s="87">
        <f>IF(G92&lt;=0,0,$I92/G92*100)</f>
        <v>76.5</v>
      </c>
      <c r="K92" s="88">
        <f t="shared" si="12"/>
        <v>76.5</v>
      </c>
    </row>
    <row r="93" spans="1:12" ht="12.75">
      <c r="A93" s="120">
        <v>8200</v>
      </c>
      <c r="B93" s="121">
        <v>5311</v>
      </c>
      <c r="C93" s="122" t="s">
        <v>88</v>
      </c>
      <c r="D93" s="75" t="str">
        <f t="shared" si="17"/>
        <v>221</v>
      </c>
      <c r="E93" s="80">
        <v>2212</v>
      </c>
      <c r="F93" s="125" t="s">
        <v>209</v>
      </c>
      <c r="G93" s="86">
        <v>24700</v>
      </c>
      <c r="H93" s="86">
        <v>24700</v>
      </c>
      <c r="I93" s="86">
        <v>28594</v>
      </c>
      <c r="J93" s="87">
        <f aca="true" t="shared" si="18" ref="J93:J112">IF(G93&lt;=0,0,$I93/G93*100)</f>
        <v>115.76518218623481</v>
      </c>
      <c r="K93" s="88">
        <f aca="true" t="shared" si="19" ref="K93:K112">IF(H93&lt;=0,0,$I93/H93*100)</f>
        <v>115.76518218623481</v>
      </c>
      <c r="L93" s="257"/>
    </row>
    <row r="94" spans="1:11" ht="13.5" thickBot="1">
      <c r="A94" s="111"/>
      <c r="B94" s="112"/>
      <c r="C94" s="212"/>
      <c r="D94" s="98" t="s">
        <v>139</v>
      </c>
      <c r="E94" s="112"/>
      <c r="F94" s="213"/>
      <c r="G94" s="136">
        <f>SUBTOTAL(9,G69:G93)</f>
        <v>43690</v>
      </c>
      <c r="H94" s="136">
        <f>SUBTOTAL(9,H69:H93)</f>
        <v>43702</v>
      </c>
      <c r="I94" s="136">
        <f>SUBTOTAL(9,I69:I93)</f>
        <v>58037</v>
      </c>
      <c r="J94" s="137">
        <f t="shared" si="18"/>
        <v>132.83817807278552</v>
      </c>
      <c r="K94" s="214">
        <f t="shared" si="19"/>
        <v>132.80170243924763</v>
      </c>
    </row>
    <row r="95" spans="1:11" ht="12.75">
      <c r="A95" s="120"/>
      <c r="B95" s="121"/>
      <c r="C95" s="122"/>
      <c r="D95" s="85"/>
      <c r="E95" s="121"/>
      <c r="F95" s="161"/>
      <c r="G95" s="140"/>
      <c r="H95" s="140"/>
      <c r="I95" s="140"/>
      <c r="J95" s="142">
        <f t="shared" si="18"/>
        <v>0</v>
      </c>
      <c r="K95" s="231">
        <f t="shared" si="19"/>
        <v>0</v>
      </c>
    </row>
    <row r="96" spans="1:11" ht="12.75">
      <c r="A96" s="229" t="s">
        <v>285</v>
      </c>
      <c r="B96" s="121"/>
      <c r="C96" s="122"/>
      <c r="D96" s="85"/>
      <c r="E96" s="121"/>
      <c r="F96" s="161"/>
      <c r="G96" s="140"/>
      <c r="H96" s="140"/>
      <c r="I96" s="140"/>
      <c r="J96" s="87">
        <f t="shared" si="18"/>
        <v>0</v>
      </c>
      <c r="K96" s="88">
        <f t="shared" si="19"/>
        <v>0</v>
      </c>
    </row>
    <row r="97" spans="1:11" ht="12.75">
      <c r="A97" s="79">
        <v>1700</v>
      </c>
      <c r="B97" s="121">
        <v>6402</v>
      </c>
      <c r="C97" s="97" t="s">
        <v>96</v>
      </c>
      <c r="D97" s="75" t="str">
        <f aca="true" t="shared" si="20" ref="D97:D106">(MID(E97,1,3))</f>
        <v>222</v>
      </c>
      <c r="E97" s="121">
        <v>2226</v>
      </c>
      <c r="F97" s="81" t="s">
        <v>294</v>
      </c>
      <c r="G97" s="140"/>
      <c r="H97" s="152">
        <v>3672</v>
      </c>
      <c r="I97" s="82">
        <v>3672</v>
      </c>
      <c r="J97" s="87">
        <f t="shared" si="18"/>
        <v>0</v>
      </c>
      <c r="K97" s="88">
        <f t="shared" si="19"/>
        <v>100</v>
      </c>
    </row>
    <row r="98" spans="1:11" ht="12.75">
      <c r="A98" s="79">
        <v>1700</v>
      </c>
      <c r="B98" s="121">
        <v>6402</v>
      </c>
      <c r="C98" s="97" t="s">
        <v>96</v>
      </c>
      <c r="D98" s="75" t="str">
        <f>(MID(E98,1,3))</f>
        <v>222</v>
      </c>
      <c r="E98" s="121">
        <v>2229</v>
      </c>
      <c r="F98" s="81" t="s">
        <v>140</v>
      </c>
      <c r="G98" s="140"/>
      <c r="H98" s="152">
        <v>418</v>
      </c>
      <c r="I98" s="82">
        <v>418</v>
      </c>
      <c r="J98" s="87">
        <f t="shared" si="18"/>
        <v>0</v>
      </c>
      <c r="K98" s="88">
        <f t="shared" si="19"/>
        <v>100</v>
      </c>
    </row>
    <row r="99" spans="1:11" ht="12.75">
      <c r="A99" s="79">
        <v>1700</v>
      </c>
      <c r="B99" s="121">
        <v>6409</v>
      </c>
      <c r="C99" s="97" t="s">
        <v>38</v>
      </c>
      <c r="D99" s="75" t="str">
        <f>(MID(E99,1,3))</f>
        <v>222</v>
      </c>
      <c r="E99" s="121">
        <v>2229</v>
      </c>
      <c r="F99" s="81" t="s">
        <v>140</v>
      </c>
      <c r="G99" s="140"/>
      <c r="H99" s="152"/>
      <c r="I99" s="82">
        <v>1</v>
      </c>
      <c r="J99" s="87"/>
      <c r="K99" s="88">
        <f t="shared" si="19"/>
        <v>0</v>
      </c>
    </row>
    <row r="100" spans="1:11" ht="12.75">
      <c r="A100" s="79">
        <v>1900</v>
      </c>
      <c r="B100" s="121">
        <v>3809</v>
      </c>
      <c r="C100" s="262" t="s">
        <v>239</v>
      </c>
      <c r="D100" s="75" t="str">
        <f t="shared" si="20"/>
        <v>222</v>
      </c>
      <c r="E100" s="121">
        <v>2229</v>
      </c>
      <c r="F100" s="81" t="s">
        <v>140</v>
      </c>
      <c r="G100" s="140"/>
      <c r="H100" s="152"/>
      <c r="I100" s="82">
        <v>88</v>
      </c>
      <c r="J100" s="87">
        <f t="shared" si="18"/>
        <v>0</v>
      </c>
      <c r="K100" s="88">
        <f t="shared" si="19"/>
        <v>0</v>
      </c>
    </row>
    <row r="101" spans="1:11" ht="12.75">
      <c r="A101" s="79">
        <v>4100</v>
      </c>
      <c r="B101" s="121">
        <v>3809</v>
      </c>
      <c r="C101" s="262" t="s">
        <v>239</v>
      </c>
      <c r="D101" s="75" t="str">
        <f>(MID(E101,1,3))</f>
        <v>222</v>
      </c>
      <c r="E101" s="121">
        <v>2229</v>
      </c>
      <c r="F101" s="81" t="s">
        <v>140</v>
      </c>
      <c r="G101" s="140"/>
      <c r="H101" s="152">
        <v>437</v>
      </c>
      <c r="I101" s="82">
        <v>473</v>
      </c>
      <c r="J101" s="87">
        <f t="shared" si="18"/>
        <v>0</v>
      </c>
      <c r="K101" s="88">
        <f t="shared" si="19"/>
        <v>108.23798627002287</v>
      </c>
    </row>
    <row r="102" spans="1:12" ht="12.75">
      <c r="A102" s="79">
        <v>4200</v>
      </c>
      <c r="B102" s="121">
        <v>6409</v>
      </c>
      <c r="C102" s="262" t="s">
        <v>263</v>
      </c>
      <c r="D102" s="75" t="str">
        <f>(MID(E102,1,3))</f>
        <v>222</v>
      </c>
      <c r="E102" s="121">
        <v>2229</v>
      </c>
      <c r="F102" s="81" t="s">
        <v>140</v>
      </c>
      <c r="G102" s="140"/>
      <c r="H102" s="152"/>
      <c r="I102" s="82">
        <v>1919</v>
      </c>
      <c r="J102" s="87">
        <f t="shared" si="18"/>
        <v>0</v>
      </c>
      <c r="K102" s="88"/>
      <c r="L102" s="257"/>
    </row>
    <row r="103" spans="1:11" ht="12.75">
      <c r="A103" s="79">
        <v>7200</v>
      </c>
      <c r="B103" s="121">
        <v>6171</v>
      </c>
      <c r="C103" s="97" t="s">
        <v>9</v>
      </c>
      <c r="D103" s="75" t="str">
        <f t="shared" si="20"/>
        <v>222</v>
      </c>
      <c r="E103" s="121">
        <v>2229</v>
      </c>
      <c r="F103" s="81" t="s">
        <v>140</v>
      </c>
      <c r="G103" s="140"/>
      <c r="H103" s="152"/>
      <c r="I103" s="82">
        <v>150</v>
      </c>
      <c r="J103" s="87">
        <f t="shared" si="18"/>
        <v>0</v>
      </c>
      <c r="K103" s="88">
        <f t="shared" si="19"/>
        <v>0</v>
      </c>
    </row>
    <row r="104" spans="1:11" ht="12.75">
      <c r="A104" s="79">
        <v>7300</v>
      </c>
      <c r="B104" s="121">
        <v>3319</v>
      </c>
      <c r="C104" s="12" t="s">
        <v>48</v>
      </c>
      <c r="D104" s="75" t="str">
        <f t="shared" si="20"/>
        <v>222</v>
      </c>
      <c r="E104" s="121">
        <v>2229</v>
      </c>
      <c r="F104" s="81" t="s">
        <v>140</v>
      </c>
      <c r="G104" s="140"/>
      <c r="H104" s="152"/>
      <c r="I104" s="82">
        <v>26</v>
      </c>
      <c r="J104" s="87">
        <f t="shared" si="18"/>
        <v>0</v>
      </c>
      <c r="K104" s="88">
        <f t="shared" si="19"/>
        <v>0</v>
      </c>
    </row>
    <row r="105" spans="1:11" ht="12.75">
      <c r="A105" s="79">
        <v>7400</v>
      </c>
      <c r="B105" s="121">
        <v>3113</v>
      </c>
      <c r="C105" s="97" t="s">
        <v>23</v>
      </c>
      <c r="D105" s="75" t="str">
        <f t="shared" si="20"/>
        <v>222</v>
      </c>
      <c r="E105" s="121">
        <v>2229</v>
      </c>
      <c r="F105" s="81" t="s">
        <v>140</v>
      </c>
      <c r="G105" s="140"/>
      <c r="H105" s="152">
        <v>8</v>
      </c>
      <c r="I105" s="82">
        <v>8</v>
      </c>
      <c r="J105" s="87">
        <f t="shared" si="18"/>
        <v>0</v>
      </c>
      <c r="K105" s="88">
        <f t="shared" si="19"/>
        <v>100</v>
      </c>
    </row>
    <row r="106" spans="1:11" ht="12.75">
      <c r="A106" s="79">
        <v>7400</v>
      </c>
      <c r="B106" s="121">
        <v>3419</v>
      </c>
      <c r="C106" s="161" t="s">
        <v>49</v>
      </c>
      <c r="D106" s="75" t="str">
        <f t="shared" si="20"/>
        <v>222</v>
      </c>
      <c r="E106" s="121">
        <v>2229</v>
      </c>
      <c r="F106" s="81" t="s">
        <v>140</v>
      </c>
      <c r="G106" s="140"/>
      <c r="H106" s="152"/>
      <c r="I106" s="82">
        <v>20</v>
      </c>
      <c r="J106" s="87">
        <f t="shared" si="18"/>
        <v>0</v>
      </c>
      <c r="K106" s="88">
        <f t="shared" si="19"/>
        <v>0</v>
      </c>
    </row>
    <row r="107" spans="1:11" ht="13.5" thickBot="1">
      <c r="A107" s="111"/>
      <c r="B107" s="112"/>
      <c r="C107" s="212"/>
      <c r="D107" s="98" t="s">
        <v>286</v>
      </c>
      <c r="E107" s="112"/>
      <c r="F107" s="213"/>
      <c r="G107" s="136">
        <f>SUBTOTAL(9,G97:G106)</f>
        <v>0</v>
      </c>
      <c r="H107" s="136">
        <f>SUBTOTAL(9,H97:H106)</f>
        <v>4535</v>
      </c>
      <c r="I107" s="136">
        <f>SUBTOTAL(9,I97:I106)</f>
        <v>6775</v>
      </c>
      <c r="J107" s="137">
        <f t="shared" si="18"/>
        <v>0</v>
      </c>
      <c r="K107" s="214">
        <f t="shared" si="19"/>
        <v>149.393605292172</v>
      </c>
    </row>
    <row r="108" spans="1:13" ht="12.75">
      <c r="A108" s="79"/>
      <c r="B108" s="80"/>
      <c r="C108" s="97"/>
      <c r="D108" s="85"/>
      <c r="E108" s="80"/>
      <c r="F108" s="81"/>
      <c r="G108" s="140"/>
      <c r="H108" s="140"/>
      <c r="I108" s="140"/>
      <c r="J108" s="141">
        <f t="shared" si="18"/>
        <v>0</v>
      </c>
      <c r="K108" s="228">
        <f t="shared" si="19"/>
        <v>0</v>
      </c>
      <c r="L108" s="221"/>
      <c r="M108" s="221"/>
    </row>
    <row r="109" spans="1:13" ht="12.75">
      <c r="A109" s="105" t="s">
        <v>217</v>
      </c>
      <c r="B109" s="80"/>
      <c r="C109" s="97"/>
      <c r="D109" s="117"/>
      <c r="E109" s="80"/>
      <c r="F109" s="81"/>
      <c r="G109" s="140"/>
      <c r="H109" s="140"/>
      <c r="I109" s="140"/>
      <c r="J109" s="141">
        <f t="shared" si="18"/>
        <v>0</v>
      </c>
      <c r="K109" s="220">
        <f t="shared" si="19"/>
        <v>0</v>
      </c>
      <c r="L109" s="221"/>
      <c r="M109" s="221"/>
    </row>
    <row r="110" spans="1:11" ht="12.75">
      <c r="A110" s="120">
        <v>5400</v>
      </c>
      <c r="B110" s="121">
        <v>2219</v>
      </c>
      <c r="C110" s="122" t="s">
        <v>53</v>
      </c>
      <c r="D110" s="97" t="str">
        <f>(MID(E110,1,3))</f>
        <v>231</v>
      </c>
      <c r="E110" s="121">
        <v>2310</v>
      </c>
      <c r="F110" s="161" t="s">
        <v>141</v>
      </c>
      <c r="G110" s="86">
        <v>600</v>
      </c>
      <c r="H110" s="86">
        <v>600</v>
      </c>
      <c r="I110" s="86">
        <v>906</v>
      </c>
      <c r="J110" s="123">
        <f t="shared" si="18"/>
        <v>151</v>
      </c>
      <c r="K110" s="124">
        <f t="shared" si="19"/>
        <v>151</v>
      </c>
    </row>
    <row r="111" spans="1:11" ht="12.75">
      <c r="A111" s="120">
        <v>8200</v>
      </c>
      <c r="B111" s="121">
        <v>5311</v>
      </c>
      <c r="C111" s="122" t="s">
        <v>88</v>
      </c>
      <c r="D111" s="97" t="str">
        <f>(MID(E111,1,3))</f>
        <v>231</v>
      </c>
      <c r="E111" s="121">
        <v>2310</v>
      </c>
      <c r="F111" s="161" t="s">
        <v>141</v>
      </c>
      <c r="G111" s="86">
        <v>20</v>
      </c>
      <c r="H111" s="86">
        <v>20</v>
      </c>
      <c r="I111" s="86">
        <v>3</v>
      </c>
      <c r="J111" s="123">
        <f t="shared" si="18"/>
        <v>15</v>
      </c>
      <c r="K111" s="124">
        <f t="shared" si="19"/>
        <v>15</v>
      </c>
    </row>
    <row r="112" spans="1:11" ht="13.5" thickBot="1">
      <c r="A112" s="111"/>
      <c r="B112" s="112"/>
      <c r="C112" s="212"/>
      <c r="D112" s="98" t="s">
        <v>221</v>
      </c>
      <c r="E112" s="112"/>
      <c r="F112" s="213"/>
      <c r="G112" s="136">
        <f>SUBTOTAL(9,G110:G111)</f>
        <v>620</v>
      </c>
      <c r="H112" s="136">
        <f>SUBTOTAL(9,H110:H111)</f>
        <v>620</v>
      </c>
      <c r="I112" s="136">
        <f>SUBTOTAL(9,I110:I111)</f>
        <v>909</v>
      </c>
      <c r="J112" s="144">
        <f t="shared" si="18"/>
        <v>146.61290322580643</v>
      </c>
      <c r="K112" s="187">
        <f t="shared" si="19"/>
        <v>146.61290322580643</v>
      </c>
    </row>
    <row r="113" spans="1:11" ht="12.75">
      <c r="A113" s="120"/>
      <c r="B113" s="121"/>
      <c r="C113" s="122"/>
      <c r="D113" s="85"/>
      <c r="E113" s="121"/>
      <c r="F113" s="161"/>
      <c r="G113" s="140"/>
      <c r="H113" s="140"/>
      <c r="I113" s="140"/>
      <c r="J113" s="145">
        <f aca="true" t="shared" si="21" ref="J113:K115">IF(G113&lt;=0,0,$I113/G113*100)</f>
        <v>0</v>
      </c>
      <c r="K113" s="232">
        <f t="shared" si="21"/>
        <v>0</v>
      </c>
    </row>
    <row r="114" spans="1:11" ht="12.75">
      <c r="A114" s="229" t="s">
        <v>142</v>
      </c>
      <c r="B114" s="121"/>
      <c r="C114" s="122"/>
      <c r="D114" s="85"/>
      <c r="E114" s="121"/>
      <c r="F114" s="161"/>
      <c r="G114" s="140"/>
      <c r="H114" s="140"/>
      <c r="I114" s="140"/>
      <c r="J114" s="123">
        <f t="shared" si="21"/>
        <v>0</v>
      </c>
      <c r="K114" s="124">
        <f t="shared" si="21"/>
        <v>0</v>
      </c>
    </row>
    <row r="115" spans="1:11" ht="12.75">
      <c r="A115" s="120">
        <v>1700</v>
      </c>
      <c r="B115" s="121">
        <v>6171</v>
      </c>
      <c r="C115" s="10" t="s">
        <v>9</v>
      </c>
      <c r="D115" s="75" t="str">
        <f>(MID(E115,1,3))</f>
        <v>232</v>
      </c>
      <c r="E115" s="121">
        <v>2321</v>
      </c>
      <c r="F115" s="161" t="s">
        <v>143</v>
      </c>
      <c r="G115" s="103"/>
      <c r="H115" s="103"/>
      <c r="I115" s="103">
        <v>1</v>
      </c>
      <c r="J115" s="87">
        <f t="shared" si="21"/>
        <v>0</v>
      </c>
      <c r="K115" s="88">
        <f t="shared" si="21"/>
        <v>0</v>
      </c>
    </row>
    <row r="116" spans="1:11" ht="12.75">
      <c r="A116" s="120">
        <v>5400</v>
      </c>
      <c r="B116" s="121">
        <v>3636</v>
      </c>
      <c r="C116" s="10" t="s">
        <v>165</v>
      </c>
      <c r="D116" s="75" t="str">
        <f>(MID(E116,1,3))</f>
        <v>232</v>
      </c>
      <c r="E116" s="121">
        <v>2321</v>
      </c>
      <c r="F116" s="161" t="s">
        <v>143</v>
      </c>
      <c r="G116" s="103"/>
      <c r="H116" s="103"/>
      <c r="I116" s="103">
        <v>150</v>
      </c>
      <c r="J116" s="87"/>
      <c r="K116" s="88"/>
    </row>
    <row r="117" spans="1:11" ht="12.75">
      <c r="A117" s="120">
        <v>8200</v>
      </c>
      <c r="B117" s="121">
        <v>1014</v>
      </c>
      <c r="C117" s="10" t="s">
        <v>169</v>
      </c>
      <c r="D117" s="75" t="str">
        <f>(MID(E117,1,3))</f>
        <v>232</v>
      </c>
      <c r="E117" s="121">
        <v>2321</v>
      </c>
      <c r="F117" s="161" t="s">
        <v>143</v>
      </c>
      <c r="G117" s="103">
        <v>100</v>
      </c>
      <c r="H117" s="103">
        <v>100</v>
      </c>
      <c r="I117" s="103">
        <v>310</v>
      </c>
      <c r="J117" s="87">
        <f>IF(G117&lt;=0,0,$I117/G117*100)</f>
        <v>310</v>
      </c>
      <c r="K117" s="88">
        <f>IF(H117&lt;=0,0,$I117/H117*100)</f>
        <v>310</v>
      </c>
    </row>
    <row r="118" spans="1:11" ht="12.75">
      <c r="A118" s="120">
        <v>3200</v>
      </c>
      <c r="B118" s="121">
        <v>6171</v>
      </c>
      <c r="C118" s="97" t="s">
        <v>9</v>
      </c>
      <c r="D118" s="75" t="str">
        <f aca="true" t="shared" si="22" ref="D118:D135">(MID(E118,1,3))</f>
        <v>232</v>
      </c>
      <c r="E118" s="121">
        <v>2322</v>
      </c>
      <c r="F118" s="161" t="s">
        <v>194</v>
      </c>
      <c r="G118" s="103">
        <v>100</v>
      </c>
      <c r="H118" s="103">
        <v>100</v>
      </c>
      <c r="I118" s="103">
        <v>398</v>
      </c>
      <c r="J118" s="87">
        <f aca="true" t="shared" si="23" ref="J118:J175">IF(G118&lt;=0,0,$I118/G118*100)</f>
        <v>398</v>
      </c>
      <c r="K118" s="88">
        <f aca="true" t="shared" si="24" ref="K118:K175">IF(H118&lt;=0,0,$I118/H118*100)</f>
        <v>398</v>
      </c>
    </row>
    <row r="119" spans="1:11" ht="12.75">
      <c r="A119" s="120">
        <v>5400</v>
      </c>
      <c r="B119" s="121">
        <v>2212</v>
      </c>
      <c r="C119" s="97" t="s">
        <v>19</v>
      </c>
      <c r="D119" s="75" t="str">
        <f>(MID(E119,1,3))</f>
        <v>232</v>
      </c>
      <c r="E119" s="121">
        <v>2322</v>
      </c>
      <c r="F119" s="161" t="s">
        <v>194</v>
      </c>
      <c r="G119" s="103"/>
      <c r="H119" s="103">
        <v>1138</v>
      </c>
      <c r="I119" s="103">
        <v>1138</v>
      </c>
      <c r="J119" s="87">
        <f t="shared" si="23"/>
        <v>0</v>
      </c>
      <c r="K119" s="88">
        <f t="shared" si="24"/>
        <v>100</v>
      </c>
    </row>
    <row r="120" spans="1:12" ht="12.75">
      <c r="A120" s="120">
        <v>5600</v>
      </c>
      <c r="B120" s="121">
        <v>3113</v>
      </c>
      <c r="C120" s="97" t="s">
        <v>23</v>
      </c>
      <c r="D120" s="75" t="str">
        <f>(MID(E120,1,3))</f>
        <v>232</v>
      </c>
      <c r="E120" s="121">
        <v>2322</v>
      </c>
      <c r="F120" s="161" t="s">
        <v>194</v>
      </c>
      <c r="G120" s="103"/>
      <c r="H120" s="103"/>
      <c r="I120" s="103">
        <v>900</v>
      </c>
      <c r="J120" s="87">
        <f t="shared" si="23"/>
        <v>0</v>
      </c>
      <c r="K120" s="88">
        <f t="shared" si="24"/>
        <v>0</v>
      </c>
      <c r="L120" s="257"/>
    </row>
    <row r="121" spans="1:11" ht="12.75">
      <c r="A121" s="120">
        <v>8200</v>
      </c>
      <c r="B121" s="121">
        <v>1014</v>
      </c>
      <c r="C121" s="10" t="s">
        <v>169</v>
      </c>
      <c r="D121" s="75" t="str">
        <f>(MID(E121,1,3))</f>
        <v>232</v>
      </c>
      <c r="E121" s="121">
        <v>2322</v>
      </c>
      <c r="F121" s="161" t="s">
        <v>194</v>
      </c>
      <c r="G121" s="103"/>
      <c r="H121" s="103"/>
      <c r="I121" s="103">
        <v>198</v>
      </c>
      <c r="J121" s="87">
        <f t="shared" si="23"/>
        <v>0</v>
      </c>
      <c r="K121" s="88">
        <f t="shared" si="24"/>
        <v>0</v>
      </c>
    </row>
    <row r="122" spans="1:11" ht="12.75">
      <c r="A122" s="120">
        <v>8200</v>
      </c>
      <c r="B122" s="121">
        <v>5311</v>
      </c>
      <c r="C122" s="10" t="s">
        <v>88</v>
      </c>
      <c r="D122" s="75" t="str">
        <f t="shared" si="22"/>
        <v>232</v>
      </c>
      <c r="E122" s="121">
        <v>2322</v>
      </c>
      <c r="F122" s="161" t="s">
        <v>194</v>
      </c>
      <c r="G122" s="103">
        <v>100</v>
      </c>
      <c r="H122" s="103">
        <v>100</v>
      </c>
      <c r="I122" s="103">
        <v>604</v>
      </c>
      <c r="J122" s="87">
        <f t="shared" si="23"/>
        <v>604</v>
      </c>
      <c r="K122" s="88">
        <f t="shared" si="24"/>
        <v>604</v>
      </c>
    </row>
    <row r="123" spans="1:11" ht="12.75">
      <c r="A123" s="79">
        <v>1700</v>
      </c>
      <c r="B123" s="80">
        <v>6171</v>
      </c>
      <c r="C123" s="97" t="s">
        <v>9</v>
      </c>
      <c r="D123" s="75" t="str">
        <f t="shared" si="22"/>
        <v>232</v>
      </c>
      <c r="E123" s="80">
        <v>2324</v>
      </c>
      <c r="F123" s="125" t="s">
        <v>144</v>
      </c>
      <c r="G123" s="82">
        <v>300</v>
      </c>
      <c r="H123" s="82">
        <v>300</v>
      </c>
      <c r="I123" s="82">
        <v>466</v>
      </c>
      <c r="J123" s="87">
        <f t="shared" si="23"/>
        <v>155.33333333333331</v>
      </c>
      <c r="K123" s="88">
        <f t="shared" si="24"/>
        <v>155.33333333333331</v>
      </c>
    </row>
    <row r="124" spans="1:11" ht="12.75">
      <c r="A124" s="79">
        <v>3200</v>
      </c>
      <c r="B124" s="80">
        <v>6171</v>
      </c>
      <c r="C124" s="97" t="s">
        <v>9</v>
      </c>
      <c r="D124" s="75" t="str">
        <f t="shared" si="22"/>
        <v>232</v>
      </c>
      <c r="E124" s="80">
        <v>2324</v>
      </c>
      <c r="F124" s="125" t="s">
        <v>144</v>
      </c>
      <c r="G124" s="82">
        <v>600</v>
      </c>
      <c r="H124" s="82">
        <v>600</v>
      </c>
      <c r="I124" s="82">
        <v>322</v>
      </c>
      <c r="J124" s="87">
        <f t="shared" si="23"/>
        <v>53.666666666666664</v>
      </c>
      <c r="K124" s="88">
        <f t="shared" si="24"/>
        <v>53.666666666666664</v>
      </c>
    </row>
    <row r="125" spans="1:11" ht="12.75">
      <c r="A125" s="79">
        <v>3200</v>
      </c>
      <c r="B125" s="80">
        <v>6223</v>
      </c>
      <c r="C125" s="8" t="s">
        <v>238</v>
      </c>
      <c r="D125" s="75" t="str">
        <f>(MID(E125,1,3))</f>
        <v>232</v>
      </c>
      <c r="E125" s="80">
        <v>2324</v>
      </c>
      <c r="F125" s="125" t="s">
        <v>144</v>
      </c>
      <c r="G125" s="82"/>
      <c r="H125" s="82"/>
      <c r="I125" s="82">
        <v>1</v>
      </c>
      <c r="J125" s="87">
        <f t="shared" si="23"/>
        <v>0</v>
      </c>
      <c r="K125" s="88">
        <f t="shared" si="24"/>
        <v>0</v>
      </c>
    </row>
    <row r="126" spans="1:11" ht="12.75">
      <c r="A126" s="79">
        <v>3600</v>
      </c>
      <c r="B126" s="80">
        <v>5212</v>
      </c>
      <c r="C126" s="126" t="s">
        <v>224</v>
      </c>
      <c r="D126" s="75" t="str">
        <f t="shared" si="22"/>
        <v>232</v>
      </c>
      <c r="E126" s="80">
        <v>2324</v>
      </c>
      <c r="F126" s="125" t="s">
        <v>144</v>
      </c>
      <c r="G126" s="82">
        <v>23</v>
      </c>
      <c r="H126" s="82">
        <v>23</v>
      </c>
      <c r="I126" s="82"/>
      <c r="J126" s="87">
        <f t="shared" si="23"/>
        <v>0</v>
      </c>
      <c r="K126" s="88">
        <f t="shared" si="24"/>
        <v>0</v>
      </c>
    </row>
    <row r="127" spans="1:11" ht="12.75">
      <c r="A127" s="79">
        <v>3800</v>
      </c>
      <c r="B127" s="80">
        <v>6171</v>
      </c>
      <c r="C127" s="97" t="s">
        <v>9</v>
      </c>
      <c r="D127" s="75" t="str">
        <f t="shared" si="22"/>
        <v>232</v>
      </c>
      <c r="E127" s="80">
        <v>2324</v>
      </c>
      <c r="F127" s="125" t="s">
        <v>144</v>
      </c>
      <c r="G127" s="82">
        <v>12</v>
      </c>
      <c r="H127" s="82">
        <v>12</v>
      </c>
      <c r="I127" s="82"/>
      <c r="J127" s="87">
        <f t="shared" si="23"/>
        <v>0</v>
      </c>
      <c r="K127" s="88">
        <f t="shared" si="24"/>
        <v>0</v>
      </c>
    </row>
    <row r="128" spans="1:11" ht="12.75">
      <c r="A128" s="79">
        <v>4100</v>
      </c>
      <c r="B128" s="80">
        <v>3299</v>
      </c>
      <c r="C128" s="10" t="s">
        <v>232</v>
      </c>
      <c r="D128" s="75" t="str">
        <f>(MID(E128,1,3))</f>
        <v>232</v>
      </c>
      <c r="E128" s="80">
        <v>2324</v>
      </c>
      <c r="F128" s="125" t="s">
        <v>144</v>
      </c>
      <c r="G128" s="82"/>
      <c r="H128" s="82">
        <v>716</v>
      </c>
      <c r="I128" s="82">
        <v>640</v>
      </c>
      <c r="J128" s="87">
        <f t="shared" si="23"/>
        <v>0</v>
      </c>
      <c r="K128" s="88">
        <f t="shared" si="24"/>
        <v>89.3854748603352</v>
      </c>
    </row>
    <row r="129" spans="1:11" ht="12.75">
      <c r="A129" s="79">
        <v>4100</v>
      </c>
      <c r="B129" s="80">
        <v>3636</v>
      </c>
      <c r="C129" s="97" t="s">
        <v>165</v>
      </c>
      <c r="D129" s="75" t="str">
        <f>(MID(E129,1,3))</f>
        <v>232</v>
      </c>
      <c r="E129" s="80">
        <v>2324</v>
      </c>
      <c r="F129" s="125" t="s">
        <v>144</v>
      </c>
      <c r="G129" s="82"/>
      <c r="H129" s="82">
        <v>650</v>
      </c>
      <c r="I129" s="82">
        <v>660</v>
      </c>
      <c r="J129" s="87">
        <f t="shared" si="23"/>
        <v>0</v>
      </c>
      <c r="K129" s="88">
        <f t="shared" si="24"/>
        <v>101.53846153846153</v>
      </c>
    </row>
    <row r="130" spans="1:11" ht="12.75">
      <c r="A130" s="79">
        <v>4200</v>
      </c>
      <c r="B130" s="80">
        <v>3632</v>
      </c>
      <c r="C130" s="97" t="s">
        <v>1</v>
      </c>
      <c r="D130" s="75" t="str">
        <f>(MID(E130,1,3))</f>
        <v>232</v>
      </c>
      <c r="E130" s="80">
        <v>2324</v>
      </c>
      <c r="F130" s="125" t="s">
        <v>144</v>
      </c>
      <c r="G130" s="82"/>
      <c r="H130" s="82"/>
      <c r="I130" s="82">
        <v>158</v>
      </c>
      <c r="J130" s="87">
        <f t="shared" si="23"/>
        <v>0</v>
      </c>
      <c r="K130" s="88">
        <f t="shared" si="24"/>
        <v>0</v>
      </c>
    </row>
    <row r="131" spans="1:12" ht="12.75">
      <c r="A131" s="79">
        <v>4200</v>
      </c>
      <c r="B131" s="80">
        <v>3725</v>
      </c>
      <c r="C131" s="97" t="s">
        <v>125</v>
      </c>
      <c r="D131" s="75" t="str">
        <f t="shared" si="22"/>
        <v>232</v>
      </c>
      <c r="E131" s="80">
        <v>2324</v>
      </c>
      <c r="F131" s="125" t="s">
        <v>144</v>
      </c>
      <c r="G131" s="82">
        <v>17000</v>
      </c>
      <c r="H131" s="82">
        <v>17000</v>
      </c>
      <c r="I131" s="82">
        <v>20764</v>
      </c>
      <c r="J131" s="87">
        <f t="shared" si="23"/>
        <v>122.14117647058825</v>
      </c>
      <c r="K131" s="88">
        <f t="shared" si="24"/>
        <v>122.14117647058825</v>
      </c>
      <c r="L131" s="257"/>
    </row>
    <row r="132" spans="1:11" ht="12.75">
      <c r="A132" s="79">
        <v>4200</v>
      </c>
      <c r="B132" s="80">
        <v>3749</v>
      </c>
      <c r="C132" s="97" t="s">
        <v>148</v>
      </c>
      <c r="D132" s="75" t="str">
        <f t="shared" si="22"/>
        <v>232</v>
      </c>
      <c r="E132" s="80">
        <v>2324</v>
      </c>
      <c r="F132" s="125" t="s">
        <v>144</v>
      </c>
      <c r="G132" s="82">
        <v>5</v>
      </c>
      <c r="H132" s="82">
        <v>5</v>
      </c>
      <c r="I132" s="82">
        <v>40</v>
      </c>
      <c r="J132" s="87">
        <f t="shared" si="23"/>
        <v>800</v>
      </c>
      <c r="K132" s="88">
        <f t="shared" si="24"/>
        <v>800</v>
      </c>
    </row>
    <row r="133" spans="1:11" ht="12.75">
      <c r="A133" s="79">
        <v>4200</v>
      </c>
      <c r="B133" s="80">
        <v>6171</v>
      </c>
      <c r="C133" s="97" t="s">
        <v>9</v>
      </c>
      <c r="D133" s="75" t="str">
        <f t="shared" si="22"/>
        <v>232</v>
      </c>
      <c r="E133" s="80">
        <v>2324</v>
      </c>
      <c r="F133" s="125" t="s">
        <v>144</v>
      </c>
      <c r="G133" s="82">
        <v>1</v>
      </c>
      <c r="H133" s="82">
        <v>1</v>
      </c>
      <c r="I133" s="82"/>
      <c r="J133" s="87">
        <f t="shared" si="23"/>
        <v>0</v>
      </c>
      <c r="K133" s="88">
        <f t="shared" si="24"/>
        <v>0</v>
      </c>
    </row>
    <row r="134" spans="1:11" ht="12.75">
      <c r="A134" s="79">
        <v>4300</v>
      </c>
      <c r="B134" s="80">
        <v>1032</v>
      </c>
      <c r="C134" s="122" t="s">
        <v>146</v>
      </c>
      <c r="D134" s="75" t="str">
        <f>(MID(E134,1,3))</f>
        <v>232</v>
      </c>
      <c r="E134" s="80">
        <v>2324</v>
      </c>
      <c r="F134" s="125" t="s">
        <v>144</v>
      </c>
      <c r="G134" s="82"/>
      <c r="H134" s="82"/>
      <c r="I134" s="82">
        <v>3</v>
      </c>
      <c r="J134" s="87">
        <f t="shared" si="23"/>
        <v>0</v>
      </c>
      <c r="K134" s="88">
        <f t="shared" si="24"/>
        <v>0</v>
      </c>
    </row>
    <row r="135" spans="1:11" ht="12.75">
      <c r="A135" s="79">
        <v>4300</v>
      </c>
      <c r="B135" s="80">
        <v>2321</v>
      </c>
      <c r="C135" s="42" t="s">
        <v>52</v>
      </c>
      <c r="D135" s="75" t="str">
        <f t="shared" si="22"/>
        <v>232</v>
      </c>
      <c r="E135" s="80">
        <v>2324</v>
      </c>
      <c r="F135" s="125" t="s">
        <v>144</v>
      </c>
      <c r="G135" s="82">
        <v>70</v>
      </c>
      <c r="H135" s="82">
        <v>70</v>
      </c>
      <c r="I135" s="82">
        <v>37</v>
      </c>
      <c r="J135" s="87">
        <f t="shared" si="23"/>
        <v>52.85714285714286</v>
      </c>
      <c r="K135" s="88">
        <f t="shared" si="24"/>
        <v>52.85714285714286</v>
      </c>
    </row>
    <row r="136" spans="1:11" ht="12.75">
      <c r="A136" s="79">
        <v>4300</v>
      </c>
      <c r="B136" s="80">
        <v>2399</v>
      </c>
      <c r="C136" s="42" t="s">
        <v>138</v>
      </c>
      <c r="D136" s="75" t="str">
        <f>(MID(E136,1,3))</f>
        <v>232</v>
      </c>
      <c r="E136" s="80">
        <v>2324</v>
      </c>
      <c r="F136" s="125" t="s">
        <v>144</v>
      </c>
      <c r="G136" s="82"/>
      <c r="H136" s="82"/>
      <c r="I136" s="82">
        <v>8</v>
      </c>
      <c r="J136" s="87">
        <f t="shared" si="23"/>
        <v>0</v>
      </c>
      <c r="K136" s="88">
        <f t="shared" si="24"/>
        <v>0</v>
      </c>
    </row>
    <row r="137" spans="1:11" ht="12.75">
      <c r="A137" s="79">
        <v>4300</v>
      </c>
      <c r="B137" s="80">
        <v>3639</v>
      </c>
      <c r="C137" s="42" t="s">
        <v>124</v>
      </c>
      <c r="D137" s="75" t="str">
        <f>(MID(E137,1,3))</f>
        <v>232</v>
      </c>
      <c r="E137" s="80">
        <v>2324</v>
      </c>
      <c r="F137" s="125" t="s">
        <v>144</v>
      </c>
      <c r="G137" s="82"/>
      <c r="H137" s="82"/>
      <c r="I137" s="82">
        <v>352</v>
      </c>
      <c r="J137" s="87">
        <f t="shared" si="23"/>
        <v>0</v>
      </c>
      <c r="K137" s="88">
        <f t="shared" si="24"/>
        <v>0</v>
      </c>
    </row>
    <row r="138" spans="1:11" ht="12.75">
      <c r="A138" s="79">
        <v>5300</v>
      </c>
      <c r="B138" s="80">
        <v>6171</v>
      </c>
      <c r="C138" s="97" t="s">
        <v>9</v>
      </c>
      <c r="D138" s="77">
        <v>232</v>
      </c>
      <c r="E138" s="80">
        <v>2324</v>
      </c>
      <c r="F138" s="125" t="s">
        <v>144</v>
      </c>
      <c r="G138" s="82">
        <v>6</v>
      </c>
      <c r="H138" s="82">
        <v>6</v>
      </c>
      <c r="I138" s="82">
        <v>3</v>
      </c>
      <c r="J138" s="87">
        <f t="shared" si="23"/>
        <v>50</v>
      </c>
      <c r="K138" s="88">
        <f t="shared" si="24"/>
        <v>50</v>
      </c>
    </row>
    <row r="139" spans="1:11" ht="12.75">
      <c r="A139" s="79">
        <v>5400</v>
      </c>
      <c r="B139" s="80">
        <v>2219</v>
      </c>
      <c r="C139" s="122" t="s">
        <v>53</v>
      </c>
      <c r="D139" s="77">
        <v>232</v>
      </c>
      <c r="E139" s="80">
        <v>2324</v>
      </c>
      <c r="F139" s="125" t="s">
        <v>144</v>
      </c>
      <c r="G139" s="82">
        <v>20</v>
      </c>
      <c r="H139" s="82">
        <v>20</v>
      </c>
      <c r="I139" s="82">
        <v>39</v>
      </c>
      <c r="J139" s="87">
        <f t="shared" si="23"/>
        <v>195</v>
      </c>
      <c r="K139" s="88">
        <f t="shared" si="24"/>
        <v>195</v>
      </c>
    </row>
    <row r="140" spans="1:11" ht="12.75">
      <c r="A140" s="79">
        <v>5400</v>
      </c>
      <c r="B140" s="80">
        <v>2271</v>
      </c>
      <c r="C140" s="122" t="s">
        <v>20</v>
      </c>
      <c r="D140" s="77">
        <v>232</v>
      </c>
      <c r="E140" s="80">
        <v>2324</v>
      </c>
      <c r="F140" s="125" t="s">
        <v>144</v>
      </c>
      <c r="G140" s="82"/>
      <c r="H140" s="82">
        <v>171</v>
      </c>
      <c r="I140" s="82">
        <v>171</v>
      </c>
      <c r="J140" s="87">
        <f t="shared" si="23"/>
        <v>0</v>
      </c>
      <c r="K140" s="88">
        <f t="shared" si="24"/>
        <v>100</v>
      </c>
    </row>
    <row r="141" spans="1:12" ht="12.75">
      <c r="A141" s="79">
        <v>5600</v>
      </c>
      <c r="B141" s="80">
        <v>2212</v>
      </c>
      <c r="C141" s="122" t="s">
        <v>19</v>
      </c>
      <c r="D141" s="77">
        <v>232</v>
      </c>
      <c r="E141" s="80">
        <v>2324</v>
      </c>
      <c r="F141" s="125" t="s">
        <v>144</v>
      </c>
      <c r="G141" s="82"/>
      <c r="H141" s="82"/>
      <c r="I141" s="82">
        <v>6140</v>
      </c>
      <c r="J141" s="87">
        <f t="shared" si="23"/>
        <v>0</v>
      </c>
      <c r="K141" s="88">
        <f t="shared" si="24"/>
        <v>0</v>
      </c>
      <c r="L141" s="320"/>
    </row>
    <row r="142" spans="1:11" ht="12.75">
      <c r="A142" s="79">
        <v>5600</v>
      </c>
      <c r="B142" s="80">
        <v>2219</v>
      </c>
      <c r="C142" s="261" t="s">
        <v>53</v>
      </c>
      <c r="D142" s="77">
        <v>232</v>
      </c>
      <c r="E142" s="80">
        <v>2324</v>
      </c>
      <c r="F142" s="125" t="s">
        <v>144</v>
      </c>
      <c r="G142" s="82"/>
      <c r="H142" s="82"/>
      <c r="I142" s="82">
        <v>1</v>
      </c>
      <c r="J142" s="87">
        <f t="shared" si="23"/>
        <v>0</v>
      </c>
      <c r="K142" s="88">
        <f t="shared" si="24"/>
        <v>0</v>
      </c>
    </row>
    <row r="143" spans="1:11" ht="12.75">
      <c r="A143" s="79">
        <v>5600</v>
      </c>
      <c r="B143" s="80">
        <v>3421</v>
      </c>
      <c r="C143" s="262" t="s">
        <v>94</v>
      </c>
      <c r="D143" s="77">
        <v>232</v>
      </c>
      <c r="E143" s="80">
        <v>2324</v>
      </c>
      <c r="F143" s="125" t="s">
        <v>144</v>
      </c>
      <c r="G143" s="82"/>
      <c r="H143" s="82">
        <v>3418</v>
      </c>
      <c r="I143" s="82">
        <v>3417</v>
      </c>
      <c r="J143" s="87">
        <f t="shared" si="23"/>
        <v>0</v>
      </c>
      <c r="K143" s="88">
        <f t="shared" si="24"/>
        <v>99.97074312463428</v>
      </c>
    </row>
    <row r="144" spans="1:11" ht="12.75">
      <c r="A144" s="79">
        <v>5600</v>
      </c>
      <c r="B144" s="80">
        <v>4357</v>
      </c>
      <c r="C144" s="122" t="s">
        <v>292</v>
      </c>
      <c r="D144" s="77">
        <v>232</v>
      </c>
      <c r="E144" s="80">
        <v>2324</v>
      </c>
      <c r="F144" s="125" t="s">
        <v>144</v>
      </c>
      <c r="G144" s="82"/>
      <c r="H144" s="82"/>
      <c r="I144" s="82">
        <v>16</v>
      </c>
      <c r="J144" s="87">
        <f t="shared" si="23"/>
        <v>0</v>
      </c>
      <c r="K144" s="88">
        <f t="shared" si="24"/>
        <v>0</v>
      </c>
    </row>
    <row r="145" spans="1:11" ht="12.75">
      <c r="A145" s="79">
        <v>5800</v>
      </c>
      <c r="B145" s="80">
        <v>2219</v>
      </c>
      <c r="C145" s="122" t="s">
        <v>53</v>
      </c>
      <c r="D145" s="75" t="str">
        <f>(MID(E145,1,3))</f>
        <v>232</v>
      </c>
      <c r="E145" s="121">
        <v>2324</v>
      </c>
      <c r="F145" s="125" t="s">
        <v>144</v>
      </c>
      <c r="G145" s="82">
        <v>1000</v>
      </c>
      <c r="H145" s="82">
        <v>1000</v>
      </c>
      <c r="I145" s="82">
        <v>1442</v>
      </c>
      <c r="J145" s="87">
        <f t="shared" si="23"/>
        <v>144.2</v>
      </c>
      <c r="K145" s="88">
        <f t="shared" si="24"/>
        <v>144.2</v>
      </c>
    </row>
    <row r="146" spans="1:11" ht="12.75">
      <c r="A146" s="79">
        <v>6200</v>
      </c>
      <c r="B146" s="80">
        <v>3612</v>
      </c>
      <c r="C146" s="122" t="s">
        <v>12</v>
      </c>
      <c r="D146" s="75" t="str">
        <f>(MID(E146,1,3))</f>
        <v>232</v>
      </c>
      <c r="E146" s="121">
        <v>2324</v>
      </c>
      <c r="F146" s="125" t="s">
        <v>144</v>
      </c>
      <c r="G146" s="82"/>
      <c r="H146" s="82"/>
      <c r="I146" s="82">
        <v>30</v>
      </c>
      <c r="J146" s="87">
        <f t="shared" si="23"/>
        <v>0</v>
      </c>
      <c r="K146" s="88">
        <f t="shared" si="24"/>
        <v>0</v>
      </c>
    </row>
    <row r="147" spans="1:11" ht="12.75">
      <c r="A147" s="120">
        <v>6300</v>
      </c>
      <c r="B147" s="121">
        <v>3639</v>
      </c>
      <c r="C147" s="122" t="s">
        <v>124</v>
      </c>
      <c r="D147" s="75" t="str">
        <f aca="true" t="shared" si="25" ref="D147:D165">(MID(E147,1,3))</f>
        <v>232</v>
      </c>
      <c r="E147" s="121">
        <v>2324</v>
      </c>
      <c r="F147" s="125" t="s">
        <v>144</v>
      </c>
      <c r="G147" s="103">
        <v>9</v>
      </c>
      <c r="H147" s="103">
        <v>9</v>
      </c>
      <c r="I147" s="103">
        <v>540</v>
      </c>
      <c r="J147" s="87">
        <f t="shared" si="23"/>
        <v>6000</v>
      </c>
      <c r="K147" s="88">
        <f t="shared" si="24"/>
        <v>6000</v>
      </c>
    </row>
    <row r="148" spans="1:11" ht="12.75">
      <c r="A148" s="120">
        <v>6500</v>
      </c>
      <c r="B148" s="121">
        <v>6171</v>
      </c>
      <c r="C148" s="122" t="s">
        <v>9</v>
      </c>
      <c r="D148" s="75" t="str">
        <f t="shared" si="25"/>
        <v>232</v>
      </c>
      <c r="E148" s="121">
        <v>2324</v>
      </c>
      <c r="F148" s="125" t="s">
        <v>144</v>
      </c>
      <c r="G148" s="103">
        <v>100</v>
      </c>
      <c r="H148" s="103">
        <v>100</v>
      </c>
      <c r="I148" s="103">
        <v>228</v>
      </c>
      <c r="J148" s="87">
        <f t="shared" si="23"/>
        <v>227.99999999999997</v>
      </c>
      <c r="K148" s="88">
        <f t="shared" si="24"/>
        <v>227.99999999999997</v>
      </c>
    </row>
    <row r="149" spans="1:11" ht="12.75">
      <c r="A149" s="120">
        <v>6600</v>
      </c>
      <c r="B149" s="121">
        <v>3612</v>
      </c>
      <c r="C149" s="122" t="s">
        <v>12</v>
      </c>
      <c r="D149" s="75" t="str">
        <f>(MID(E149,1,3))</f>
        <v>232</v>
      </c>
      <c r="E149" s="121">
        <v>2324</v>
      </c>
      <c r="F149" s="125" t="s">
        <v>144</v>
      </c>
      <c r="G149" s="103"/>
      <c r="H149" s="103"/>
      <c r="I149" s="103">
        <v>6</v>
      </c>
      <c r="J149" s="87">
        <f t="shared" si="23"/>
        <v>0</v>
      </c>
      <c r="K149" s="88">
        <f t="shared" si="24"/>
        <v>0</v>
      </c>
    </row>
    <row r="150" spans="1:11" ht="12.75">
      <c r="A150" s="120">
        <v>6600</v>
      </c>
      <c r="B150" s="121">
        <v>3639</v>
      </c>
      <c r="C150" s="122" t="s">
        <v>124</v>
      </c>
      <c r="D150" s="75" t="str">
        <f t="shared" si="25"/>
        <v>232</v>
      </c>
      <c r="E150" s="121">
        <v>2324</v>
      </c>
      <c r="F150" s="125" t="s">
        <v>144</v>
      </c>
      <c r="G150" s="86">
        <v>400</v>
      </c>
      <c r="H150" s="86">
        <v>400</v>
      </c>
      <c r="I150" s="86">
        <v>165</v>
      </c>
      <c r="J150" s="87">
        <f t="shared" si="23"/>
        <v>41.25</v>
      </c>
      <c r="K150" s="88">
        <f t="shared" si="24"/>
        <v>41.25</v>
      </c>
    </row>
    <row r="151" spans="1:11" ht="12.75">
      <c r="A151" s="120">
        <v>6600</v>
      </c>
      <c r="B151" s="121">
        <v>6171</v>
      </c>
      <c r="C151" s="161" t="s">
        <v>9</v>
      </c>
      <c r="D151" s="75" t="str">
        <f aca="true" t="shared" si="26" ref="D151:D156">(MID(E151,1,3))</f>
        <v>232</v>
      </c>
      <c r="E151" s="121">
        <v>2324</v>
      </c>
      <c r="F151" s="125" t="s">
        <v>144</v>
      </c>
      <c r="G151" s="86"/>
      <c r="H151" s="86"/>
      <c r="I151" s="86">
        <v>8</v>
      </c>
      <c r="J151" s="87">
        <f t="shared" si="23"/>
        <v>0</v>
      </c>
      <c r="K151" s="88">
        <f t="shared" si="24"/>
        <v>0</v>
      </c>
    </row>
    <row r="152" spans="1:11" ht="12.75">
      <c r="A152" s="120">
        <v>7100</v>
      </c>
      <c r="B152" s="121">
        <v>3532</v>
      </c>
      <c r="C152" s="161" t="s">
        <v>293</v>
      </c>
      <c r="D152" s="75" t="str">
        <f t="shared" si="26"/>
        <v>232</v>
      </c>
      <c r="E152" s="121">
        <v>2324</v>
      </c>
      <c r="F152" s="125" t="s">
        <v>144</v>
      </c>
      <c r="G152" s="86"/>
      <c r="H152" s="86"/>
      <c r="I152" s="86">
        <v>1</v>
      </c>
      <c r="J152" s="87">
        <f t="shared" si="23"/>
        <v>0</v>
      </c>
      <c r="K152" s="88">
        <f t="shared" si="24"/>
        <v>0</v>
      </c>
    </row>
    <row r="153" spans="1:11" ht="12.75">
      <c r="A153" s="120">
        <v>7200</v>
      </c>
      <c r="B153" s="121">
        <v>4341</v>
      </c>
      <c r="C153" s="161" t="s">
        <v>213</v>
      </c>
      <c r="D153" s="75" t="str">
        <f t="shared" si="26"/>
        <v>232</v>
      </c>
      <c r="E153" s="121">
        <v>2324</v>
      </c>
      <c r="F153" s="125" t="s">
        <v>144</v>
      </c>
      <c r="G153" s="86"/>
      <c r="H153" s="86"/>
      <c r="I153" s="86">
        <v>2</v>
      </c>
      <c r="J153" s="87">
        <f t="shared" si="23"/>
        <v>0</v>
      </c>
      <c r="K153" s="88">
        <f t="shared" si="24"/>
        <v>0</v>
      </c>
    </row>
    <row r="154" spans="1:11" ht="12.75">
      <c r="A154" s="120">
        <v>7300</v>
      </c>
      <c r="B154" s="121">
        <v>3319</v>
      </c>
      <c r="C154" s="12" t="s">
        <v>48</v>
      </c>
      <c r="D154" s="75" t="str">
        <f t="shared" si="26"/>
        <v>232</v>
      </c>
      <c r="E154" s="121">
        <v>2324</v>
      </c>
      <c r="F154" s="125" t="s">
        <v>144</v>
      </c>
      <c r="G154" s="86"/>
      <c r="H154" s="86"/>
      <c r="I154" s="86">
        <v>9</v>
      </c>
      <c r="J154" s="87">
        <f t="shared" si="23"/>
        <v>0</v>
      </c>
      <c r="K154" s="88">
        <f t="shared" si="24"/>
        <v>0</v>
      </c>
    </row>
    <row r="155" spans="1:11" ht="12.75">
      <c r="A155" s="120">
        <v>7400</v>
      </c>
      <c r="B155" s="121">
        <v>3419</v>
      </c>
      <c r="C155" s="161" t="s">
        <v>49</v>
      </c>
      <c r="D155" s="75" t="str">
        <f t="shared" si="26"/>
        <v>232</v>
      </c>
      <c r="E155" s="121">
        <v>2324</v>
      </c>
      <c r="F155" s="125" t="s">
        <v>144</v>
      </c>
      <c r="G155" s="86"/>
      <c r="H155" s="86"/>
      <c r="I155" s="86">
        <v>2</v>
      </c>
      <c r="J155" s="87">
        <f t="shared" si="23"/>
        <v>0</v>
      </c>
      <c r="K155" s="88">
        <f t="shared" si="24"/>
        <v>0</v>
      </c>
    </row>
    <row r="156" spans="1:11" ht="12.75">
      <c r="A156" s="120">
        <v>7500</v>
      </c>
      <c r="B156" s="121">
        <v>3322</v>
      </c>
      <c r="C156" s="122" t="s">
        <v>27</v>
      </c>
      <c r="D156" s="75" t="str">
        <f t="shared" si="26"/>
        <v>232</v>
      </c>
      <c r="E156" s="121">
        <v>2324</v>
      </c>
      <c r="F156" s="125" t="s">
        <v>144</v>
      </c>
      <c r="G156" s="86">
        <v>5</v>
      </c>
      <c r="H156" s="86">
        <v>5</v>
      </c>
      <c r="I156" s="86">
        <v>3</v>
      </c>
      <c r="J156" s="87">
        <f t="shared" si="23"/>
        <v>60</v>
      </c>
      <c r="K156" s="88">
        <f t="shared" si="24"/>
        <v>60</v>
      </c>
    </row>
    <row r="157" spans="1:11" ht="12.75">
      <c r="A157" s="120">
        <v>8200</v>
      </c>
      <c r="B157" s="121">
        <v>5311</v>
      </c>
      <c r="C157" s="122" t="s">
        <v>88</v>
      </c>
      <c r="D157" s="75" t="str">
        <f t="shared" si="25"/>
        <v>232</v>
      </c>
      <c r="E157" s="121">
        <v>2324</v>
      </c>
      <c r="F157" s="125" t="s">
        <v>144</v>
      </c>
      <c r="G157" s="86">
        <v>50</v>
      </c>
      <c r="H157" s="86">
        <v>50</v>
      </c>
      <c r="I157" s="86">
        <v>221</v>
      </c>
      <c r="J157" s="87">
        <f t="shared" si="23"/>
        <v>442</v>
      </c>
      <c r="K157" s="88">
        <f t="shared" si="24"/>
        <v>442</v>
      </c>
    </row>
    <row r="158" spans="1:11" ht="12.75">
      <c r="A158" s="120">
        <v>1700</v>
      </c>
      <c r="B158" s="128">
        <v>6399</v>
      </c>
      <c r="C158" s="122" t="s">
        <v>81</v>
      </c>
      <c r="D158" s="75" t="str">
        <f t="shared" si="25"/>
        <v>232</v>
      </c>
      <c r="E158" s="128">
        <v>2328</v>
      </c>
      <c r="F158" s="81" t="s">
        <v>145</v>
      </c>
      <c r="G158" s="86"/>
      <c r="H158" s="86"/>
      <c r="I158" s="86">
        <v>6</v>
      </c>
      <c r="J158" s="87">
        <f t="shared" si="23"/>
        <v>0</v>
      </c>
      <c r="K158" s="88">
        <f t="shared" si="24"/>
        <v>0</v>
      </c>
    </row>
    <row r="159" spans="1:11" ht="12.75">
      <c r="A159" s="120">
        <v>6600</v>
      </c>
      <c r="B159" s="121">
        <v>3639</v>
      </c>
      <c r="C159" s="97" t="s">
        <v>124</v>
      </c>
      <c r="D159" s="75" t="str">
        <f t="shared" si="25"/>
        <v>232</v>
      </c>
      <c r="E159" s="128">
        <v>2328</v>
      </c>
      <c r="F159" s="81" t="s">
        <v>145</v>
      </c>
      <c r="G159" s="86"/>
      <c r="H159" s="86"/>
      <c r="I159" s="86">
        <v>-97</v>
      </c>
      <c r="J159" s="87">
        <f t="shared" si="23"/>
        <v>0</v>
      </c>
      <c r="K159" s="88">
        <f t="shared" si="24"/>
        <v>0</v>
      </c>
    </row>
    <row r="160" spans="1:11" ht="12.75">
      <c r="A160" s="79">
        <v>6600</v>
      </c>
      <c r="B160" s="128">
        <v>6399</v>
      </c>
      <c r="C160" s="122" t="s">
        <v>81</v>
      </c>
      <c r="D160" s="75" t="str">
        <f t="shared" si="25"/>
        <v>232</v>
      </c>
      <c r="E160" s="128">
        <v>2328</v>
      </c>
      <c r="F160" s="81" t="s">
        <v>145</v>
      </c>
      <c r="G160" s="103"/>
      <c r="H160" s="103"/>
      <c r="I160" s="103">
        <v>39</v>
      </c>
      <c r="J160" s="87">
        <f t="shared" si="23"/>
        <v>0</v>
      </c>
      <c r="K160" s="88">
        <f t="shared" si="24"/>
        <v>0</v>
      </c>
    </row>
    <row r="161" spans="1:12" ht="12.75">
      <c r="A161" s="79">
        <v>1700</v>
      </c>
      <c r="B161" s="128">
        <v>2329</v>
      </c>
      <c r="C161" s="122" t="s">
        <v>199</v>
      </c>
      <c r="D161" s="75" t="str">
        <f t="shared" si="25"/>
        <v>232</v>
      </c>
      <c r="E161" s="128">
        <v>2329</v>
      </c>
      <c r="F161" s="125" t="s">
        <v>147</v>
      </c>
      <c r="G161" s="103"/>
      <c r="H161" s="103"/>
      <c r="I161" s="103">
        <v>2536</v>
      </c>
      <c r="J161" s="87">
        <f t="shared" si="23"/>
        <v>0</v>
      </c>
      <c r="K161" s="88">
        <f t="shared" si="24"/>
        <v>0</v>
      </c>
      <c r="L161" s="257"/>
    </row>
    <row r="162" spans="1:11" ht="12.75">
      <c r="A162" s="79">
        <v>1700</v>
      </c>
      <c r="B162" s="80">
        <v>6171</v>
      </c>
      <c r="C162" s="97" t="s">
        <v>9</v>
      </c>
      <c r="D162" s="75" t="str">
        <f t="shared" si="25"/>
        <v>232</v>
      </c>
      <c r="E162" s="80">
        <v>2329</v>
      </c>
      <c r="F162" s="125" t="s">
        <v>147</v>
      </c>
      <c r="G162" s="82">
        <v>70</v>
      </c>
      <c r="H162" s="82">
        <v>70</v>
      </c>
      <c r="I162" s="82">
        <v>103</v>
      </c>
      <c r="J162" s="87">
        <f t="shared" si="23"/>
        <v>147.14285714285717</v>
      </c>
      <c r="K162" s="88">
        <f t="shared" si="24"/>
        <v>147.14285714285717</v>
      </c>
    </row>
    <row r="163" spans="1:11" ht="12.75">
      <c r="A163" s="127">
        <v>3200</v>
      </c>
      <c r="B163" s="128">
        <v>6171</v>
      </c>
      <c r="C163" s="122" t="s">
        <v>9</v>
      </c>
      <c r="D163" s="75" t="str">
        <f>(MID(E163,1,3))</f>
        <v>232</v>
      </c>
      <c r="E163" s="80">
        <v>2329</v>
      </c>
      <c r="F163" s="125" t="s">
        <v>147</v>
      </c>
      <c r="G163" s="103">
        <v>50</v>
      </c>
      <c r="H163" s="103">
        <v>50</v>
      </c>
      <c r="I163" s="103">
        <v>71</v>
      </c>
      <c r="J163" s="87">
        <f t="shared" si="23"/>
        <v>142</v>
      </c>
      <c r="K163" s="88">
        <f t="shared" si="24"/>
        <v>142</v>
      </c>
    </row>
    <row r="164" spans="1:11" ht="12.75">
      <c r="A164" s="127">
        <v>4100</v>
      </c>
      <c r="B164" s="128">
        <v>3745</v>
      </c>
      <c r="C164" s="97" t="s">
        <v>2</v>
      </c>
      <c r="D164" s="75" t="str">
        <f>(MID(E164,1,3))</f>
        <v>232</v>
      </c>
      <c r="E164" s="80">
        <v>2329</v>
      </c>
      <c r="F164" s="125" t="s">
        <v>147</v>
      </c>
      <c r="G164" s="103"/>
      <c r="H164" s="103">
        <v>82</v>
      </c>
      <c r="I164" s="103">
        <v>82</v>
      </c>
      <c r="J164" s="87"/>
      <c r="K164" s="88"/>
    </row>
    <row r="165" spans="1:11" ht="12.75">
      <c r="A165" s="79">
        <v>4200</v>
      </c>
      <c r="B165" s="80">
        <v>6171</v>
      </c>
      <c r="C165" s="97" t="s">
        <v>9</v>
      </c>
      <c r="D165" s="75" t="str">
        <f t="shared" si="25"/>
        <v>232</v>
      </c>
      <c r="E165" s="80">
        <v>2329</v>
      </c>
      <c r="F165" s="125" t="s">
        <v>147</v>
      </c>
      <c r="G165" s="82">
        <v>2</v>
      </c>
      <c r="H165" s="82">
        <v>2</v>
      </c>
      <c r="I165" s="82">
        <v>22</v>
      </c>
      <c r="J165" s="87">
        <f t="shared" si="23"/>
        <v>1100</v>
      </c>
      <c r="K165" s="88">
        <f t="shared" si="24"/>
        <v>1100</v>
      </c>
    </row>
    <row r="166" spans="1:11" ht="12.75">
      <c r="A166" s="127">
        <v>4300</v>
      </c>
      <c r="B166" s="128">
        <v>1032</v>
      </c>
      <c r="C166" s="122" t="s">
        <v>146</v>
      </c>
      <c r="D166" s="75" t="str">
        <f aca="true" t="shared" si="27" ref="D166:D176">(MID(E166,1,3))</f>
        <v>232</v>
      </c>
      <c r="E166" s="80">
        <v>2329</v>
      </c>
      <c r="F166" s="125" t="s">
        <v>147</v>
      </c>
      <c r="G166" s="103">
        <v>200</v>
      </c>
      <c r="H166" s="103">
        <v>200</v>
      </c>
      <c r="I166" s="103">
        <v>194</v>
      </c>
      <c r="J166" s="87">
        <f t="shared" si="23"/>
        <v>97</v>
      </c>
      <c r="K166" s="88">
        <f t="shared" si="24"/>
        <v>97</v>
      </c>
    </row>
    <row r="167" spans="1:11" ht="12.75">
      <c r="A167" s="127">
        <v>5800</v>
      </c>
      <c r="B167" s="128">
        <v>2219</v>
      </c>
      <c r="C167" s="122" t="s">
        <v>53</v>
      </c>
      <c r="D167" s="75" t="str">
        <f>(MID(E167,1,3))</f>
        <v>232</v>
      </c>
      <c r="E167" s="80">
        <v>2329</v>
      </c>
      <c r="F167" s="125" t="s">
        <v>147</v>
      </c>
      <c r="G167" s="103"/>
      <c r="H167" s="103"/>
      <c r="I167" s="103">
        <v>10</v>
      </c>
      <c r="J167" s="87">
        <f t="shared" si="23"/>
        <v>0</v>
      </c>
      <c r="K167" s="88">
        <f t="shared" si="24"/>
        <v>0</v>
      </c>
    </row>
    <row r="168" spans="1:11" ht="12.75">
      <c r="A168" s="120">
        <v>6300</v>
      </c>
      <c r="B168" s="121">
        <v>3639</v>
      </c>
      <c r="C168" s="122" t="s">
        <v>124</v>
      </c>
      <c r="D168" s="75" t="str">
        <f t="shared" si="27"/>
        <v>232</v>
      </c>
      <c r="E168" s="80">
        <v>2329</v>
      </c>
      <c r="F168" s="125" t="s">
        <v>147</v>
      </c>
      <c r="G168" s="86">
        <v>4</v>
      </c>
      <c r="H168" s="86">
        <v>4</v>
      </c>
      <c r="I168" s="86">
        <v>605</v>
      </c>
      <c r="J168" s="87">
        <f t="shared" si="23"/>
        <v>15125</v>
      </c>
      <c r="K168" s="88">
        <f t="shared" si="24"/>
        <v>15125</v>
      </c>
    </row>
    <row r="169" spans="1:11" ht="12.75">
      <c r="A169" s="120">
        <v>6600</v>
      </c>
      <c r="B169" s="121">
        <v>3639</v>
      </c>
      <c r="C169" s="122" t="s">
        <v>124</v>
      </c>
      <c r="D169" s="75" t="str">
        <f>(MID(E169,1,3))</f>
        <v>232</v>
      </c>
      <c r="E169" s="80">
        <v>2329</v>
      </c>
      <c r="F169" s="125" t="s">
        <v>147</v>
      </c>
      <c r="G169" s="86"/>
      <c r="H169" s="86"/>
      <c r="I169" s="86">
        <v>31</v>
      </c>
      <c r="J169" s="87">
        <f t="shared" si="23"/>
        <v>0</v>
      </c>
      <c r="K169" s="88">
        <f t="shared" si="24"/>
        <v>0</v>
      </c>
    </row>
    <row r="170" spans="1:11" ht="12.75">
      <c r="A170" s="120">
        <v>6600</v>
      </c>
      <c r="B170" s="121">
        <v>6171</v>
      </c>
      <c r="C170" s="97" t="s">
        <v>9</v>
      </c>
      <c r="D170" s="75" t="str">
        <f>(MID(E170,1,3))</f>
        <v>232</v>
      </c>
      <c r="E170" s="128">
        <v>2329</v>
      </c>
      <c r="F170" s="125" t="s">
        <v>147</v>
      </c>
      <c r="G170" s="86"/>
      <c r="H170" s="86"/>
      <c r="I170" s="86">
        <v>12</v>
      </c>
      <c r="J170" s="87">
        <f t="shared" si="23"/>
        <v>0</v>
      </c>
      <c r="K170" s="88">
        <f t="shared" si="24"/>
        <v>0</v>
      </c>
    </row>
    <row r="171" spans="1:11" ht="12.75">
      <c r="A171" s="127">
        <v>7100</v>
      </c>
      <c r="B171" s="128">
        <v>6171</v>
      </c>
      <c r="C171" s="97" t="s">
        <v>9</v>
      </c>
      <c r="D171" s="75" t="str">
        <f t="shared" si="27"/>
        <v>232</v>
      </c>
      <c r="E171" s="128">
        <v>2329</v>
      </c>
      <c r="F171" s="125" t="s">
        <v>147</v>
      </c>
      <c r="G171" s="103">
        <v>40</v>
      </c>
      <c r="H171" s="103">
        <v>40</v>
      </c>
      <c r="I171" s="103">
        <v>53</v>
      </c>
      <c r="J171" s="87">
        <f t="shared" si="23"/>
        <v>132.5</v>
      </c>
      <c r="K171" s="88">
        <f t="shared" si="24"/>
        <v>132.5</v>
      </c>
    </row>
    <row r="172" spans="1:11" ht="12.75">
      <c r="A172" s="127">
        <v>7300</v>
      </c>
      <c r="B172" s="128">
        <v>3312</v>
      </c>
      <c r="C172" s="97" t="s">
        <v>89</v>
      </c>
      <c r="D172" s="75" t="str">
        <f>(MID(E172,1,3))</f>
        <v>232</v>
      </c>
      <c r="E172" s="128">
        <v>2329</v>
      </c>
      <c r="F172" s="125" t="s">
        <v>147</v>
      </c>
      <c r="G172" s="103"/>
      <c r="H172" s="103"/>
      <c r="I172" s="103">
        <v>26</v>
      </c>
      <c r="J172" s="87"/>
      <c r="K172" s="88"/>
    </row>
    <row r="173" spans="1:11" ht="12.75">
      <c r="A173" s="127">
        <v>7400</v>
      </c>
      <c r="B173" s="128">
        <v>3419</v>
      </c>
      <c r="C173" s="161" t="s">
        <v>49</v>
      </c>
      <c r="D173" s="75" t="str">
        <f>(MID(E173,1,3))</f>
        <v>232</v>
      </c>
      <c r="E173" s="128">
        <v>2329</v>
      </c>
      <c r="F173" s="125" t="s">
        <v>147</v>
      </c>
      <c r="G173" s="103"/>
      <c r="H173" s="103"/>
      <c r="I173" s="103">
        <v>24</v>
      </c>
      <c r="J173" s="87">
        <f t="shared" si="23"/>
        <v>0</v>
      </c>
      <c r="K173" s="88">
        <f t="shared" si="24"/>
        <v>0</v>
      </c>
    </row>
    <row r="174" spans="1:11" ht="12.75">
      <c r="A174" s="127">
        <v>8200</v>
      </c>
      <c r="B174" s="128">
        <v>1014</v>
      </c>
      <c r="C174" s="10" t="s">
        <v>169</v>
      </c>
      <c r="D174" s="75" t="str">
        <f t="shared" si="27"/>
        <v>232</v>
      </c>
      <c r="E174" s="128">
        <v>2329</v>
      </c>
      <c r="F174" s="125" t="s">
        <v>147</v>
      </c>
      <c r="G174" s="103">
        <v>200</v>
      </c>
      <c r="H174" s="103">
        <v>200</v>
      </c>
      <c r="I174" s="103">
        <v>219</v>
      </c>
      <c r="J174" s="87">
        <f t="shared" si="23"/>
        <v>109.5</v>
      </c>
      <c r="K174" s="88">
        <f t="shared" si="24"/>
        <v>109.5</v>
      </c>
    </row>
    <row r="175" spans="1:11" ht="12.75">
      <c r="A175" s="120">
        <v>8200</v>
      </c>
      <c r="B175" s="121">
        <v>5311</v>
      </c>
      <c r="C175" s="122" t="s">
        <v>88</v>
      </c>
      <c r="D175" s="75" t="str">
        <f t="shared" si="27"/>
        <v>232</v>
      </c>
      <c r="E175" s="128">
        <v>2329</v>
      </c>
      <c r="F175" s="125" t="s">
        <v>147</v>
      </c>
      <c r="G175" s="86">
        <v>300</v>
      </c>
      <c r="H175" s="86">
        <v>300</v>
      </c>
      <c r="I175" s="86">
        <v>339</v>
      </c>
      <c r="J175" s="87">
        <f t="shared" si="23"/>
        <v>112.99999999999999</v>
      </c>
      <c r="K175" s="88">
        <f t="shared" si="24"/>
        <v>112.99999999999999</v>
      </c>
    </row>
    <row r="176" spans="1:11" ht="12.75">
      <c r="A176" s="79">
        <v>4200</v>
      </c>
      <c r="B176" s="80">
        <v>3749</v>
      </c>
      <c r="C176" s="97" t="s">
        <v>148</v>
      </c>
      <c r="D176" s="75" t="str">
        <f t="shared" si="27"/>
        <v>234</v>
      </c>
      <c r="E176" s="80">
        <v>2343</v>
      </c>
      <c r="F176" s="106" t="s">
        <v>149</v>
      </c>
      <c r="G176" s="82">
        <v>160</v>
      </c>
      <c r="H176" s="82">
        <v>160</v>
      </c>
      <c r="I176" s="82">
        <v>145</v>
      </c>
      <c r="J176" s="87">
        <f>IF(G176&lt;=0,0,$I176/G176*100)</f>
        <v>90.625</v>
      </c>
      <c r="K176" s="88">
        <f>IF(H176&lt;=0,0,$I176/H176*100)</f>
        <v>90.625</v>
      </c>
    </row>
    <row r="177" spans="1:12" ht="13.5" thickBot="1">
      <c r="A177" s="111"/>
      <c r="B177" s="112"/>
      <c r="C177" s="212"/>
      <c r="D177" s="98" t="s">
        <v>150</v>
      </c>
      <c r="E177" s="112"/>
      <c r="F177" s="213"/>
      <c r="G177" s="136">
        <f>SUBTOTAL(9,G115:G176)</f>
        <v>20927</v>
      </c>
      <c r="H177" s="136">
        <f>SUBTOTAL(9,H115:H176)</f>
        <v>27102</v>
      </c>
      <c r="I177" s="136">
        <f>SUBTOTAL(9,I115:I176)</f>
        <v>44014</v>
      </c>
      <c r="J177" s="137">
        <f aca="true" t="shared" si="28" ref="J177:J201">IF(G177&lt;=0,0,$I177/G177*100)</f>
        <v>210.32159411286852</v>
      </c>
      <c r="K177" s="214">
        <f aca="true" t="shared" si="29" ref="K177:K201">IF(H177&lt;=0,0,$I177/H177*100)</f>
        <v>162.40129879713675</v>
      </c>
      <c r="L177" s="253"/>
    </row>
    <row r="178" spans="1:12" ht="12.75">
      <c r="A178" s="79"/>
      <c r="B178" s="80"/>
      <c r="C178" s="97"/>
      <c r="D178" s="75"/>
      <c r="E178" s="80"/>
      <c r="F178" s="81"/>
      <c r="G178" s="82"/>
      <c r="H178" s="82"/>
      <c r="I178" s="82"/>
      <c r="J178" s="87">
        <f t="shared" si="28"/>
        <v>0</v>
      </c>
      <c r="K178" s="88">
        <f t="shared" si="29"/>
        <v>0</v>
      </c>
      <c r="L178" s="253"/>
    </row>
    <row r="179" spans="1:12" ht="12.75">
      <c r="A179" s="105" t="s">
        <v>183</v>
      </c>
      <c r="B179" s="80"/>
      <c r="C179" s="97"/>
      <c r="D179" s="85"/>
      <c r="E179" s="80"/>
      <c r="F179" s="81"/>
      <c r="G179" s="140"/>
      <c r="H179" s="140"/>
      <c r="I179" s="140"/>
      <c r="J179" s="141">
        <f t="shared" si="28"/>
        <v>0</v>
      </c>
      <c r="K179" s="220">
        <f t="shared" si="29"/>
        <v>0</v>
      </c>
      <c r="L179" s="253"/>
    </row>
    <row r="180" spans="1:12" ht="12.75">
      <c r="A180" s="79">
        <v>1700</v>
      </c>
      <c r="B180" s="80"/>
      <c r="C180" s="97"/>
      <c r="D180" s="75" t="str">
        <f>(MID(E180,1,3))</f>
        <v>241</v>
      </c>
      <c r="E180" s="80">
        <v>2412</v>
      </c>
      <c r="F180" s="106" t="s">
        <v>215</v>
      </c>
      <c r="G180" s="82">
        <v>1220</v>
      </c>
      <c r="H180" s="82">
        <v>1220</v>
      </c>
      <c r="I180" s="82">
        <v>1220</v>
      </c>
      <c r="J180" s="101">
        <f t="shared" si="28"/>
        <v>100</v>
      </c>
      <c r="K180" s="102">
        <f t="shared" si="29"/>
        <v>100</v>
      </c>
      <c r="L180" s="253"/>
    </row>
    <row r="181" spans="1:12" ht="12.75">
      <c r="A181" s="89">
        <v>6200</v>
      </c>
      <c r="B181" s="91"/>
      <c r="C181" s="107"/>
      <c r="D181" s="75" t="str">
        <f>(MID(E181,1,3))</f>
        <v>241</v>
      </c>
      <c r="E181" s="80">
        <v>2412</v>
      </c>
      <c r="F181" s="106" t="s">
        <v>215</v>
      </c>
      <c r="G181" s="104">
        <v>6048</v>
      </c>
      <c r="H181" s="104">
        <v>6048</v>
      </c>
      <c r="I181" s="104">
        <v>5783</v>
      </c>
      <c r="J181" s="101">
        <f>IF(G181&lt;=0,0,$I181/G181*100)</f>
        <v>95.61838624338624</v>
      </c>
      <c r="K181" s="102">
        <f>IF(H181&lt;=0,0,$I181/H181*100)</f>
        <v>95.61838624338624</v>
      </c>
      <c r="L181" s="253"/>
    </row>
    <row r="182" spans="1:12" ht="13.5" thickBot="1">
      <c r="A182" s="111"/>
      <c r="B182" s="112"/>
      <c r="C182" s="212"/>
      <c r="D182" s="98" t="s">
        <v>163</v>
      </c>
      <c r="E182" s="112"/>
      <c r="F182" s="213"/>
      <c r="G182" s="136">
        <f>SUBTOTAL(9,G180:G181)</f>
        <v>7268</v>
      </c>
      <c r="H182" s="136">
        <f>SUBTOTAL(9,H180:H181)</f>
        <v>7268</v>
      </c>
      <c r="I182" s="136">
        <f>SUBTOTAL(9,I180:I181)</f>
        <v>7003</v>
      </c>
      <c r="J182" s="137">
        <f t="shared" si="28"/>
        <v>96.35388002201431</v>
      </c>
      <c r="K182" s="214">
        <f t="shared" si="29"/>
        <v>96.35388002201431</v>
      </c>
      <c r="L182" s="253"/>
    </row>
    <row r="183" spans="1:12" ht="12.75">
      <c r="A183" s="79"/>
      <c r="B183" s="80"/>
      <c r="C183" s="97"/>
      <c r="D183" s="75"/>
      <c r="E183" s="80"/>
      <c r="F183" s="81"/>
      <c r="G183" s="82"/>
      <c r="H183" s="82"/>
      <c r="I183" s="82"/>
      <c r="J183" s="87"/>
      <c r="K183" s="88"/>
      <c r="L183" s="253"/>
    </row>
    <row r="184" spans="1:12" ht="12.75">
      <c r="A184" s="208" t="s">
        <v>234</v>
      </c>
      <c r="B184" s="76"/>
      <c r="C184" s="75"/>
      <c r="D184" s="85"/>
      <c r="E184" s="76"/>
      <c r="F184" s="77"/>
      <c r="G184" s="138"/>
      <c r="H184" s="138"/>
      <c r="I184" s="138"/>
      <c r="J184" s="139">
        <f aca="true" t="shared" si="30" ref="J184:K187">IF(G184&lt;=0,0,$I184/G184*100)</f>
        <v>0</v>
      </c>
      <c r="K184" s="228">
        <f t="shared" si="30"/>
        <v>0</v>
      </c>
      <c r="L184" s="253"/>
    </row>
    <row r="185" spans="1:12" ht="12.75">
      <c r="A185" s="130" t="s">
        <v>235</v>
      </c>
      <c r="B185" s="80"/>
      <c r="C185" s="97"/>
      <c r="D185" s="81">
        <v>242</v>
      </c>
      <c r="E185" s="80">
        <v>2420</v>
      </c>
      <c r="F185" s="81" t="s">
        <v>236</v>
      </c>
      <c r="G185" s="82">
        <v>8500</v>
      </c>
      <c r="H185" s="82">
        <v>5396</v>
      </c>
      <c r="I185" s="82">
        <v>5396</v>
      </c>
      <c r="J185" s="101">
        <f t="shared" si="30"/>
        <v>63.482352941176465</v>
      </c>
      <c r="K185" s="102">
        <f t="shared" si="30"/>
        <v>100</v>
      </c>
      <c r="L185" s="253"/>
    </row>
    <row r="186" spans="1:12" ht="13.5" thickBot="1">
      <c r="A186" s="111"/>
      <c r="B186" s="112"/>
      <c r="C186" s="212"/>
      <c r="D186" s="98" t="s">
        <v>237</v>
      </c>
      <c r="E186" s="112"/>
      <c r="F186" s="213"/>
      <c r="G186" s="136">
        <f>SUBTOTAL(9,G185:G185)</f>
        <v>8500</v>
      </c>
      <c r="H186" s="136">
        <f>SUBTOTAL(9,H185:H185)</f>
        <v>5396</v>
      </c>
      <c r="I186" s="136">
        <f>SUBTOTAL(9,I185:I185)</f>
        <v>5396</v>
      </c>
      <c r="J186" s="137">
        <f t="shared" si="30"/>
        <v>63.482352941176465</v>
      </c>
      <c r="K186" s="214">
        <f t="shared" si="30"/>
        <v>100</v>
      </c>
      <c r="L186" s="253"/>
    </row>
    <row r="187" spans="1:12" ht="12.75">
      <c r="A187" s="79"/>
      <c r="B187" s="80"/>
      <c r="C187" s="97"/>
      <c r="D187" s="75"/>
      <c r="E187" s="80"/>
      <c r="F187" s="81"/>
      <c r="G187" s="82"/>
      <c r="H187" s="82"/>
      <c r="I187" s="82"/>
      <c r="J187" s="87">
        <f t="shared" si="30"/>
        <v>0</v>
      </c>
      <c r="K187" s="88">
        <f t="shared" si="30"/>
        <v>0</v>
      </c>
      <c r="L187" s="253"/>
    </row>
    <row r="188" spans="1:12" ht="12.75">
      <c r="A188" s="208" t="s">
        <v>184</v>
      </c>
      <c r="B188" s="76"/>
      <c r="C188" s="75"/>
      <c r="D188" s="85"/>
      <c r="E188" s="76"/>
      <c r="F188" s="77"/>
      <c r="G188" s="138"/>
      <c r="H188" s="138"/>
      <c r="I188" s="138"/>
      <c r="J188" s="139">
        <f t="shared" si="28"/>
        <v>0</v>
      </c>
      <c r="K188" s="228">
        <f t="shared" si="29"/>
        <v>0</v>
      </c>
      <c r="L188" s="253"/>
    </row>
    <row r="189" spans="1:12" ht="12.75">
      <c r="A189" s="130" t="s">
        <v>170</v>
      </c>
      <c r="B189" s="80"/>
      <c r="C189" s="97"/>
      <c r="D189" s="97" t="str">
        <f>(MID(E189,1,3))</f>
        <v>244</v>
      </c>
      <c r="E189" s="80">
        <v>2441</v>
      </c>
      <c r="F189" s="81" t="s">
        <v>151</v>
      </c>
      <c r="G189" s="82">
        <v>10038</v>
      </c>
      <c r="H189" s="82">
        <v>10038</v>
      </c>
      <c r="I189" s="82">
        <v>10038</v>
      </c>
      <c r="J189" s="101">
        <f t="shared" si="28"/>
        <v>100</v>
      </c>
      <c r="K189" s="102">
        <f t="shared" si="29"/>
        <v>100</v>
      </c>
      <c r="L189" s="253"/>
    </row>
    <row r="190" spans="1:11" ht="13.5" thickBot="1">
      <c r="A190" s="111"/>
      <c r="B190" s="112"/>
      <c r="C190" s="212"/>
      <c r="D190" s="98" t="s">
        <v>152</v>
      </c>
      <c r="E190" s="112"/>
      <c r="F190" s="213"/>
      <c r="G190" s="136">
        <f>SUBTOTAL(9,G189:G189)</f>
        <v>10038</v>
      </c>
      <c r="H190" s="136">
        <f>SUBTOTAL(9,H189:H189)</f>
        <v>10038</v>
      </c>
      <c r="I190" s="136">
        <f>SUBTOTAL(9,I189:I189)</f>
        <v>10038</v>
      </c>
      <c r="J190" s="137">
        <f t="shared" si="28"/>
        <v>100</v>
      </c>
      <c r="K190" s="214">
        <f t="shared" si="29"/>
        <v>100</v>
      </c>
    </row>
    <row r="191" spans="1:11" ht="12.75">
      <c r="A191" s="89"/>
      <c r="B191" s="91"/>
      <c r="C191" s="233"/>
      <c r="D191" s="99"/>
      <c r="E191" s="91"/>
      <c r="F191" s="234"/>
      <c r="G191" s="146"/>
      <c r="H191" s="146"/>
      <c r="I191" s="146"/>
      <c r="J191" s="142"/>
      <c r="K191" s="231"/>
    </row>
    <row r="192" spans="1:11" ht="12.75">
      <c r="A192" s="105" t="s">
        <v>205</v>
      </c>
      <c r="B192" s="80"/>
      <c r="C192" s="97"/>
      <c r="D192" s="117"/>
      <c r="E192" s="80"/>
      <c r="F192" s="81"/>
      <c r="G192" s="140"/>
      <c r="H192" s="140"/>
      <c r="I192" s="140"/>
      <c r="J192" s="141">
        <f aca="true" t="shared" si="31" ref="J192:K195">IF(G192&lt;=0,0,$I192/G192*100)</f>
        <v>0</v>
      </c>
      <c r="K192" s="220">
        <f t="shared" si="31"/>
        <v>0</v>
      </c>
    </row>
    <row r="193" spans="1:11" ht="12.75">
      <c r="A193" s="79">
        <v>7100</v>
      </c>
      <c r="B193" s="80"/>
      <c r="C193" s="97"/>
      <c r="D193" s="97" t="str">
        <f>(MID(E193,1,3))</f>
        <v>245</v>
      </c>
      <c r="E193" s="80">
        <v>2451</v>
      </c>
      <c r="F193" s="81" t="s">
        <v>204</v>
      </c>
      <c r="G193" s="82">
        <v>20000</v>
      </c>
      <c r="H193" s="82">
        <v>20000</v>
      </c>
      <c r="I193" s="82">
        <v>20000</v>
      </c>
      <c r="J193" s="101">
        <f>IF(G193&lt;=0,0,$I193/G193*100)</f>
        <v>100</v>
      </c>
      <c r="K193" s="102">
        <f>IF(H193&lt;=0,0,$I193/H193*100)</f>
        <v>100</v>
      </c>
    </row>
    <row r="194" spans="1:11" ht="12.75">
      <c r="A194" s="79">
        <v>7300</v>
      </c>
      <c r="B194" s="80"/>
      <c r="C194" s="97"/>
      <c r="D194" s="97" t="str">
        <f>(MID(E194,1,3))</f>
        <v>245</v>
      </c>
      <c r="E194" s="80">
        <v>2451</v>
      </c>
      <c r="F194" s="81" t="s">
        <v>204</v>
      </c>
      <c r="G194" s="82">
        <v>15000</v>
      </c>
      <c r="H194" s="82">
        <v>15000</v>
      </c>
      <c r="I194" s="82">
        <v>15000</v>
      </c>
      <c r="J194" s="87">
        <f>IF(G194&lt;=0,0,$I194/G194*100)</f>
        <v>100</v>
      </c>
      <c r="K194" s="88">
        <f>IF(H194&lt;=0,0,$I194/H194*100)</f>
        <v>100</v>
      </c>
    </row>
    <row r="195" spans="1:11" ht="13.5" thickBot="1">
      <c r="A195" s="111"/>
      <c r="B195" s="112"/>
      <c r="C195" s="212"/>
      <c r="D195" s="98" t="s">
        <v>206</v>
      </c>
      <c r="E195" s="112"/>
      <c r="F195" s="213"/>
      <c r="G195" s="136">
        <f>SUBTOTAL(9,G193:G194)</f>
        <v>35000</v>
      </c>
      <c r="H195" s="136">
        <f>SUBTOTAL(9,H193:H194)</f>
        <v>35000</v>
      </c>
      <c r="I195" s="136">
        <f>SUBTOTAL(9,I193:I194)</f>
        <v>35000</v>
      </c>
      <c r="J195" s="137">
        <f t="shared" si="31"/>
        <v>100</v>
      </c>
      <c r="K195" s="214">
        <f t="shared" si="31"/>
        <v>100</v>
      </c>
    </row>
    <row r="196" spans="1:11" ht="12.75">
      <c r="A196" s="89"/>
      <c r="B196" s="91"/>
      <c r="C196" s="233"/>
      <c r="D196" s="99"/>
      <c r="E196" s="91"/>
      <c r="F196" s="234"/>
      <c r="G196" s="146"/>
      <c r="H196" s="146"/>
      <c r="I196" s="146"/>
      <c r="J196" s="142">
        <f t="shared" si="28"/>
        <v>0</v>
      </c>
      <c r="K196" s="231">
        <f t="shared" si="29"/>
        <v>0</v>
      </c>
    </row>
    <row r="197" spans="1:11" ht="12.75">
      <c r="A197" s="105" t="s">
        <v>153</v>
      </c>
      <c r="B197" s="108"/>
      <c r="C197" s="109"/>
      <c r="D197" s="117"/>
      <c r="E197" s="80"/>
      <c r="F197" s="81"/>
      <c r="G197" s="140"/>
      <c r="H197" s="140"/>
      <c r="I197" s="140"/>
      <c r="J197" s="141">
        <f t="shared" si="28"/>
        <v>0</v>
      </c>
      <c r="K197" s="220">
        <f t="shared" si="29"/>
        <v>0</v>
      </c>
    </row>
    <row r="198" spans="1:11" ht="12.75">
      <c r="A198" s="129" t="s">
        <v>170</v>
      </c>
      <c r="B198" s="80"/>
      <c r="C198" s="97"/>
      <c r="D198" s="75" t="str">
        <f>(MID(E198,1,3))</f>
        <v>246</v>
      </c>
      <c r="E198" s="80">
        <v>2460</v>
      </c>
      <c r="F198" s="81" t="s">
        <v>153</v>
      </c>
      <c r="G198" s="82">
        <v>12755</v>
      </c>
      <c r="H198" s="82">
        <v>12755</v>
      </c>
      <c r="I198" s="82">
        <v>11839</v>
      </c>
      <c r="J198" s="87">
        <f t="shared" si="28"/>
        <v>92.81850254802039</v>
      </c>
      <c r="K198" s="88">
        <f t="shared" si="29"/>
        <v>92.81850254802039</v>
      </c>
    </row>
    <row r="199" spans="1:11" ht="12.75">
      <c r="A199" s="120">
        <v>7200</v>
      </c>
      <c r="B199" s="121"/>
      <c r="C199" s="235"/>
      <c r="D199" s="75" t="str">
        <f>(MID(E199,1,3))</f>
        <v>246</v>
      </c>
      <c r="E199" s="121">
        <v>2460</v>
      </c>
      <c r="F199" s="81" t="s">
        <v>153</v>
      </c>
      <c r="G199" s="86">
        <v>400</v>
      </c>
      <c r="H199" s="86">
        <v>400</v>
      </c>
      <c r="I199" s="86">
        <v>243</v>
      </c>
      <c r="J199" s="87">
        <f t="shared" si="28"/>
        <v>60.75000000000001</v>
      </c>
      <c r="K199" s="88">
        <f t="shared" si="29"/>
        <v>60.75000000000001</v>
      </c>
    </row>
    <row r="200" spans="1:11" ht="13.5" thickBot="1">
      <c r="A200" s="111"/>
      <c r="B200" s="112"/>
      <c r="C200" s="212"/>
      <c r="D200" s="98" t="s">
        <v>154</v>
      </c>
      <c r="E200" s="112"/>
      <c r="F200" s="213"/>
      <c r="G200" s="136">
        <f>SUBTOTAL(9,G198:G199)</f>
        <v>13155</v>
      </c>
      <c r="H200" s="136">
        <f>SUBTOTAL(9,H198:H199)</f>
        <v>13155</v>
      </c>
      <c r="I200" s="136">
        <f>SUBTOTAL(9,I198:I199)</f>
        <v>12082</v>
      </c>
      <c r="J200" s="137">
        <f t="shared" si="28"/>
        <v>91.84340554922082</v>
      </c>
      <c r="K200" s="214">
        <f t="shared" si="29"/>
        <v>91.84340554922082</v>
      </c>
    </row>
    <row r="201" spans="1:11" ht="15" thickBot="1">
      <c r="A201" s="188"/>
      <c r="B201" s="189"/>
      <c r="C201" s="190"/>
      <c r="D201" s="116" t="s">
        <v>155</v>
      </c>
      <c r="E201" s="189"/>
      <c r="F201" s="191"/>
      <c r="G201" s="236">
        <f>SUBTOTAL(9,G3:G200)</f>
        <v>555236</v>
      </c>
      <c r="H201" s="236">
        <f>SUBTOTAL(9,H3:H200)</f>
        <v>565700</v>
      </c>
      <c r="I201" s="236">
        <f>SUBTOTAL(9,I3:I200)</f>
        <v>589999</v>
      </c>
      <c r="J201" s="147">
        <f t="shared" si="28"/>
        <v>106.26094129343198</v>
      </c>
      <c r="K201" s="237">
        <f t="shared" si="29"/>
        <v>104.29538624712744</v>
      </c>
    </row>
  </sheetData>
  <sheetProtection/>
  <printOptions horizontalCentered="1"/>
  <pageMargins left="0.5905511811023623" right="0.5905511811023623" top="0.7874015748031497" bottom="0.5905511811023623" header="0.4724409448818898" footer="0.5118110236220472"/>
  <pageSetup fitToHeight="4" horizontalDpi="600" verticalDpi="600" orientation="landscape" paperSize="9" scale="81" r:id="rId1"/>
  <headerFooter alignWithMargins="0">
    <oddHeader>&amp;C&amp;"Times New Roman,Tučné"&amp;14Plnění rozpočtu nedaňových příjmů města k 31.12.2014 (v tis. Kč)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Zeros="0" zoomScaleSheetLayoutView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1" sqref="L1:O16384"/>
    </sheetView>
  </sheetViews>
  <sheetFormatPr defaultColWidth="9.00390625" defaultRowHeight="12.75"/>
  <cols>
    <col min="1" max="1" width="5.625" style="168" customWidth="1"/>
    <col min="2" max="2" width="5.625" style="170" customWidth="1"/>
    <col min="3" max="3" width="31.375" style="169" customWidth="1"/>
    <col min="4" max="4" width="7.25390625" style="169" bestFit="1" customWidth="1"/>
    <col min="5" max="5" width="5.625" style="170" customWidth="1"/>
    <col min="6" max="6" width="37.75390625" style="171" customWidth="1"/>
    <col min="7" max="7" width="13.375" style="148" customWidth="1"/>
    <col min="8" max="8" width="13.625" style="148" customWidth="1"/>
    <col min="9" max="9" width="15.25390625" style="148" customWidth="1"/>
    <col min="10" max="11" width="8.125" style="149" bestFit="1" customWidth="1"/>
    <col min="12" max="15" width="0" style="119" hidden="1" customWidth="1"/>
    <col min="16" max="16384" width="9.125" style="119" customWidth="1"/>
  </cols>
  <sheetData>
    <row r="1" spans="1:11" ht="13.5" thickBot="1">
      <c r="A1" s="172"/>
      <c r="B1" s="173"/>
      <c r="C1" s="174"/>
      <c r="D1" s="174"/>
      <c r="E1" s="173"/>
      <c r="F1" s="175"/>
      <c r="G1" s="176"/>
      <c r="H1" s="176"/>
      <c r="I1" s="176"/>
      <c r="J1" s="177"/>
      <c r="K1" s="177"/>
    </row>
    <row r="2" spans="1:11" s="156" customFormat="1" ht="13.5" thickBot="1">
      <c r="A2" s="245" t="s">
        <v>226</v>
      </c>
      <c r="B2" s="154" t="s">
        <v>0</v>
      </c>
      <c r="C2" s="153" t="s">
        <v>121</v>
      </c>
      <c r="D2" s="153" t="s">
        <v>99</v>
      </c>
      <c r="E2" s="154" t="s">
        <v>100</v>
      </c>
      <c r="F2" s="153" t="s">
        <v>101</v>
      </c>
      <c r="G2" s="132" t="s">
        <v>245</v>
      </c>
      <c r="H2" s="178" t="s">
        <v>298</v>
      </c>
      <c r="I2" s="178" t="s">
        <v>300</v>
      </c>
      <c r="J2" s="133" t="s">
        <v>102</v>
      </c>
      <c r="K2" s="155" t="s">
        <v>103</v>
      </c>
    </row>
    <row r="3" spans="1:11" s="156" customFormat="1" ht="12.75">
      <c r="A3" s="179" t="s">
        <v>167</v>
      </c>
      <c r="B3" s="180"/>
      <c r="C3" s="181"/>
      <c r="D3" s="181"/>
      <c r="E3" s="180"/>
      <c r="F3" s="181"/>
      <c r="G3" s="182"/>
      <c r="H3" s="182"/>
      <c r="I3" s="182"/>
      <c r="J3" s="183"/>
      <c r="K3" s="184"/>
    </row>
    <row r="4" spans="1:12" ht="12.75">
      <c r="A4" s="120">
        <v>5600</v>
      </c>
      <c r="B4" s="121">
        <v>2212</v>
      </c>
      <c r="C4" s="122" t="s">
        <v>19</v>
      </c>
      <c r="D4" s="97" t="str">
        <f aca="true" t="shared" si="0" ref="D4:D10">(MID(E4,1,3))</f>
        <v>311</v>
      </c>
      <c r="E4" s="121">
        <v>3111</v>
      </c>
      <c r="F4" s="161" t="s">
        <v>156</v>
      </c>
      <c r="G4" s="86"/>
      <c r="H4" s="86"/>
      <c r="I4" s="86">
        <v>51</v>
      </c>
      <c r="J4" s="101">
        <f>IF(G4&lt;=0,0,$I4/G4*100)</f>
        <v>0</v>
      </c>
      <c r="K4" s="124">
        <f>IF(H4&lt;=0,0,$I4/H4*100)</f>
        <v>0</v>
      </c>
      <c r="L4" s="322"/>
    </row>
    <row r="5" spans="1:12" ht="12.75">
      <c r="A5" s="120">
        <v>6200</v>
      </c>
      <c r="B5" s="121">
        <v>3612</v>
      </c>
      <c r="C5" s="185" t="s">
        <v>12</v>
      </c>
      <c r="D5" s="97" t="str">
        <f t="shared" si="0"/>
        <v>311</v>
      </c>
      <c r="E5" s="121">
        <v>3111</v>
      </c>
      <c r="F5" s="161" t="s">
        <v>156</v>
      </c>
      <c r="G5" s="86"/>
      <c r="H5" s="86"/>
      <c r="I5" s="86">
        <v>387</v>
      </c>
      <c r="J5" s="101"/>
      <c r="K5" s="124"/>
      <c r="L5" s="323"/>
    </row>
    <row r="6" spans="1:12" ht="12.75">
      <c r="A6" s="120">
        <v>6300</v>
      </c>
      <c r="B6" s="121">
        <v>3639</v>
      </c>
      <c r="C6" s="122" t="s">
        <v>124</v>
      </c>
      <c r="D6" s="97" t="str">
        <f t="shared" si="0"/>
        <v>311</v>
      </c>
      <c r="E6" s="121">
        <v>3111</v>
      </c>
      <c r="F6" s="161" t="s">
        <v>156</v>
      </c>
      <c r="G6" s="86">
        <v>166000</v>
      </c>
      <c r="H6" s="86">
        <v>166000</v>
      </c>
      <c r="I6" s="86">
        <v>100229</v>
      </c>
      <c r="J6" s="101">
        <f>IF(G6&lt;=0,0,$I6/G6*100)</f>
        <v>60.3789156626506</v>
      </c>
      <c r="K6" s="124">
        <f>IF(H6&lt;=0,0,$I6/H6*100)</f>
        <v>60.3789156626506</v>
      </c>
      <c r="L6" s="257"/>
    </row>
    <row r="7" spans="1:12" ht="12.75">
      <c r="A7" s="130" t="s">
        <v>170</v>
      </c>
      <c r="B7" s="128">
        <v>3612</v>
      </c>
      <c r="C7" s="185" t="s">
        <v>12</v>
      </c>
      <c r="D7" s="97" t="str">
        <f t="shared" si="0"/>
        <v>311</v>
      </c>
      <c r="E7" s="128">
        <v>3112</v>
      </c>
      <c r="F7" s="12" t="s">
        <v>157</v>
      </c>
      <c r="G7" s="103">
        <v>600000</v>
      </c>
      <c r="H7" s="103">
        <v>600000</v>
      </c>
      <c r="I7" s="103">
        <v>738070</v>
      </c>
      <c r="J7" s="101">
        <f>IF(G7&lt;=0,0,$I7/G7*100)</f>
        <v>123.01166666666667</v>
      </c>
      <c r="K7" s="124">
        <f>IF(H7&lt;=0,0,$I7/H7*100)</f>
        <v>123.01166666666667</v>
      </c>
      <c r="L7" s="257"/>
    </row>
    <row r="8" spans="1:12" ht="12.75">
      <c r="A8" s="120">
        <v>6300</v>
      </c>
      <c r="B8" s="121">
        <v>3639</v>
      </c>
      <c r="C8" s="122" t="s">
        <v>124</v>
      </c>
      <c r="D8" s="97" t="str">
        <f t="shared" si="0"/>
        <v>311</v>
      </c>
      <c r="E8" s="121">
        <v>3112</v>
      </c>
      <c r="F8" s="12" t="s">
        <v>157</v>
      </c>
      <c r="G8" s="110">
        <v>10700</v>
      </c>
      <c r="H8" s="110">
        <v>19367</v>
      </c>
      <c r="I8" s="110">
        <v>12877</v>
      </c>
      <c r="J8" s="101">
        <f aca="true" t="shared" si="1" ref="J8:K11">IF(G8&lt;=0,0,$I8/G8*100)</f>
        <v>120.34579439252337</v>
      </c>
      <c r="K8" s="124">
        <f t="shared" si="1"/>
        <v>66.48938916713998</v>
      </c>
      <c r="L8" s="257"/>
    </row>
    <row r="9" spans="1:11" ht="12.75">
      <c r="A9" s="120">
        <v>6300</v>
      </c>
      <c r="B9" s="121">
        <v>3639</v>
      </c>
      <c r="C9" s="122" t="s">
        <v>124</v>
      </c>
      <c r="D9" s="97" t="str">
        <f>(MID(E9,1,3))</f>
        <v>311</v>
      </c>
      <c r="E9" s="121">
        <v>3113</v>
      </c>
      <c r="F9" s="161" t="s">
        <v>158</v>
      </c>
      <c r="G9" s="110"/>
      <c r="H9" s="110"/>
      <c r="I9" s="110">
        <v>1</v>
      </c>
      <c r="J9" s="203"/>
      <c r="K9" s="124"/>
    </row>
    <row r="10" spans="1:11" ht="12.75">
      <c r="A10" s="186">
        <v>8200</v>
      </c>
      <c r="B10" s="121">
        <v>5311</v>
      </c>
      <c r="C10" s="122" t="s">
        <v>88</v>
      </c>
      <c r="D10" s="97" t="str">
        <f t="shared" si="0"/>
        <v>311</v>
      </c>
      <c r="E10" s="121">
        <v>3113</v>
      </c>
      <c r="F10" s="161" t="s">
        <v>158</v>
      </c>
      <c r="G10" s="110">
        <v>80</v>
      </c>
      <c r="H10" s="110">
        <v>80</v>
      </c>
      <c r="I10" s="110">
        <v>242</v>
      </c>
      <c r="J10" s="143">
        <f t="shared" si="1"/>
        <v>302.5</v>
      </c>
      <c r="K10" s="124">
        <f t="shared" si="1"/>
        <v>302.5</v>
      </c>
    </row>
    <row r="11" spans="1:11" ht="13.5" thickBot="1">
      <c r="A11" s="247"/>
      <c r="B11" s="248"/>
      <c r="C11" s="249"/>
      <c r="D11" s="98" t="s">
        <v>159</v>
      </c>
      <c r="E11" s="248"/>
      <c r="F11" s="250"/>
      <c r="G11" s="251">
        <f>SUBTOTAL(9,G4:G10)</f>
        <v>776780</v>
      </c>
      <c r="H11" s="251">
        <f>SUBTOTAL(9,H4:H10)</f>
        <v>785447</v>
      </c>
      <c r="I11" s="251">
        <f>SUBTOTAL(9,I4:I10)</f>
        <v>851857</v>
      </c>
      <c r="J11" s="144">
        <f t="shared" si="1"/>
        <v>109.66515615747059</v>
      </c>
      <c r="K11" s="187">
        <f t="shared" si="1"/>
        <v>108.45505807521067</v>
      </c>
    </row>
    <row r="12" spans="1:11" ht="13.5" thickBot="1">
      <c r="A12" s="247"/>
      <c r="B12" s="248"/>
      <c r="C12" s="249"/>
      <c r="D12" s="98" t="s">
        <v>160</v>
      </c>
      <c r="E12" s="248"/>
      <c r="F12" s="250"/>
      <c r="G12" s="251">
        <f>SUBTOTAL(9,G4:G11)</f>
        <v>776780</v>
      </c>
      <c r="H12" s="251">
        <f>SUBTOTAL(9,H4:H11)</f>
        <v>785447</v>
      </c>
      <c r="I12" s="251">
        <f>SUBTOTAL(9,I4:I11)</f>
        <v>851857</v>
      </c>
      <c r="J12" s="144">
        <f>IF(G12&lt;=0,0,$I12/G12*100)</f>
        <v>109.66515615747059</v>
      </c>
      <c r="K12" s="187">
        <f>IF(H12&lt;=0,0,$I12/H12*100)</f>
        <v>108.45505807521067</v>
      </c>
    </row>
  </sheetData>
  <sheetProtection/>
  <printOptions horizontalCentered="1"/>
  <pageMargins left="0.5905511811023623" right="0.5905511811023623" top="1.1811023622047245" bottom="0.7086614173228347" header="0.8267716535433072" footer="0.5118110236220472"/>
  <pageSetup fitToHeight="1" fitToWidth="1" horizontalDpi="600" verticalDpi="600" orientation="landscape" paperSize="9" scale="90" r:id="rId1"/>
  <headerFooter alignWithMargins="0">
    <oddHeader>&amp;C&amp;"Times New Roman,Tučné"&amp;14Plnění rozpočtu kapitálových příjmů města k 31.12.2014 (v tis. Kč)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SheetLayoutView="75" zoomScalePageLayoutView="0" workbookViewId="0" topLeftCell="A1">
      <pane xSplit="4" ySplit="2" topLeftCell="E3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J1" sqref="J1:N16384"/>
    </sheetView>
  </sheetViews>
  <sheetFormatPr defaultColWidth="9.00390625" defaultRowHeight="12.75"/>
  <cols>
    <col min="1" max="1" width="5.375" style="168" customWidth="1"/>
    <col min="2" max="2" width="7.25390625" style="169" bestFit="1" customWidth="1"/>
    <col min="3" max="3" width="4.75390625" style="170" customWidth="1"/>
    <col min="4" max="4" width="44.625" style="171" customWidth="1"/>
    <col min="5" max="5" width="15.125" style="148" customWidth="1"/>
    <col min="6" max="6" width="15.00390625" style="148" customWidth="1"/>
    <col min="7" max="7" width="15.875" style="148" customWidth="1"/>
    <col min="8" max="8" width="8.125" style="149" customWidth="1"/>
    <col min="9" max="9" width="8.125" style="149" bestFit="1" customWidth="1"/>
    <col min="10" max="14" width="0" style="119" hidden="1" customWidth="1"/>
    <col min="15" max="16384" width="9.125" style="119" customWidth="1"/>
  </cols>
  <sheetData>
    <row r="1" spans="1:9" ht="13.5" thickBot="1">
      <c r="A1" s="172"/>
      <c r="B1" s="174"/>
      <c r="C1" s="173"/>
      <c r="D1" s="175"/>
      <c r="E1" s="176"/>
      <c r="F1" s="176"/>
      <c r="G1" s="176"/>
      <c r="H1" s="177"/>
      <c r="I1" s="177"/>
    </row>
    <row r="2" spans="1:9" s="156" customFormat="1" ht="13.5" thickBot="1">
      <c r="A2" s="245" t="s">
        <v>226</v>
      </c>
      <c r="B2" s="153" t="s">
        <v>99</v>
      </c>
      <c r="C2" s="154" t="s">
        <v>100</v>
      </c>
      <c r="D2" s="153" t="s">
        <v>101</v>
      </c>
      <c r="E2" s="132" t="s">
        <v>245</v>
      </c>
      <c r="F2" s="132" t="s">
        <v>298</v>
      </c>
      <c r="G2" s="132" t="s">
        <v>300</v>
      </c>
      <c r="H2" s="133" t="s">
        <v>102</v>
      </c>
      <c r="I2" s="155" t="s">
        <v>103</v>
      </c>
    </row>
    <row r="3" spans="1:9" ht="12.75">
      <c r="A3" s="79">
        <v>1700</v>
      </c>
      <c r="B3" s="107" t="str">
        <f aca="true" t="shared" si="0" ref="B3:B12">(MID(C3,1,2))</f>
        <v>41</v>
      </c>
      <c r="C3" s="80">
        <v>4111</v>
      </c>
      <c r="D3" s="81" t="s">
        <v>278</v>
      </c>
      <c r="E3" s="82"/>
      <c r="F3" s="82">
        <v>86</v>
      </c>
      <c r="G3" s="82">
        <v>86</v>
      </c>
      <c r="H3" s="101">
        <f>IF(E3&lt;=0,0,$G3/E3*100)</f>
        <v>0</v>
      </c>
      <c r="I3" s="102">
        <f>IF(F3&lt;=0,0,$G3/F3*100)</f>
        <v>100</v>
      </c>
    </row>
    <row r="4" spans="1:9" ht="12.75">
      <c r="A4" s="79">
        <v>1700</v>
      </c>
      <c r="B4" s="107" t="str">
        <f>(MID(C4,1,2))</f>
        <v>41</v>
      </c>
      <c r="C4" s="80">
        <v>4112</v>
      </c>
      <c r="D4" s="81" t="s">
        <v>179</v>
      </c>
      <c r="E4" s="82">
        <v>159505</v>
      </c>
      <c r="F4" s="82">
        <v>159505</v>
      </c>
      <c r="G4" s="82">
        <v>159505</v>
      </c>
      <c r="H4" s="101">
        <f>IF(E4&lt;=0,0,$G4/E4*100)</f>
        <v>100</v>
      </c>
      <c r="I4" s="102">
        <f>IF(F4&lt;=0,0,$G4/F4*100)</f>
        <v>100</v>
      </c>
    </row>
    <row r="5" spans="1:9" ht="12.75">
      <c r="A5" s="79">
        <v>1700</v>
      </c>
      <c r="B5" s="107" t="str">
        <f>(MID(C5,1,2))</f>
        <v>41</v>
      </c>
      <c r="C5" s="80">
        <v>4113</v>
      </c>
      <c r="D5" s="81" t="s">
        <v>246</v>
      </c>
      <c r="E5" s="82"/>
      <c r="F5" s="82">
        <v>580</v>
      </c>
      <c r="G5" s="82">
        <v>580</v>
      </c>
      <c r="H5" s="101"/>
      <c r="I5" s="102">
        <f>IF(F5&lt;=0,0,$G5/F5*100)</f>
        <v>100</v>
      </c>
    </row>
    <row r="6" spans="1:9" ht="12.75">
      <c r="A6" s="79">
        <v>1700</v>
      </c>
      <c r="B6" s="107" t="str">
        <f t="shared" si="0"/>
        <v>41</v>
      </c>
      <c r="C6" s="80">
        <v>4116</v>
      </c>
      <c r="D6" s="81" t="s">
        <v>180</v>
      </c>
      <c r="E6" s="82"/>
      <c r="F6" s="82">
        <v>97097</v>
      </c>
      <c r="G6" s="82">
        <v>97097</v>
      </c>
      <c r="H6" s="101">
        <f aca="true" t="shared" si="1" ref="H6:H16">IF(E6&lt;=0,0,$G6/E6*100)</f>
        <v>0</v>
      </c>
      <c r="I6" s="102">
        <f aca="true" t="shared" si="2" ref="I6:I16">IF(F6&lt;=0,0,$G6/F6*100)</f>
        <v>100</v>
      </c>
    </row>
    <row r="7" spans="1:9" ht="12.75">
      <c r="A7" s="79">
        <v>7400</v>
      </c>
      <c r="B7" s="107" t="str">
        <f t="shared" si="0"/>
        <v>41</v>
      </c>
      <c r="C7" s="80">
        <v>4116</v>
      </c>
      <c r="D7" s="81" t="s">
        <v>180</v>
      </c>
      <c r="E7" s="82"/>
      <c r="F7" s="82">
        <v>9342</v>
      </c>
      <c r="G7" s="82">
        <v>9342</v>
      </c>
      <c r="H7" s="101">
        <f t="shared" si="1"/>
        <v>0</v>
      </c>
      <c r="I7" s="102">
        <f t="shared" si="2"/>
        <v>100</v>
      </c>
    </row>
    <row r="8" spans="1:9" ht="12.75">
      <c r="A8" s="79">
        <v>1700</v>
      </c>
      <c r="B8" s="107" t="str">
        <f t="shared" si="0"/>
        <v>41</v>
      </c>
      <c r="C8" s="80">
        <v>4119</v>
      </c>
      <c r="D8" s="81" t="s">
        <v>262</v>
      </c>
      <c r="E8" s="82"/>
      <c r="F8" s="82">
        <v>163</v>
      </c>
      <c r="G8" s="82">
        <v>163</v>
      </c>
      <c r="H8" s="101"/>
      <c r="I8" s="102">
        <f t="shared" si="2"/>
        <v>100</v>
      </c>
    </row>
    <row r="9" spans="1:9" ht="12.75">
      <c r="A9" s="79">
        <v>8200</v>
      </c>
      <c r="B9" s="107" t="str">
        <f t="shared" si="0"/>
        <v>41</v>
      </c>
      <c r="C9" s="80">
        <v>4121</v>
      </c>
      <c r="D9" s="81" t="s">
        <v>181</v>
      </c>
      <c r="E9" s="82">
        <v>30</v>
      </c>
      <c r="F9" s="82">
        <v>30</v>
      </c>
      <c r="G9" s="82">
        <v>29</v>
      </c>
      <c r="H9" s="101">
        <f t="shared" si="1"/>
        <v>96.66666666666667</v>
      </c>
      <c r="I9" s="102">
        <f t="shared" si="2"/>
        <v>96.66666666666667</v>
      </c>
    </row>
    <row r="10" spans="1:9" ht="12.75">
      <c r="A10" s="79">
        <v>1700</v>
      </c>
      <c r="B10" s="107" t="str">
        <f>(MID(C10,1,2))</f>
        <v>41</v>
      </c>
      <c r="C10" s="80">
        <v>4122</v>
      </c>
      <c r="D10" s="81" t="s">
        <v>182</v>
      </c>
      <c r="E10" s="82"/>
      <c r="F10" s="82">
        <v>9646</v>
      </c>
      <c r="G10" s="82">
        <v>9646</v>
      </c>
      <c r="H10" s="101"/>
      <c r="I10" s="102">
        <f t="shared" si="2"/>
        <v>100</v>
      </c>
    </row>
    <row r="11" spans="1:9" ht="12.75">
      <c r="A11" s="79">
        <v>7400</v>
      </c>
      <c r="B11" s="107" t="str">
        <f t="shared" si="0"/>
        <v>41</v>
      </c>
      <c r="C11" s="80">
        <v>4122</v>
      </c>
      <c r="D11" s="81" t="s">
        <v>182</v>
      </c>
      <c r="E11" s="86"/>
      <c r="F11" s="86">
        <v>29596</v>
      </c>
      <c r="G11" s="86">
        <v>29596</v>
      </c>
      <c r="H11" s="101">
        <f t="shared" si="1"/>
        <v>0</v>
      </c>
      <c r="I11" s="102">
        <f t="shared" si="2"/>
        <v>100</v>
      </c>
    </row>
    <row r="12" spans="1:9" ht="12.75">
      <c r="A12" s="79">
        <v>1700</v>
      </c>
      <c r="B12" s="107" t="str">
        <f t="shared" si="0"/>
        <v>41</v>
      </c>
      <c r="C12" s="80">
        <v>4123</v>
      </c>
      <c r="D12" s="81" t="s">
        <v>279</v>
      </c>
      <c r="E12" s="86"/>
      <c r="F12" s="86">
        <v>1856</v>
      </c>
      <c r="G12" s="86">
        <v>1856</v>
      </c>
      <c r="H12" s="101"/>
      <c r="I12" s="102">
        <f t="shared" si="2"/>
        <v>100</v>
      </c>
    </row>
    <row r="13" spans="1:10" ht="12.75">
      <c r="A13" s="79">
        <v>1700</v>
      </c>
      <c r="B13" s="107" t="str">
        <f aca="true" t="shared" si="3" ref="B13:B18">(MID(C13,1,2))</f>
        <v>41</v>
      </c>
      <c r="C13" s="80">
        <v>4131</v>
      </c>
      <c r="D13" s="81" t="s">
        <v>161</v>
      </c>
      <c r="E13" s="82">
        <v>492194</v>
      </c>
      <c r="F13" s="82">
        <v>491682</v>
      </c>
      <c r="G13" s="82">
        <v>541976</v>
      </c>
      <c r="H13" s="101">
        <f t="shared" si="1"/>
        <v>110.11430452220058</v>
      </c>
      <c r="I13" s="102">
        <f t="shared" si="2"/>
        <v>110.22896913045423</v>
      </c>
      <c r="J13" s="257"/>
    </row>
    <row r="14" spans="1:9" ht="12.75">
      <c r="A14" s="89">
        <v>6200</v>
      </c>
      <c r="B14" s="107" t="str">
        <f t="shared" si="3"/>
        <v>41</v>
      </c>
      <c r="C14" s="80">
        <v>4131</v>
      </c>
      <c r="D14" s="81" t="s">
        <v>161</v>
      </c>
      <c r="E14" s="104">
        <v>276</v>
      </c>
      <c r="F14" s="104">
        <v>276</v>
      </c>
      <c r="G14" s="104">
        <v>276</v>
      </c>
      <c r="H14" s="101">
        <f t="shared" si="1"/>
        <v>100</v>
      </c>
      <c r="I14" s="102">
        <f t="shared" si="2"/>
        <v>100</v>
      </c>
    </row>
    <row r="15" spans="1:10" ht="12.75">
      <c r="A15" s="89">
        <v>3200</v>
      </c>
      <c r="B15" s="107" t="str">
        <f t="shared" si="3"/>
        <v>41</v>
      </c>
      <c r="C15" s="91">
        <v>4132</v>
      </c>
      <c r="D15" s="81" t="s">
        <v>171</v>
      </c>
      <c r="E15" s="104"/>
      <c r="F15" s="104"/>
      <c r="G15" s="104">
        <v>3561</v>
      </c>
      <c r="H15" s="101">
        <f t="shared" si="1"/>
        <v>0</v>
      </c>
      <c r="I15" s="102">
        <f t="shared" si="2"/>
        <v>0</v>
      </c>
      <c r="J15" s="252"/>
    </row>
    <row r="16" spans="1:10" ht="12.75">
      <c r="A16" s="89">
        <v>8200</v>
      </c>
      <c r="B16" s="107" t="str">
        <f t="shared" si="3"/>
        <v>41</v>
      </c>
      <c r="C16" s="91">
        <v>4132</v>
      </c>
      <c r="D16" s="81" t="s">
        <v>171</v>
      </c>
      <c r="E16" s="104"/>
      <c r="F16" s="104">
        <v>1133</v>
      </c>
      <c r="G16" s="104">
        <v>2114</v>
      </c>
      <c r="H16" s="101">
        <f t="shared" si="1"/>
        <v>0</v>
      </c>
      <c r="I16" s="102">
        <f t="shared" si="2"/>
        <v>186.58428949691086</v>
      </c>
      <c r="J16" s="257"/>
    </row>
    <row r="17" spans="1:9" ht="12.75">
      <c r="A17" s="89">
        <v>1700</v>
      </c>
      <c r="B17" s="107" t="str">
        <f t="shared" si="3"/>
        <v>41</v>
      </c>
      <c r="C17" s="91">
        <v>4151</v>
      </c>
      <c r="D17" s="81" t="s">
        <v>231</v>
      </c>
      <c r="E17" s="104"/>
      <c r="F17" s="104">
        <v>328</v>
      </c>
      <c r="G17" s="104">
        <v>328</v>
      </c>
      <c r="H17" s="101">
        <f aca="true" t="shared" si="4" ref="H17:I20">IF(E17&lt;=0,0,$G17/E17*100)</f>
        <v>0</v>
      </c>
      <c r="I17" s="102">
        <f t="shared" si="4"/>
        <v>100</v>
      </c>
    </row>
    <row r="18" spans="1:9" ht="12.75">
      <c r="A18" s="89">
        <v>1700</v>
      </c>
      <c r="B18" s="107" t="str">
        <f t="shared" si="3"/>
        <v>41</v>
      </c>
      <c r="C18" s="91">
        <v>4152</v>
      </c>
      <c r="D18" s="81" t="s">
        <v>216</v>
      </c>
      <c r="E18" s="104"/>
      <c r="F18" s="104">
        <v>5888</v>
      </c>
      <c r="G18" s="104">
        <v>5886</v>
      </c>
      <c r="H18" s="101">
        <f t="shared" si="4"/>
        <v>0</v>
      </c>
      <c r="I18" s="102">
        <f t="shared" si="4"/>
        <v>99.96603260869566</v>
      </c>
    </row>
    <row r="19" spans="1:9" ht="13.5" thickBot="1">
      <c r="A19" s="111"/>
      <c r="B19" s="98" t="s">
        <v>176</v>
      </c>
      <c r="C19" s="112"/>
      <c r="D19" s="113"/>
      <c r="E19" s="114">
        <f>SUBTOTAL(9,E3:E18)</f>
        <v>652005</v>
      </c>
      <c r="F19" s="114">
        <f>SUBTOTAL(9,F3:F18)</f>
        <v>807208</v>
      </c>
      <c r="G19" s="114">
        <f>SUBTOTAL(9,G3:G18)</f>
        <v>862041</v>
      </c>
      <c r="H19" s="192">
        <f t="shared" si="4"/>
        <v>132.21386339061817</v>
      </c>
      <c r="I19" s="193">
        <f t="shared" si="4"/>
        <v>106.79292078373852</v>
      </c>
    </row>
    <row r="20" spans="1:9" ht="12.75">
      <c r="A20" s="194"/>
      <c r="B20" s="195"/>
      <c r="C20" s="196"/>
      <c r="D20" s="197"/>
      <c r="F20" s="198"/>
      <c r="H20" s="199">
        <f t="shared" si="4"/>
        <v>0</v>
      </c>
      <c r="I20" s="164">
        <f t="shared" si="4"/>
        <v>0</v>
      </c>
    </row>
    <row r="21" spans="1:9" ht="12.75">
      <c r="A21" s="127">
        <v>1700</v>
      </c>
      <c r="B21" s="185" t="str">
        <f aca="true" t="shared" si="5" ref="B21:B26">(MID(C21,1,2))</f>
        <v>42</v>
      </c>
      <c r="C21" s="200">
        <v>4213</v>
      </c>
      <c r="D21" s="81" t="s">
        <v>246</v>
      </c>
      <c r="E21" s="201"/>
      <c r="F21" s="202">
        <v>20222</v>
      </c>
      <c r="G21" s="202">
        <v>20080</v>
      </c>
      <c r="H21" s="203"/>
      <c r="I21" s="102">
        <f aca="true" t="shared" si="6" ref="I21:I28">IF(F21&lt;=0,0,$G21/F21*100)</f>
        <v>99.29779448125804</v>
      </c>
    </row>
    <row r="22" spans="1:9" ht="12.75">
      <c r="A22" s="127">
        <v>1700</v>
      </c>
      <c r="B22" s="185" t="str">
        <f t="shared" si="5"/>
        <v>42</v>
      </c>
      <c r="C22" s="200">
        <v>4216</v>
      </c>
      <c r="D22" s="81" t="s">
        <v>247</v>
      </c>
      <c r="E22" s="201"/>
      <c r="F22" s="202">
        <v>372026</v>
      </c>
      <c r="G22" s="202">
        <v>372026</v>
      </c>
      <c r="H22" s="203"/>
      <c r="I22" s="102">
        <f t="shared" si="6"/>
        <v>100</v>
      </c>
    </row>
    <row r="23" spans="1:9" ht="12.75">
      <c r="A23" s="127">
        <v>1700</v>
      </c>
      <c r="B23" s="185" t="str">
        <f t="shared" si="5"/>
        <v>42</v>
      </c>
      <c r="C23" s="200">
        <v>4221</v>
      </c>
      <c r="D23" s="81" t="s">
        <v>261</v>
      </c>
      <c r="E23" s="201"/>
      <c r="F23" s="202">
        <v>26281</v>
      </c>
      <c r="G23" s="202">
        <v>26255</v>
      </c>
      <c r="H23" s="203"/>
      <c r="I23" s="102">
        <f t="shared" si="6"/>
        <v>99.90106921350025</v>
      </c>
    </row>
    <row r="24" spans="1:9" ht="12.75">
      <c r="A24" s="127">
        <v>1700</v>
      </c>
      <c r="B24" s="185" t="str">
        <f t="shared" si="5"/>
        <v>42</v>
      </c>
      <c r="C24" s="200">
        <v>4222</v>
      </c>
      <c r="D24" s="81" t="s">
        <v>301</v>
      </c>
      <c r="E24" s="201"/>
      <c r="F24" s="202">
        <v>100</v>
      </c>
      <c r="G24" s="202">
        <v>100</v>
      </c>
      <c r="H24" s="203"/>
      <c r="I24" s="102">
        <f t="shared" si="6"/>
        <v>100</v>
      </c>
    </row>
    <row r="25" spans="1:9" ht="12.75">
      <c r="A25" s="127">
        <v>7400</v>
      </c>
      <c r="B25" s="185" t="str">
        <f t="shared" si="5"/>
        <v>42</v>
      </c>
      <c r="C25" s="200">
        <v>4222</v>
      </c>
      <c r="D25" s="81" t="s">
        <v>301</v>
      </c>
      <c r="E25" s="201"/>
      <c r="F25" s="202">
        <v>94</v>
      </c>
      <c r="G25" s="202">
        <v>94</v>
      </c>
      <c r="H25" s="203"/>
      <c r="I25" s="102">
        <f t="shared" si="6"/>
        <v>100</v>
      </c>
    </row>
    <row r="26" spans="1:9" ht="12.75">
      <c r="A26" s="127">
        <v>1700</v>
      </c>
      <c r="B26" s="185" t="str">
        <f t="shared" si="5"/>
        <v>42</v>
      </c>
      <c r="C26" s="200">
        <v>4223</v>
      </c>
      <c r="D26" s="81" t="s">
        <v>227</v>
      </c>
      <c r="E26" s="201"/>
      <c r="F26" s="202">
        <v>118237</v>
      </c>
      <c r="G26" s="202">
        <v>118237</v>
      </c>
      <c r="H26" s="203"/>
      <c r="I26" s="102">
        <f t="shared" si="6"/>
        <v>100</v>
      </c>
    </row>
    <row r="27" spans="1:9" ht="13.5" thickBot="1">
      <c r="A27" s="204"/>
      <c r="B27" s="205" t="s">
        <v>177</v>
      </c>
      <c r="C27" s="206"/>
      <c r="D27" s="207"/>
      <c r="E27" s="136">
        <f>SUBTOTAL(9,E21:E23)</f>
        <v>0</v>
      </c>
      <c r="F27" s="136">
        <f>SUBTOTAL(9,F21:F26)</f>
        <v>536960</v>
      </c>
      <c r="G27" s="136">
        <f>SUBTOTAL(9,G21:G26)</f>
        <v>536792</v>
      </c>
      <c r="H27" s="192">
        <f>IF(E27&lt;=0,0,$G27/E27*100)</f>
        <v>0</v>
      </c>
      <c r="I27" s="193">
        <f t="shared" si="6"/>
        <v>99.96871275327771</v>
      </c>
    </row>
    <row r="28" spans="1:9" ht="15" thickBot="1">
      <c r="A28" s="111"/>
      <c r="B28" s="115" t="s">
        <v>178</v>
      </c>
      <c r="C28" s="112"/>
      <c r="D28" s="113"/>
      <c r="E28" s="114">
        <f>SUBTOTAL(9,E3:E27)</f>
        <v>652005</v>
      </c>
      <c r="F28" s="114">
        <f>SUBTOTAL(9,F3:F27)</f>
        <v>1344168</v>
      </c>
      <c r="G28" s="114">
        <f>SUBTOTAL(9,G3:G27)</f>
        <v>1398833</v>
      </c>
      <c r="H28" s="192">
        <f>IF(E28&lt;=0,0,$G28/E28*100)</f>
        <v>214.543293379652</v>
      </c>
      <c r="I28" s="193">
        <f t="shared" si="6"/>
        <v>104.0668279560293</v>
      </c>
    </row>
  </sheetData>
  <sheetProtection/>
  <printOptions horizontalCentered="1"/>
  <pageMargins left="0.5905511811023623" right="0.3937007874015748" top="0.9448818897637796" bottom="0.5511811023622047" header="0.6299212598425197" footer="0.5118110236220472"/>
  <pageSetup horizontalDpi="600" verticalDpi="600" orientation="landscape" paperSize="9" scale="108" r:id="rId1"/>
  <headerFooter alignWithMargins="0">
    <oddHeader>&amp;C&amp;"Times New Roman,Tučné"&amp;13Transfery přijaté městem k 31.12.2014 (v tis. Kč)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5"/>
  <sheetViews>
    <sheetView showZeros="0" zoomScaleSheetLayoutView="75" zoomScalePageLayoutView="0" workbookViewId="0" topLeftCell="A1">
      <selection activeCell="I1" sqref="I1:M16384"/>
    </sheetView>
  </sheetViews>
  <sheetFormatPr defaultColWidth="9.00390625" defaultRowHeight="12.75"/>
  <cols>
    <col min="1" max="2" width="7.75390625" style="0" customWidth="1"/>
    <col min="3" max="3" width="39.25390625" style="0" customWidth="1"/>
    <col min="4" max="4" width="13.375" style="0" customWidth="1"/>
    <col min="5" max="5" width="14.375" style="0" customWidth="1"/>
    <col min="6" max="6" width="13.875" style="0" customWidth="1"/>
    <col min="7" max="7" width="8.875" style="0" customWidth="1"/>
    <col min="8" max="8" width="8.875" style="258" customWidth="1"/>
    <col min="9" max="9" width="0" style="253" hidden="1" customWidth="1"/>
    <col min="10" max="13" width="0" style="0" hidden="1" customWidth="1"/>
  </cols>
  <sheetData>
    <row r="1" spans="1:9" ht="13.5" thickBot="1">
      <c r="A1" s="49" t="s">
        <v>226</v>
      </c>
      <c r="B1" s="2" t="s">
        <v>0</v>
      </c>
      <c r="C1" s="2" t="s">
        <v>3</v>
      </c>
      <c r="D1" s="40" t="s">
        <v>245</v>
      </c>
      <c r="E1" s="40" t="s">
        <v>298</v>
      </c>
      <c r="F1" s="40" t="s">
        <v>299</v>
      </c>
      <c r="G1" s="34" t="s">
        <v>50</v>
      </c>
      <c r="H1" s="155" t="s">
        <v>51</v>
      </c>
      <c r="I1" s="325" t="s">
        <v>305</v>
      </c>
    </row>
    <row r="2" spans="1:8" ht="12.75">
      <c r="A2" s="24" t="s">
        <v>43</v>
      </c>
      <c r="B2" s="17"/>
      <c r="C2" s="10"/>
      <c r="D2" s="269"/>
      <c r="E2" s="268"/>
      <c r="F2" s="269"/>
      <c r="G2" s="272">
        <f>IF(D2&lt;=0,0,$F2/D2*100)</f>
        <v>0</v>
      </c>
      <c r="H2" s="46">
        <f>IF(E2&lt;=0,0,$F2/E2*100)</f>
        <v>0</v>
      </c>
    </row>
    <row r="3" spans="1:9" s="65" customFormat="1" ht="12.75">
      <c r="A3" s="50">
        <v>1700</v>
      </c>
      <c r="B3" s="17">
        <v>3511</v>
      </c>
      <c r="C3" s="10" t="s">
        <v>13</v>
      </c>
      <c r="D3" s="9">
        <v>500</v>
      </c>
      <c r="E3" s="9">
        <v>500</v>
      </c>
      <c r="F3" s="9">
        <v>250</v>
      </c>
      <c r="G3" s="273">
        <f>IF(D3&lt;=0,0,$F3/D3*100)</f>
        <v>50</v>
      </c>
      <c r="H3" s="44">
        <f>IF(E3&lt;=0,0,$F3/E3*100)</f>
        <v>50</v>
      </c>
      <c r="I3" s="221"/>
    </row>
    <row r="4" spans="1:9" ht="12.75">
      <c r="A4" s="50">
        <v>1700</v>
      </c>
      <c r="B4" s="66">
        <v>6171</v>
      </c>
      <c r="C4" s="11" t="s">
        <v>9</v>
      </c>
      <c r="D4" s="270">
        <v>7705</v>
      </c>
      <c r="E4" s="270">
        <v>7705</v>
      </c>
      <c r="F4" s="270">
        <v>7953</v>
      </c>
      <c r="G4" s="273">
        <f aca="true" t="shared" si="0" ref="G4:H8">IF(D4&lt;=0,0,$F4/D4*100)</f>
        <v>103.21868916288123</v>
      </c>
      <c r="H4" s="44">
        <f t="shared" si="0"/>
        <v>103.21868916288123</v>
      </c>
      <c r="I4" s="119"/>
    </row>
    <row r="5" spans="1:9" ht="12.75">
      <c r="A5" s="50">
        <v>1700</v>
      </c>
      <c r="B5" s="17">
        <v>6310</v>
      </c>
      <c r="C5" s="67" t="s">
        <v>248</v>
      </c>
      <c r="D5" s="270">
        <v>225300</v>
      </c>
      <c r="E5" s="270">
        <v>225300</v>
      </c>
      <c r="F5" s="270">
        <v>76755</v>
      </c>
      <c r="G5" s="273">
        <f t="shared" si="0"/>
        <v>34.06790945406125</v>
      </c>
      <c r="H5" s="44">
        <f t="shared" si="0"/>
        <v>34.06790945406125</v>
      </c>
      <c r="I5" s="324"/>
    </row>
    <row r="6" spans="1:9" ht="12.75">
      <c r="A6" s="50">
        <v>1700</v>
      </c>
      <c r="B6" s="17">
        <v>6399</v>
      </c>
      <c r="C6" s="11" t="s">
        <v>62</v>
      </c>
      <c r="D6" s="270">
        <v>350000</v>
      </c>
      <c r="E6" s="270">
        <v>204249</v>
      </c>
      <c r="F6" s="270">
        <v>204554</v>
      </c>
      <c r="G6" s="273">
        <f t="shared" si="0"/>
        <v>58.443999999999996</v>
      </c>
      <c r="H6" s="44">
        <f t="shared" si="0"/>
        <v>100.14932753648733</v>
      </c>
      <c r="I6" s="119"/>
    </row>
    <row r="7" spans="1:9" ht="12.75">
      <c r="A7" s="50">
        <v>1700</v>
      </c>
      <c r="B7" s="17">
        <v>6402</v>
      </c>
      <c r="C7" s="11" t="s">
        <v>96</v>
      </c>
      <c r="D7" s="270"/>
      <c r="E7" s="270">
        <v>118752</v>
      </c>
      <c r="F7" s="270">
        <v>118751</v>
      </c>
      <c r="G7" s="273">
        <f>IF(D7&lt;=0,0,$F7/D7*100)</f>
        <v>0</v>
      </c>
      <c r="H7" s="44">
        <f>IF(E7&lt;=0,0,$F7/E7*100)</f>
        <v>99.99915790891943</v>
      </c>
      <c r="I7" s="119"/>
    </row>
    <row r="8" spans="1:9" ht="12.75">
      <c r="A8" s="50">
        <v>1700</v>
      </c>
      <c r="B8" s="17">
        <v>6409</v>
      </c>
      <c r="C8" s="11" t="s">
        <v>38</v>
      </c>
      <c r="D8" s="270">
        <f>1033881+5000</f>
        <v>1038881</v>
      </c>
      <c r="E8" s="270">
        <v>1077726</v>
      </c>
      <c r="F8" s="270">
        <v>1071760</v>
      </c>
      <c r="G8" s="273">
        <f t="shared" si="0"/>
        <v>103.16484756194406</v>
      </c>
      <c r="H8" s="44">
        <f t="shared" si="0"/>
        <v>99.44642701391633</v>
      </c>
      <c r="I8" s="119"/>
    </row>
    <row r="9" spans="1:9" ht="12.75">
      <c r="A9" s="24" t="s">
        <v>189</v>
      </c>
      <c r="B9" s="17"/>
      <c r="C9" s="11"/>
      <c r="D9" s="36">
        <f>SUBTOTAL(9,D3:D8)</f>
        <v>1622386</v>
      </c>
      <c r="E9" s="36">
        <f>SUBTOTAL(9,E3:E8)</f>
        <v>1634232</v>
      </c>
      <c r="F9" s="36">
        <f>SUBTOTAL(9,F3:F8)</f>
        <v>1480023</v>
      </c>
      <c r="G9" s="274">
        <f aca="true" t="shared" si="1" ref="G9:H11">IF(D9&lt;=0,0,$F9/D9*100)</f>
        <v>91.22508453598589</v>
      </c>
      <c r="H9" s="46">
        <f t="shared" si="1"/>
        <v>90.56382447534989</v>
      </c>
      <c r="I9" s="119"/>
    </row>
    <row r="10" spans="1:8" ht="12.75">
      <c r="A10" s="24"/>
      <c r="B10" s="17"/>
      <c r="C10" s="11"/>
      <c r="D10" s="36"/>
      <c r="E10" s="36"/>
      <c r="F10" s="36"/>
      <c r="G10" s="274">
        <f t="shared" si="1"/>
        <v>0</v>
      </c>
      <c r="H10" s="46">
        <f t="shared" si="1"/>
        <v>0</v>
      </c>
    </row>
    <row r="11" spans="1:8" ht="12.75">
      <c r="A11" s="29" t="s">
        <v>166</v>
      </c>
      <c r="B11" s="20"/>
      <c r="C11" s="12"/>
      <c r="D11" s="36"/>
      <c r="E11" s="36"/>
      <c r="F11" s="36"/>
      <c r="G11" s="274">
        <f t="shared" si="1"/>
        <v>0</v>
      </c>
      <c r="H11" s="46">
        <f t="shared" si="1"/>
        <v>0</v>
      </c>
    </row>
    <row r="12" spans="1:8" ht="12.75">
      <c r="A12" s="50">
        <v>1900</v>
      </c>
      <c r="B12" s="17">
        <v>2143</v>
      </c>
      <c r="C12" s="10" t="s">
        <v>185</v>
      </c>
      <c r="D12" s="9">
        <v>51232</v>
      </c>
      <c r="E12" s="9">
        <v>57598</v>
      </c>
      <c r="F12" s="9">
        <v>57202</v>
      </c>
      <c r="G12" s="273">
        <f aca="true" t="shared" si="2" ref="G12:H14">IF(D12&lt;=0,0,$F12/D12*100)</f>
        <v>111.65287320424736</v>
      </c>
      <c r="H12" s="44">
        <f t="shared" si="2"/>
        <v>99.31247612764332</v>
      </c>
    </row>
    <row r="13" spans="1:8" ht="12.75">
      <c r="A13" s="50">
        <v>1900</v>
      </c>
      <c r="B13" s="17">
        <v>3349</v>
      </c>
      <c r="C13" s="8" t="s">
        <v>57</v>
      </c>
      <c r="D13" s="9">
        <v>17557</v>
      </c>
      <c r="E13" s="9">
        <v>17557</v>
      </c>
      <c r="F13" s="9">
        <v>17117</v>
      </c>
      <c r="G13" s="273">
        <f t="shared" si="2"/>
        <v>97.49387708606254</v>
      </c>
      <c r="H13" s="44">
        <f t="shared" si="2"/>
        <v>97.49387708606254</v>
      </c>
    </row>
    <row r="14" spans="1:9" ht="12.75">
      <c r="A14" s="50">
        <v>1900</v>
      </c>
      <c r="B14" s="17">
        <v>3636</v>
      </c>
      <c r="C14" s="10" t="s">
        <v>165</v>
      </c>
      <c r="D14" s="9">
        <v>3001</v>
      </c>
      <c r="E14" s="9">
        <v>3001</v>
      </c>
      <c r="F14" s="9">
        <v>666</v>
      </c>
      <c r="G14" s="273">
        <f t="shared" si="2"/>
        <v>22.19260246584472</v>
      </c>
      <c r="H14" s="44">
        <f t="shared" si="2"/>
        <v>22.19260246584472</v>
      </c>
      <c r="I14" s="324"/>
    </row>
    <row r="15" spans="1:8" ht="12.75">
      <c r="A15" s="24" t="s">
        <v>164</v>
      </c>
      <c r="B15" s="17"/>
      <c r="C15" s="10"/>
      <c r="D15" s="36">
        <f>SUBTOTAL(9,D12:D14)</f>
        <v>71790</v>
      </c>
      <c r="E15" s="36">
        <f>SUBTOTAL(9,E12:E14)</f>
        <v>78156</v>
      </c>
      <c r="F15" s="36">
        <f>SUBTOTAL(9,F12:F14)</f>
        <v>74985</v>
      </c>
      <c r="G15" s="274">
        <f aca="true" t="shared" si="3" ref="G15:H17">IF(D15&lt;=0,0,$F15/D15*100)</f>
        <v>104.4504805683243</v>
      </c>
      <c r="H15" s="46">
        <f t="shared" si="3"/>
        <v>95.94272992476586</v>
      </c>
    </row>
    <row r="16" spans="1:8" ht="12.75">
      <c r="A16" s="24"/>
      <c r="B16" s="17"/>
      <c r="C16" s="10"/>
      <c r="D16" s="36"/>
      <c r="E16" s="36"/>
      <c r="F16" s="36"/>
      <c r="G16" s="274">
        <f t="shared" si="3"/>
        <v>0</v>
      </c>
      <c r="H16" s="46">
        <f t="shared" si="3"/>
        <v>0</v>
      </c>
    </row>
    <row r="17" spans="1:8" ht="12.75">
      <c r="A17" s="614" t="s">
        <v>36</v>
      </c>
      <c r="B17" s="615"/>
      <c r="C17" s="616"/>
      <c r="D17" s="39"/>
      <c r="E17" s="39"/>
      <c r="F17" s="39"/>
      <c r="G17" s="275">
        <f t="shared" si="3"/>
        <v>0</v>
      </c>
      <c r="H17" s="279">
        <f t="shared" si="3"/>
        <v>0</v>
      </c>
    </row>
    <row r="18" spans="1:9" ht="12.75">
      <c r="A18" s="50">
        <v>3200</v>
      </c>
      <c r="B18" s="19">
        <v>2219</v>
      </c>
      <c r="C18" s="10" t="s">
        <v>53</v>
      </c>
      <c r="D18" s="9">
        <v>2544</v>
      </c>
      <c r="E18" s="9">
        <v>2568</v>
      </c>
      <c r="F18" s="9">
        <v>1721</v>
      </c>
      <c r="G18" s="273">
        <f>IF(D18&lt;=0,0,$F18/D18*100)</f>
        <v>67.64937106918238</v>
      </c>
      <c r="H18" s="44">
        <f>IF(E18&lt;=0,0,$F18/E18*100)</f>
        <v>67.01713395638629</v>
      </c>
      <c r="I18" s="324"/>
    </row>
    <row r="19" spans="1:9" ht="12.75">
      <c r="A19" s="50">
        <v>3200</v>
      </c>
      <c r="B19" s="19">
        <v>3113</v>
      </c>
      <c r="C19" s="10" t="s">
        <v>23</v>
      </c>
      <c r="D19" s="9"/>
      <c r="E19" s="9">
        <v>17077</v>
      </c>
      <c r="F19" s="9">
        <v>12394</v>
      </c>
      <c r="G19" s="273">
        <f aca="true" t="shared" si="4" ref="G19:G29">IF(D19&lt;=0,0,$F19/D19*100)</f>
        <v>0</v>
      </c>
      <c r="H19" s="44">
        <f aca="true" t="shared" si="5" ref="H19:H29">IF(E19&lt;=0,0,$F19/E19*100)</f>
        <v>72.57715055337589</v>
      </c>
      <c r="I19" s="324"/>
    </row>
    <row r="20" spans="1:8" ht="12.75">
      <c r="A20" s="50">
        <v>3200</v>
      </c>
      <c r="B20" s="19">
        <v>3299</v>
      </c>
      <c r="C20" s="10" t="s">
        <v>232</v>
      </c>
      <c r="D20" s="9">
        <v>940</v>
      </c>
      <c r="E20" s="9">
        <v>1228</v>
      </c>
      <c r="F20" s="9">
        <v>1174</v>
      </c>
      <c r="G20" s="273">
        <f t="shared" si="4"/>
        <v>124.8936170212766</v>
      </c>
      <c r="H20" s="44">
        <f t="shared" si="5"/>
        <v>95.60260586319218</v>
      </c>
    </row>
    <row r="21" spans="1:8" ht="12.75">
      <c r="A21" s="50">
        <v>3200</v>
      </c>
      <c r="B21" s="19">
        <v>3319</v>
      </c>
      <c r="C21" s="259" t="s">
        <v>48</v>
      </c>
      <c r="D21" s="9">
        <v>150</v>
      </c>
      <c r="E21" s="9">
        <v>150</v>
      </c>
      <c r="F21" s="9">
        <v>110</v>
      </c>
      <c r="G21" s="273">
        <f t="shared" si="4"/>
        <v>73.33333333333333</v>
      </c>
      <c r="H21" s="44">
        <f t="shared" si="5"/>
        <v>73.33333333333333</v>
      </c>
    </row>
    <row r="22" spans="1:9" ht="12.75">
      <c r="A22" s="50">
        <v>3200</v>
      </c>
      <c r="B22" s="19">
        <v>3349</v>
      </c>
      <c r="C22" s="8" t="s">
        <v>57</v>
      </c>
      <c r="D22" s="9">
        <v>3168</v>
      </c>
      <c r="E22" s="9">
        <v>3168</v>
      </c>
      <c r="F22" s="9">
        <v>1945</v>
      </c>
      <c r="G22" s="273">
        <f t="shared" si="4"/>
        <v>61.39520202020202</v>
      </c>
      <c r="H22" s="44">
        <f t="shared" si="5"/>
        <v>61.39520202020202</v>
      </c>
      <c r="I22" s="324"/>
    </row>
    <row r="23" spans="1:8" ht="12.75">
      <c r="A23" s="50">
        <v>3200</v>
      </c>
      <c r="B23" s="19">
        <v>3429</v>
      </c>
      <c r="C23" s="8" t="s">
        <v>58</v>
      </c>
      <c r="D23" s="9">
        <v>86</v>
      </c>
      <c r="E23" s="9">
        <v>86</v>
      </c>
      <c r="F23" s="9">
        <v>66</v>
      </c>
      <c r="G23" s="273">
        <f t="shared" si="4"/>
        <v>76.74418604651163</v>
      </c>
      <c r="H23" s="44">
        <f t="shared" si="5"/>
        <v>76.74418604651163</v>
      </c>
    </row>
    <row r="24" spans="1:8" ht="12.75">
      <c r="A24" s="50">
        <v>3200</v>
      </c>
      <c r="B24" s="19">
        <v>3612</v>
      </c>
      <c r="C24" s="260" t="s">
        <v>12</v>
      </c>
      <c r="D24" s="9">
        <v>135</v>
      </c>
      <c r="E24" s="9">
        <v>135</v>
      </c>
      <c r="F24" s="9">
        <v>101</v>
      </c>
      <c r="G24" s="273">
        <f t="shared" si="4"/>
        <v>74.81481481481481</v>
      </c>
      <c r="H24" s="44">
        <f t="shared" si="5"/>
        <v>74.81481481481481</v>
      </c>
    </row>
    <row r="25" spans="1:8" ht="12.75">
      <c r="A25" s="50">
        <v>3200</v>
      </c>
      <c r="B25" s="19">
        <v>5319</v>
      </c>
      <c r="C25" s="15" t="s">
        <v>193</v>
      </c>
      <c r="D25" s="9"/>
      <c r="E25" s="9">
        <v>180</v>
      </c>
      <c r="F25" s="9">
        <v>180</v>
      </c>
      <c r="G25" s="273">
        <f t="shared" si="4"/>
        <v>0</v>
      </c>
      <c r="H25" s="44">
        <f t="shared" si="5"/>
        <v>100</v>
      </c>
    </row>
    <row r="26" spans="1:8" ht="12.75">
      <c r="A26" s="50">
        <v>3200</v>
      </c>
      <c r="B26" s="19">
        <v>5511</v>
      </c>
      <c r="C26" s="8" t="s">
        <v>222</v>
      </c>
      <c r="D26" s="9">
        <v>3000</v>
      </c>
      <c r="E26" s="9">
        <v>3000</v>
      </c>
      <c r="F26" s="9">
        <v>3000</v>
      </c>
      <c r="G26" s="273">
        <f t="shared" si="4"/>
        <v>100</v>
      </c>
      <c r="H26" s="44">
        <f t="shared" si="5"/>
        <v>100</v>
      </c>
    </row>
    <row r="27" spans="1:8" ht="12.75">
      <c r="A27" s="50">
        <v>3200</v>
      </c>
      <c r="B27" s="19">
        <v>6112</v>
      </c>
      <c r="C27" s="8" t="s">
        <v>59</v>
      </c>
      <c r="D27" s="9">
        <v>21982</v>
      </c>
      <c r="E27" s="9">
        <v>21982</v>
      </c>
      <c r="F27" s="9">
        <v>19478</v>
      </c>
      <c r="G27" s="273">
        <f t="shared" si="4"/>
        <v>88.60886179601492</v>
      </c>
      <c r="H27" s="44">
        <f t="shared" si="5"/>
        <v>88.60886179601492</v>
      </c>
    </row>
    <row r="28" spans="1:8" ht="12.75">
      <c r="A28" s="50">
        <v>3200</v>
      </c>
      <c r="B28" s="19">
        <v>6115</v>
      </c>
      <c r="C28" s="8" t="s">
        <v>296</v>
      </c>
      <c r="D28" s="9"/>
      <c r="E28" s="9">
        <v>44</v>
      </c>
      <c r="F28" s="9">
        <v>124</v>
      </c>
      <c r="G28" s="273">
        <f t="shared" si="4"/>
        <v>0</v>
      </c>
      <c r="H28" s="44">
        <f t="shared" si="5"/>
        <v>281.8181818181818</v>
      </c>
    </row>
    <row r="29" spans="1:8" ht="12.75">
      <c r="A29" s="50">
        <v>3200</v>
      </c>
      <c r="B29" s="19">
        <v>6117</v>
      </c>
      <c r="C29" s="8" t="s">
        <v>287</v>
      </c>
      <c r="D29" s="9"/>
      <c r="E29" s="9">
        <v>42</v>
      </c>
      <c r="F29" s="9">
        <v>9</v>
      </c>
      <c r="G29" s="273">
        <f t="shared" si="4"/>
        <v>0</v>
      </c>
      <c r="H29" s="44">
        <f t="shared" si="5"/>
        <v>21.428571428571427</v>
      </c>
    </row>
    <row r="30" spans="1:8" ht="12.75">
      <c r="A30" s="50">
        <v>3200</v>
      </c>
      <c r="B30" s="19">
        <v>6171</v>
      </c>
      <c r="C30" s="15" t="s">
        <v>25</v>
      </c>
      <c r="D30" s="9">
        <v>570431</v>
      </c>
      <c r="E30" s="9">
        <v>583000</v>
      </c>
      <c r="F30" s="9">
        <v>558575</v>
      </c>
      <c r="G30" s="273">
        <f aca="true" t="shared" si="6" ref="G30:H32">IF(D30&lt;=0,0,$F30/D30*100)</f>
        <v>97.92157158359205</v>
      </c>
      <c r="H30" s="44">
        <f t="shared" si="6"/>
        <v>95.81046312178387</v>
      </c>
    </row>
    <row r="31" spans="1:8" ht="12.75">
      <c r="A31" s="50">
        <v>3200</v>
      </c>
      <c r="B31" s="19">
        <v>6223</v>
      </c>
      <c r="C31" s="8" t="s">
        <v>238</v>
      </c>
      <c r="D31" s="9">
        <v>8410</v>
      </c>
      <c r="E31" s="9">
        <v>8573</v>
      </c>
      <c r="F31" s="9">
        <v>7711</v>
      </c>
      <c r="G31" s="273">
        <f t="shared" si="6"/>
        <v>91.6884661117717</v>
      </c>
      <c r="H31" s="44">
        <f t="shared" si="6"/>
        <v>89.94517671760177</v>
      </c>
    </row>
    <row r="32" spans="1:9" ht="12.75">
      <c r="A32" s="50">
        <v>3200</v>
      </c>
      <c r="B32" s="19">
        <v>6399</v>
      </c>
      <c r="C32" s="8" t="s">
        <v>81</v>
      </c>
      <c r="D32" s="9"/>
      <c r="E32" s="9"/>
      <c r="F32" s="9">
        <v>4408</v>
      </c>
      <c r="G32" s="273">
        <f t="shared" si="6"/>
        <v>0</v>
      </c>
      <c r="H32" s="44">
        <f t="shared" si="6"/>
        <v>0</v>
      </c>
      <c r="I32" s="324"/>
    </row>
    <row r="33" spans="1:8" ht="12.75">
      <c r="A33" s="28" t="s">
        <v>33</v>
      </c>
      <c r="B33" s="19"/>
      <c r="C33" s="8"/>
      <c r="D33" s="36">
        <f>SUBTOTAL(9,D18:D32)</f>
        <v>610846</v>
      </c>
      <c r="E33" s="36">
        <f>SUBTOTAL(9,E18:E32)</f>
        <v>641233</v>
      </c>
      <c r="F33" s="36">
        <f>SUBTOTAL(9,F18:F32)</f>
        <v>610996</v>
      </c>
      <c r="G33" s="274">
        <f aca="true" t="shared" si="7" ref="G33:H35">IF(D33&lt;=0,0,$F33/D33*100)</f>
        <v>100.02455610743132</v>
      </c>
      <c r="H33" s="46">
        <f t="shared" si="7"/>
        <v>95.28455335268148</v>
      </c>
    </row>
    <row r="34" spans="1:8" ht="12.75">
      <c r="A34" s="28"/>
      <c r="B34" s="19"/>
      <c r="C34" s="8"/>
      <c r="D34" s="36"/>
      <c r="E34" s="36"/>
      <c r="F34" s="36"/>
      <c r="G34" s="274">
        <f t="shared" si="7"/>
        <v>0</v>
      </c>
      <c r="H34" s="46">
        <f t="shared" si="7"/>
        <v>0</v>
      </c>
    </row>
    <row r="35" spans="1:8" ht="12.75">
      <c r="A35" s="29" t="s">
        <v>60</v>
      </c>
      <c r="B35" s="20"/>
      <c r="C35" s="12"/>
      <c r="D35" s="36"/>
      <c r="E35" s="36"/>
      <c r="F35" s="36"/>
      <c r="G35" s="274">
        <f t="shared" si="7"/>
        <v>0</v>
      </c>
      <c r="H35" s="46">
        <f t="shared" si="7"/>
        <v>0</v>
      </c>
    </row>
    <row r="36" spans="1:8" ht="12.75">
      <c r="A36" s="50">
        <v>3600</v>
      </c>
      <c r="B36" s="17">
        <v>5212</v>
      </c>
      <c r="C36" s="10" t="s">
        <v>224</v>
      </c>
      <c r="D36" s="9">
        <v>500</v>
      </c>
      <c r="E36" s="9">
        <v>500</v>
      </c>
      <c r="F36" s="9">
        <v>5</v>
      </c>
      <c r="G36" s="273">
        <f aca="true" t="shared" si="8" ref="G36:G46">IF(D36&lt;=0,0,$F36/D36*100)</f>
        <v>1</v>
      </c>
      <c r="H36" s="44">
        <f aca="true" t="shared" si="9" ref="H36:H46">IF(E36&lt;=0,0,$F36/E36*100)</f>
        <v>1</v>
      </c>
    </row>
    <row r="37" spans="1:8" ht="12.75">
      <c r="A37" s="50">
        <v>3600</v>
      </c>
      <c r="B37" s="17">
        <v>5269</v>
      </c>
      <c r="C37" s="10" t="s">
        <v>249</v>
      </c>
      <c r="D37" s="9">
        <v>200</v>
      </c>
      <c r="E37" s="9">
        <v>200</v>
      </c>
      <c r="F37" s="9"/>
      <c r="G37" s="273">
        <f t="shared" si="8"/>
        <v>0</v>
      </c>
      <c r="H37" s="44">
        <f t="shared" si="9"/>
        <v>0</v>
      </c>
    </row>
    <row r="38" spans="1:8" ht="12.75">
      <c r="A38" s="50">
        <v>3600</v>
      </c>
      <c r="B38" s="17">
        <v>5273</v>
      </c>
      <c r="C38" s="10" t="s">
        <v>225</v>
      </c>
      <c r="D38" s="9">
        <v>300</v>
      </c>
      <c r="E38" s="9">
        <v>300</v>
      </c>
      <c r="F38" s="9"/>
      <c r="G38" s="273">
        <f t="shared" si="8"/>
        <v>0</v>
      </c>
      <c r="H38" s="44">
        <f t="shared" si="9"/>
        <v>0</v>
      </c>
    </row>
    <row r="39" spans="1:8" ht="12.75">
      <c r="A39" s="24" t="s">
        <v>61</v>
      </c>
      <c r="B39" s="17"/>
      <c r="C39" s="10"/>
      <c r="D39" s="36">
        <f>SUBTOTAL(9,D36:D38)</f>
        <v>1000</v>
      </c>
      <c r="E39" s="36">
        <f>SUBTOTAL(9,E36:E38)</f>
        <v>1000</v>
      </c>
      <c r="F39" s="36">
        <f>SUBTOTAL(9,F36:F38)</f>
        <v>5</v>
      </c>
      <c r="G39" s="274">
        <f t="shared" si="8"/>
        <v>0.5</v>
      </c>
      <c r="H39" s="46">
        <f t="shared" si="9"/>
        <v>0.5</v>
      </c>
    </row>
    <row r="40" spans="1:8" ht="12.75">
      <c r="A40" s="24"/>
      <c r="B40" s="17"/>
      <c r="C40" s="10"/>
      <c r="D40" s="36"/>
      <c r="E40" s="36"/>
      <c r="F40" s="36"/>
      <c r="G40" s="274">
        <f t="shared" si="8"/>
        <v>0</v>
      </c>
      <c r="H40" s="46">
        <f t="shared" si="9"/>
        <v>0</v>
      </c>
    </row>
    <row r="41" spans="1:8" ht="12.75">
      <c r="A41" s="30" t="s">
        <v>55</v>
      </c>
      <c r="B41" s="5"/>
      <c r="C41" s="15"/>
      <c r="D41" s="36"/>
      <c r="E41" s="36"/>
      <c r="F41" s="36"/>
      <c r="G41" s="274">
        <f t="shared" si="8"/>
        <v>0</v>
      </c>
      <c r="H41" s="46">
        <f t="shared" si="9"/>
        <v>0</v>
      </c>
    </row>
    <row r="42" spans="1:8" ht="12.75">
      <c r="A42" s="50">
        <v>3900</v>
      </c>
      <c r="B42" s="17">
        <v>6211</v>
      </c>
      <c r="C42" s="10" t="s">
        <v>56</v>
      </c>
      <c r="D42" s="9">
        <v>1872</v>
      </c>
      <c r="E42" s="9">
        <v>1872</v>
      </c>
      <c r="F42" s="9">
        <v>1729</v>
      </c>
      <c r="G42" s="273">
        <f t="shared" si="8"/>
        <v>92.36111111111111</v>
      </c>
      <c r="H42" s="44">
        <f t="shared" si="9"/>
        <v>92.36111111111111</v>
      </c>
    </row>
    <row r="43" spans="1:8" ht="12.75">
      <c r="A43" s="69" t="s">
        <v>196</v>
      </c>
      <c r="B43" s="70"/>
      <c r="C43" s="71"/>
      <c r="D43" s="62">
        <f>SUBTOTAL(9,D42:D42)</f>
        <v>1872</v>
      </c>
      <c r="E43" s="62">
        <f>SUBTOTAL(9,E42:E42)</f>
        <v>1872</v>
      </c>
      <c r="F43" s="62">
        <f>SUBTOTAL(9,F42:F42)</f>
        <v>1729</v>
      </c>
      <c r="G43" s="276">
        <f t="shared" si="8"/>
        <v>92.36111111111111</v>
      </c>
      <c r="H43" s="64">
        <f t="shared" si="9"/>
        <v>92.36111111111111</v>
      </c>
    </row>
    <row r="44" spans="1:8" ht="12.75">
      <c r="A44" s="24"/>
      <c r="B44" s="17"/>
      <c r="C44" s="10"/>
      <c r="D44" s="36"/>
      <c r="E44" s="36"/>
      <c r="F44" s="36"/>
      <c r="G44" s="274">
        <f t="shared" si="8"/>
        <v>0</v>
      </c>
      <c r="H44" s="46">
        <f t="shared" si="9"/>
        <v>0</v>
      </c>
    </row>
    <row r="45" spans="1:8" ht="12.75">
      <c r="A45" s="30" t="s">
        <v>83</v>
      </c>
      <c r="B45" s="5"/>
      <c r="C45" s="15"/>
      <c r="D45" s="36"/>
      <c r="E45" s="36"/>
      <c r="F45" s="36"/>
      <c r="G45" s="274">
        <f t="shared" si="8"/>
        <v>0</v>
      </c>
      <c r="H45" s="46">
        <f t="shared" si="9"/>
        <v>0</v>
      </c>
    </row>
    <row r="46" spans="1:8" ht="12.75">
      <c r="A46" s="51">
        <v>4100</v>
      </c>
      <c r="B46" s="5">
        <v>2219</v>
      </c>
      <c r="C46" s="261" t="s">
        <v>53</v>
      </c>
      <c r="D46" s="6">
        <v>200</v>
      </c>
      <c r="E46" s="6">
        <v>200</v>
      </c>
      <c r="F46" s="6">
        <v>162</v>
      </c>
      <c r="G46" s="273">
        <f t="shared" si="8"/>
        <v>81</v>
      </c>
      <c r="H46" s="44">
        <f t="shared" si="9"/>
        <v>81</v>
      </c>
    </row>
    <row r="47" spans="1:8" ht="12.75">
      <c r="A47" s="51">
        <v>4100</v>
      </c>
      <c r="B47" s="5">
        <v>2229</v>
      </c>
      <c r="C47" s="262" t="s">
        <v>208</v>
      </c>
      <c r="D47" s="6">
        <v>450</v>
      </c>
      <c r="E47" s="6">
        <v>670</v>
      </c>
      <c r="F47" s="6">
        <v>231</v>
      </c>
      <c r="G47" s="273">
        <f aca="true" t="shared" si="10" ref="G47:G57">IF(D47&lt;=0,0,$F47/D47*100)</f>
        <v>51.33333333333333</v>
      </c>
      <c r="H47" s="44">
        <f aca="true" t="shared" si="11" ref="H47:H57">IF(E47&lt;=0,0,$F47/E47*100)</f>
        <v>34.47761194029851</v>
      </c>
    </row>
    <row r="48" spans="1:8" ht="12.75">
      <c r="A48" s="51">
        <v>4100</v>
      </c>
      <c r="B48" s="5">
        <v>3113</v>
      </c>
      <c r="C48" s="262" t="s">
        <v>23</v>
      </c>
      <c r="D48" s="6"/>
      <c r="E48" s="6">
        <v>720</v>
      </c>
      <c r="F48" s="6">
        <v>281</v>
      </c>
      <c r="G48" s="273">
        <f t="shared" si="10"/>
        <v>0</v>
      </c>
      <c r="H48" s="44">
        <f t="shared" si="11"/>
        <v>39.02777777777778</v>
      </c>
    </row>
    <row r="49" spans="1:9" ht="12.75">
      <c r="A49" s="51">
        <v>4100</v>
      </c>
      <c r="B49" s="263">
        <v>3299</v>
      </c>
      <c r="C49" s="259" t="s">
        <v>232</v>
      </c>
      <c r="D49" s="6">
        <v>1</v>
      </c>
      <c r="E49" s="6">
        <v>1401</v>
      </c>
      <c r="F49" s="6">
        <v>1323</v>
      </c>
      <c r="G49" s="273">
        <f t="shared" si="10"/>
        <v>132300</v>
      </c>
      <c r="H49" s="44">
        <f t="shared" si="11"/>
        <v>94.43254817987152</v>
      </c>
      <c r="I49" s="119"/>
    </row>
    <row r="50" spans="1:9" ht="12.75">
      <c r="A50" s="51">
        <v>4100</v>
      </c>
      <c r="B50" s="263">
        <v>3322</v>
      </c>
      <c r="C50" s="259" t="s">
        <v>27</v>
      </c>
      <c r="D50" s="6"/>
      <c r="E50" s="6">
        <v>222</v>
      </c>
      <c r="F50" s="6">
        <v>221</v>
      </c>
      <c r="G50" s="273">
        <f t="shared" si="10"/>
        <v>0</v>
      </c>
      <c r="H50" s="44">
        <f t="shared" si="11"/>
        <v>99.54954954954955</v>
      </c>
      <c r="I50" s="119"/>
    </row>
    <row r="51" spans="1:8" ht="12.75">
      <c r="A51" s="51">
        <v>4100</v>
      </c>
      <c r="B51" s="5">
        <v>3412</v>
      </c>
      <c r="C51" s="15" t="s">
        <v>200</v>
      </c>
      <c r="D51" s="6">
        <v>120</v>
      </c>
      <c r="E51" s="6">
        <v>240</v>
      </c>
      <c r="F51" s="6">
        <v>239</v>
      </c>
      <c r="G51" s="273">
        <f t="shared" si="10"/>
        <v>199.16666666666666</v>
      </c>
      <c r="H51" s="44">
        <f t="shared" si="11"/>
        <v>99.58333333333333</v>
      </c>
    </row>
    <row r="52" spans="1:8" ht="12.75">
      <c r="A52" s="51">
        <v>4100</v>
      </c>
      <c r="B52" s="5">
        <v>3421</v>
      </c>
      <c r="C52" s="262" t="s">
        <v>94</v>
      </c>
      <c r="D52" s="6">
        <v>200</v>
      </c>
      <c r="E52" s="6">
        <v>200</v>
      </c>
      <c r="F52" s="6">
        <v>153</v>
      </c>
      <c r="G52" s="273">
        <f t="shared" si="10"/>
        <v>76.5</v>
      </c>
      <c r="H52" s="44">
        <f t="shared" si="11"/>
        <v>76.5</v>
      </c>
    </row>
    <row r="53" spans="1:9" ht="12.75">
      <c r="A53" s="52">
        <v>4100</v>
      </c>
      <c r="B53" s="20">
        <v>3635</v>
      </c>
      <c r="C53" s="12" t="s">
        <v>72</v>
      </c>
      <c r="D53" s="13">
        <v>8454</v>
      </c>
      <c r="E53" s="13">
        <v>8454</v>
      </c>
      <c r="F53" s="13">
        <v>4806</v>
      </c>
      <c r="G53" s="273">
        <f t="shared" si="10"/>
        <v>56.84882895670689</v>
      </c>
      <c r="H53" s="44">
        <f t="shared" si="11"/>
        <v>56.84882895670689</v>
      </c>
      <c r="I53" s="324"/>
    </row>
    <row r="54" spans="1:9" ht="12.75">
      <c r="A54" s="52">
        <v>4100</v>
      </c>
      <c r="B54" s="20">
        <v>3636</v>
      </c>
      <c r="C54" s="12" t="s">
        <v>165</v>
      </c>
      <c r="D54" s="13">
        <v>5730</v>
      </c>
      <c r="E54" s="13">
        <v>3737</v>
      </c>
      <c r="F54" s="13">
        <v>2457</v>
      </c>
      <c r="G54" s="273">
        <f t="shared" si="10"/>
        <v>42.87958115183246</v>
      </c>
      <c r="H54" s="44">
        <f t="shared" si="11"/>
        <v>65.74792614396576</v>
      </c>
      <c r="I54" s="324"/>
    </row>
    <row r="55" spans="1:9" ht="12.75">
      <c r="A55" s="52">
        <v>4100</v>
      </c>
      <c r="B55" s="20">
        <v>3639</v>
      </c>
      <c r="C55" s="12" t="s">
        <v>41</v>
      </c>
      <c r="D55" s="13">
        <v>12838</v>
      </c>
      <c r="E55" s="13">
        <v>2898</v>
      </c>
      <c r="F55" s="13">
        <v>345</v>
      </c>
      <c r="G55" s="273">
        <f t="shared" si="10"/>
        <v>2.687334475775043</v>
      </c>
      <c r="H55" s="44">
        <f t="shared" si="11"/>
        <v>11.904761904761903</v>
      </c>
      <c r="I55" s="324"/>
    </row>
    <row r="56" spans="1:8" ht="12.75">
      <c r="A56" s="52">
        <v>4100</v>
      </c>
      <c r="B56" s="17">
        <v>3745</v>
      </c>
      <c r="C56" s="10" t="s">
        <v>2</v>
      </c>
      <c r="D56" s="13">
        <v>12185</v>
      </c>
      <c r="E56" s="13">
        <v>15103</v>
      </c>
      <c r="F56" s="13">
        <v>12277</v>
      </c>
      <c r="G56" s="273">
        <f t="shared" si="10"/>
        <v>100.75502667213787</v>
      </c>
      <c r="H56" s="44">
        <f t="shared" si="11"/>
        <v>81.28848573131165</v>
      </c>
    </row>
    <row r="57" spans="1:8" ht="12.75">
      <c r="A57" s="52">
        <v>4100</v>
      </c>
      <c r="B57" s="17">
        <v>3809</v>
      </c>
      <c r="C57" s="262" t="s">
        <v>239</v>
      </c>
      <c r="D57" s="13">
        <v>9500</v>
      </c>
      <c r="E57" s="13">
        <v>13500</v>
      </c>
      <c r="F57" s="13">
        <v>13500</v>
      </c>
      <c r="G57" s="273">
        <f t="shared" si="10"/>
        <v>142.10526315789474</v>
      </c>
      <c r="H57" s="44">
        <f t="shared" si="11"/>
        <v>100</v>
      </c>
    </row>
    <row r="58" spans="1:8" ht="12.75">
      <c r="A58" s="52">
        <v>4100</v>
      </c>
      <c r="B58" s="17">
        <v>6171</v>
      </c>
      <c r="C58" s="10" t="s">
        <v>9</v>
      </c>
      <c r="D58" s="13">
        <v>5665</v>
      </c>
      <c r="E58" s="13">
        <v>5798</v>
      </c>
      <c r="F58" s="13">
        <v>5168</v>
      </c>
      <c r="G58" s="273">
        <f aca="true" t="shared" si="12" ref="G58:H63">IF(D58&lt;=0,0,$F58/D58*100)</f>
        <v>91.22683142100618</v>
      </c>
      <c r="H58" s="44">
        <f t="shared" si="12"/>
        <v>89.13418420144878</v>
      </c>
    </row>
    <row r="59" spans="1:8" ht="12.75">
      <c r="A59" s="30" t="s">
        <v>191</v>
      </c>
      <c r="B59" s="5"/>
      <c r="C59" s="15"/>
      <c r="D59" s="36">
        <f>SUBTOTAL(9,D46:D58)</f>
        <v>55343</v>
      </c>
      <c r="E59" s="36">
        <f>SUBTOTAL(9,E46:E58)</f>
        <v>53143</v>
      </c>
      <c r="F59" s="36">
        <f>SUBTOTAL(9,F46:F58)</f>
        <v>41163</v>
      </c>
      <c r="G59" s="274">
        <f t="shared" si="12"/>
        <v>74.37797011365484</v>
      </c>
      <c r="H59" s="46">
        <f t="shared" si="12"/>
        <v>77.4570498466402</v>
      </c>
    </row>
    <row r="60" spans="1:8" ht="12.75">
      <c r="A60" s="24"/>
      <c r="B60" s="17"/>
      <c r="C60" s="10"/>
      <c r="D60" s="36"/>
      <c r="E60" s="36"/>
      <c r="F60" s="36"/>
      <c r="G60" s="274">
        <f t="shared" si="12"/>
        <v>0</v>
      </c>
      <c r="H60" s="46">
        <f t="shared" si="12"/>
        <v>0</v>
      </c>
    </row>
    <row r="61" spans="1:8" ht="12.75">
      <c r="A61" s="24" t="s">
        <v>4</v>
      </c>
      <c r="B61" s="17"/>
      <c r="C61" s="11"/>
      <c r="D61" s="36"/>
      <c r="E61" s="36"/>
      <c r="F61" s="36"/>
      <c r="G61" s="274">
        <f t="shared" si="12"/>
        <v>0</v>
      </c>
      <c r="H61" s="46">
        <f t="shared" si="12"/>
        <v>0</v>
      </c>
    </row>
    <row r="62" spans="1:8" ht="12.75">
      <c r="A62" s="50">
        <v>4200</v>
      </c>
      <c r="B62" s="17">
        <v>1014</v>
      </c>
      <c r="C62" s="10" t="s">
        <v>63</v>
      </c>
      <c r="D62" s="9">
        <v>150</v>
      </c>
      <c r="E62" s="9">
        <v>150</v>
      </c>
      <c r="F62" s="9"/>
      <c r="G62" s="273">
        <f t="shared" si="12"/>
        <v>0</v>
      </c>
      <c r="H62" s="44">
        <f t="shared" si="12"/>
        <v>0</v>
      </c>
    </row>
    <row r="63" spans="1:8" ht="12.75">
      <c r="A63" s="50">
        <v>4200</v>
      </c>
      <c r="B63" s="17">
        <v>3632</v>
      </c>
      <c r="C63" s="10" t="s">
        <v>1</v>
      </c>
      <c r="D63" s="9">
        <v>28631</v>
      </c>
      <c r="E63" s="9">
        <v>28928</v>
      </c>
      <c r="F63" s="9">
        <v>27923</v>
      </c>
      <c r="G63" s="273">
        <f t="shared" si="12"/>
        <v>97.52715587999022</v>
      </c>
      <c r="H63" s="44">
        <f t="shared" si="12"/>
        <v>96.52585730088495</v>
      </c>
    </row>
    <row r="64" spans="1:8" ht="12.75">
      <c r="A64" s="50">
        <v>4200</v>
      </c>
      <c r="B64" s="17">
        <v>3716</v>
      </c>
      <c r="C64" s="10" t="s">
        <v>64</v>
      </c>
      <c r="D64" s="9">
        <v>2825</v>
      </c>
      <c r="E64" s="9">
        <v>2825</v>
      </c>
      <c r="F64" s="9">
        <v>2186</v>
      </c>
      <c r="G64" s="273">
        <f aca="true" t="shared" si="13" ref="G64:G72">IF(D64&lt;=0,0,$F64/D64*100)</f>
        <v>77.38053097345133</v>
      </c>
      <c r="H64" s="44">
        <f aca="true" t="shared" si="14" ref="H64:H72">IF(E64&lt;=0,0,$F64/E64*100)</f>
        <v>77.38053097345133</v>
      </c>
    </row>
    <row r="65" spans="1:8" ht="12.75">
      <c r="A65" s="50">
        <v>4200</v>
      </c>
      <c r="B65" s="17">
        <v>3722</v>
      </c>
      <c r="C65" s="10" t="s">
        <v>65</v>
      </c>
      <c r="D65" s="9">
        <v>191700</v>
      </c>
      <c r="E65" s="9">
        <v>191700</v>
      </c>
      <c r="F65" s="9">
        <v>185656</v>
      </c>
      <c r="G65" s="273">
        <f t="shared" si="13"/>
        <v>96.84715701617111</v>
      </c>
      <c r="H65" s="44">
        <f t="shared" si="14"/>
        <v>96.84715701617111</v>
      </c>
    </row>
    <row r="66" spans="1:8" ht="12.75">
      <c r="A66" s="50">
        <v>4200</v>
      </c>
      <c r="B66" s="17">
        <v>3725</v>
      </c>
      <c r="C66" s="10" t="s">
        <v>66</v>
      </c>
      <c r="D66" s="9">
        <v>126700</v>
      </c>
      <c r="E66" s="9">
        <v>126700</v>
      </c>
      <c r="F66" s="9">
        <v>115633</v>
      </c>
      <c r="G66" s="273">
        <f t="shared" si="13"/>
        <v>91.26519337016575</v>
      </c>
      <c r="H66" s="44">
        <f t="shared" si="14"/>
        <v>91.26519337016575</v>
      </c>
    </row>
    <row r="67" spans="1:9" ht="12.75">
      <c r="A67" s="50">
        <v>4200</v>
      </c>
      <c r="B67" s="17">
        <v>3729</v>
      </c>
      <c r="C67" s="10" t="s">
        <v>67</v>
      </c>
      <c r="D67" s="9">
        <v>2000</v>
      </c>
      <c r="E67" s="9">
        <v>2000</v>
      </c>
      <c r="F67" s="9">
        <v>573</v>
      </c>
      <c r="G67" s="273">
        <f t="shared" si="13"/>
        <v>28.65</v>
      </c>
      <c r="H67" s="44">
        <f t="shared" si="14"/>
        <v>28.65</v>
      </c>
      <c r="I67" s="324"/>
    </row>
    <row r="68" spans="1:8" ht="12.75">
      <c r="A68" s="50">
        <v>4200</v>
      </c>
      <c r="B68" s="17">
        <v>3733</v>
      </c>
      <c r="C68" s="10" t="s">
        <v>68</v>
      </c>
      <c r="D68" s="9">
        <v>642</v>
      </c>
      <c r="E68" s="9">
        <v>642</v>
      </c>
      <c r="F68" s="9">
        <v>405</v>
      </c>
      <c r="G68" s="273">
        <f t="shared" si="13"/>
        <v>63.084112149532714</v>
      </c>
      <c r="H68" s="44">
        <f t="shared" si="14"/>
        <v>63.084112149532714</v>
      </c>
    </row>
    <row r="69" spans="1:8" ht="12.75">
      <c r="A69" s="50">
        <v>4200</v>
      </c>
      <c r="B69" s="17">
        <v>3739</v>
      </c>
      <c r="C69" s="10" t="s">
        <v>69</v>
      </c>
      <c r="D69" s="9">
        <v>910</v>
      </c>
      <c r="E69" s="9">
        <v>910</v>
      </c>
      <c r="F69" s="9">
        <v>611</v>
      </c>
      <c r="G69" s="273">
        <f t="shared" si="13"/>
        <v>67.14285714285714</v>
      </c>
      <c r="H69" s="44">
        <f t="shared" si="14"/>
        <v>67.14285714285714</v>
      </c>
    </row>
    <row r="70" spans="1:8" ht="12.75">
      <c r="A70" s="50">
        <v>4200</v>
      </c>
      <c r="B70" s="17">
        <v>3741</v>
      </c>
      <c r="C70" s="10" t="s">
        <v>6</v>
      </c>
      <c r="D70" s="9">
        <v>46806</v>
      </c>
      <c r="E70" s="9">
        <v>50928</v>
      </c>
      <c r="F70" s="9">
        <v>49560</v>
      </c>
      <c r="G70" s="273">
        <f t="shared" si="13"/>
        <v>105.88386104345598</v>
      </c>
      <c r="H70" s="44">
        <f t="shared" si="14"/>
        <v>97.31385485391141</v>
      </c>
    </row>
    <row r="71" spans="1:8" ht="12.75">
      <c r="A71" s="50">
        <v>4200</v>
      </c>
      <c r="B71" s="17">
        <v>3742</v>
      </c>
      <c r="C71" s="10" t="s">
        <v>7</v>
      </c>
      <c r="D71" s="9">
        <v>820</v>
      </c>
      <c r="E71" s="9">
        <v>820</v>
      </c>
      <c r="F71" s="9">
        <v>488</v>
      </c>
      <c r="G71" s="273">
        <f t="shared" si="13"/>
        <v>59.512195121951216</v>
      </c>
      <c r="H71" s="44">
        <f t="shared" si="14"/>
        <v>59.512195121951216</v>
      </c>
    </row>
    <row r="72" spans="1:8" ht="12.75">
      <c r="A72" s="50">
        <v>4200</v>
      </c>
      <c r="B72" s="17">
        <v>3745</v>
      </c>
      <c r="C72" s="10" t="s">
        <v>2</v>
      </c>
      <c r="D72" s="9">
        <v>31139</v>
      </c>
      <c r="E72" s="9">
        <v>31298</v>
      </c>
      <c r="F72" s="9">
        <v>31020</v>
      </c>
      <c r="G72" s="273">
        <f t="shared" si="13"/>
        <v>99.61784257683291</v>
      </c>
      <c r="H72" s="44">
        <f t="shared" si="14"/>
        <v>99.11176432998914</v>
      </c>
    </row>
    <row r="73" spans="1:9" ht="12.75">
      <c r="A73" s="50">
        <v>4200</v>
      </c>
      <c r="B73" s="17">
        <v>3792</v>
      </c>
      <c r="C73" s="10" t="s">
        <v>8</v>
      </c>
      <c r="D73" s="9">
        <f>2418-400</f>
        <v>2018</v>
      </c>
      <c r="E73" s="9">
        <v>1998</v>
      </c>
      <c r="F73" s="9">
        <v>1873</v>
      </c>
      <c r="G73" s="273">
        <f>IF(D73&lt;=0,0,$F73/D73*100)</f>
        <v>92.81466798810703</v>
      </c>
      <c r="H73" s="44">
        <f>IF(E73&lt;=0,0,$F73/E73*100)</f>
        <v>93.74374374374375</v>
      </c>
      <c r="I73" s="119"/>
    </row>
    <row r="74" spans="1:9" ht="12.75">
      <c r="A74" s="24" t="s">
        <v>190</v>
      </c>
      <c r="B74" s="17"/>
      <c r="C74" s="10"/>
      <c r="D74" s="36">
        <f>SUBTOTAL(9,D62:D73)</f>
        <v>434341</v>
      </c>
      <c r="E74" s="36">
        <f>SUBTOTAL(9,E62:E73)</f>
        <v>438899</v>
      </c>
      <c r="F74" s="36">
        <f>SUBTOTAL(9,F62:F73)</f>
        <v>415928</v>
      </c>
      <c r="G74" s="274">
        <f aca="true" t="shared" si="15" ref="G74:H78">IF(D74&lt;=0,0,$F74/D74*100)</f>
        <v>95.76070414720232</v>
      </c>
      <c r="H74" s="46">
        <f t="shared" si="15"/>
        <v>94.76622184147149</v>
      </c>
      <c r="I74" s="255"/>
    </row>
    <row r="75" spans="1:8" ht="12.75">
      <c r="A75" s="24"/>
      <c r="B75" s="17"/>
      <c r="C75" s="10"/>
      <c r="D75" s="36"/>
      <c r="E75" s="36"/>
      <c r="F75" s="36"/>
      <c r="G75" s="274">
        <f t="shared" si="15"/>
        <v>0</v>
      </c>
      <c r="H75" s="46">
        <f t="shared" si="15"/>
        <v>0</v>
      </c>
    </row>
    <row r="76" spans="1:8" ht="12.75">
      <c r="A76" s="24" t="s">
        <v>44</v>
      </c>
      <c r="B76" s="17"/>
      <c r="C76" s="10"/>
      <c r="D76" s="36"/>
      <c r="E76" s="36"/>
      <c r="F76" s="36"/>
      <c r="G76" s="274">
        <f t="shared" si="15"/>
        <v>0</v>
      </c>
      <c r="H76" s="46">
        <f t="shared" si="15"/>
        <v>0</v>
      </c>
    </row>
    <row r="77" spans="1:8" ht="12.75">
      <c r="A77" s="51">
        <v>4300</v>
      </c>
      <c r="B77" s="5">
        <v>1014</v>
      </c>
      <c r="C77" s="15" t="s">
        <v>240</v>
      </c>
      <c r="D77" s="6">
        <v>50</v>
      </c>
      <c r="E77" s="6">
        <v>50</v>
      </c>
      <c r="F77" s="6"/>
      <c r="G77" s="273">
        <f t="shared" si="15"/>
        <v>0</v>
      </c>
      <c r="H77" s="44">
        <f t="shared" si="15"/>
        <v>0</v>
      </c>
    </row>
    <row r="78" spans="1:8" ht="12.75">
      <c r="A78" s="51">
        <v>4300</v>
      </c>
      <c r="B78" s="5">
        <v>1037</v>
      </c>
      <c r="C78" s="15" t="s">
        <v>70</v>
      </c>
      <c r="D78" s="6">
        <v>70</v>
      </c>
      <c r="E78" s="6">
        <v>114</v>
      </c>
      <c r="F78" s="6">
        <v>108</v>
      </c>
      <c r="G78" s="273">
        <f t="shared" si="15"/>
        <v>154.2857142857143</v>
      </c>
      <c r="H78" s="44">
        <f t="shared" si="15"/>
        <v>94.73684210526315</v>
      </c>
    </row>
    <row r="79" spans="1:8" ht="12.75">
      <c r="A79" s="51">
        <v>4300</v>
      </c>
      <c r="B79" s="5">
        <v>1039</v>
      </c>
      <c r="C79" s="15" t="s">
        <v>288</v>
      </c>
      <c r="D79" s="6"/>
      <c r="E79" s="6">
        <v>342</v>
      </c>
      <c r="F79" s="6">
        <v>342</v>
      </c>
      <c r="G79" s="273">
        <f aca="true" t="shared" si="16" ref="G79:G86">IF(D79&lt;=0,0,$F79/D79*100)</f>
        <v>0</v>
      </c>
      <c r="H79" s="44">
        <f aca="true" t="shared" si="17" ref="H79:H86">IF(E79&lt;=0,0,$F79/E79*100)</f>
        <v>100</v>
      </c>
    </row>
    <row r="80" spans="1:8" ht="12.75">
      <c r="A80" s="51">
        <v>4300</v>
      </c>
      <c r="B80" s="5">
        <v>2310</v>
      </c>
      <c r="C80" s="15" t="s">
        <v>71</v>
      </c>
      <c r="D80" s="6">
        <v>100</v>
      </c>
      <c r="E80" s="6">
        <v>100</v>
      </c>
      <c r="F80" s="6"/>
      <c r="G80" s="273">
        <f t="shared" si="16"/>
        <v>0</v>
      </c>
      <c r="H80" s="44">
        <f t="shared" si="17"/>
        <v>0</v>
      </c>
    </row>
    <row r="81" spans="1:8" ht="12.75">
      <c r="A81" s="51">
        <v>4300</v>
      </c>
      <c r="B81" s="5">
        <v>2321</v>
      </c>
      <c r="C81" s="264" t="s">
        <v>241</v>
      </c>
      <c r="D81" s="6">
        <v>139</v>
      </c>
      <c r="E81" s="6">
        <v>139</v>
      </c>
      <c r="F81" s="6">
        <v>104</v>
      </c>
      <c r="G81" s="273">
        <f t="shared" si="16"/>
        <v>74.82014388489209</v>
      </c>
      <c r="H81" s="44">
        <f t="shared" si="17"/>
        <v>74.82014388489209</v>
      </c>
    </row>
    <row r="82" spans="1:9" ht="12.75">
      <c r="A82" s="51">
        <v>4300</v>
      </c>
      <c r="B82" s="5">
        <v>2331</v>
      </c>
      <c r="C82" s="265" t="s">
        <v>250</v>
      </c>
      <c r="D82" s="6">
        <v>3180</v>
      </c>
      <c r="E82" s="6">
        <v>3180</v>
      </c>
      <c r="F82" s="6">
        <v>1794</v>
      </c>
      <c r="G82" s="273">
        <f t="shared" si="16"/>
        <v>56.41509433962264</v>
      </c>
      <c r="H82" s="44">
        <f t="shared" si="17"/>
        <v>56.41509433962264</v>
      </c>
      <c r="I82" s="324"/>
    </row>
    <row r="83" spans="1:8" ht="12.75">
      <c r="A83" s="51">
        <v>4300</v>
      </c>
      <c r="B83" s="5">
        <v>2333</v>
      </c>
      <c r="C83" s="15" t="s">
        <v>22</v>
      </c>
      <c r="D83" s="6">
        <v>3600</v>
      </c>
      <c r="E83" s="6">
        <v>3600</v>
      </c>
      <c r="F83" s="6">
        <v>3596</v>
      </c>
      <c r="G83" s="273">
        <f t="shared" si="16"/>
        <v>99.8888888888889</v>
      </c>
      <c r="H83" s="44">
        <f t="shared" si="17"/>
        <v>99.8888888888889</v>
      </c>
    </row>
    <row r="84" spans="1:8" ht="12.75">
      <c r="A84" s="51">
        <v>4300</v>
      </c>
      <c r="B84" s="5">
        <v>3739</v>
      </c>
      <c r="C84" s="266" t="s">
        <v>69</v>
      </c>
      <c r="D84" s="6">
        <v>250</v>
      </c>
      <c r="E84" s="6">
        <v>250</v>
      </c>
      <c r="F84" s="6"/>
      <c r="G84" s="273">
        <f t="shared" si="16"/>
        <v>0</v>
      </c>
      <c r="H84" s="44">
        <f t="shared" si="17"/>
        <v>0</v>
      </c>
    </row>
    <row r="85" spans="1:8" ht="12.75">
      <c r="A85" s="51">
        <v>4300</v>
      </c>
      <c r="B85" s="5">
        <v>3744</v>
      </c>
      <c r="C85" s="15" t="s">
        <v>73</v>
      </c>
      <c r="D85" s="6">
        <v>396</v>
      </c>
      <c r="E85" s="6">
        <v>396</v>
      </c>
      <c r="F85" s="6"/>
      <c r="G85" s="273">
        <f t="shared" si="16"/>
        <v>0</v>
      </c>
      <c r="H85" s="44">
        <f t="shared" si="17"/>
        <v>0</v>
      </c>
    </row>
    <row r="86" spans="1:8" ht="12.75">
      <c r="A86" s="51">
        <v>4300</v>
      </c>
      <c r="B86" s="5">
        <v>3745</v>
      </c>
      <c r="C86" s="10" t="s">
        <v>2</v>
      </c>
      <c r="D86" s="6">
        <v>11358</v>
      </c>
      <c r="E86" s="6">
        <v>11358</v>
      </c>
      <c r="F86" s="6">
        <v>10957</v>
      </c>
      <c r="G86" s="273">
        <f t="shared" si="16"/>
        <v>96.46944884662793</v>
      </c>
      <c r="H86" s="44">
        <f t="shared" si="17"/>
        <v>96.46944884662793</v>
      </c>
    </row>
    <row r="87" spans="1:8" ht="12.75">
      <c r="A87" s="30" t="s">
        <v>192</v>
      </c>
      <c r="B87" s="5"/>
      <c r="C87" s="15"/>
      <c r="D87" s="36">
        <f>SUBTOTAL(9,D77:D86)</f>
        <v>19143</v>
      </c>
      <c r="E87" s="36">
        <f>SUBTOTAL(9,E77:E86)</f>
        <v>19529</v>
      </c>
      <c r="F87" s="36">
        <f>SUBTOTAL(9,F77:F86)</f>
        <v>16901</v>
      </c>
      <c r="G87" s="274">
        <f aca="true" t="shared" si="18" ref="G87:H90">IF(D87&lt;=0,0,$F87/D87*100)</f>
        <v>88.28814710337983</v>
      </c>
      <c r="H87" s="46">
        <f t="shared" si="18"/>
        <v>86.5430897639408</v>
      </c>
    </row>
    <row r="88" spans="1:8" ht="12.75">
      <c r="A88" s="30"/>
      <c r="B88" s="5"/>
      <c r="C88" s="15"/>
      <c r="D88" s="36"/>
      <c r="E88" s="36"/>
      <c r="F88" s="36"/>
      <c r="G88" s="274">
        <f t="shared" si="18"/>
        <v>0</v>
      </c>
      <c r="H88" s="46">
        <f t="shared" si="18"/>
        <v>0</v>
      </c>
    </row>
    <row r="89" spans="1:8" ht="12.75">
      <c r="A89" s="28" t="s">
        <v>37</v>
      </c>
      <c r="B89" s="19"/>
      <c r="C89" s="8"/>
      <c r="D89" s="36"/>
      <c r="E89" s="36"/>
      <c r="F89" s="36"/>
      <c r="G89" s="274">
        <f t="shared" si="18"/>
        <v>0</v>
      </c>
      <c r="H89" s="46">
        <f t="shared" si="18"/>
        <v>0</v>
      </c>
    </row>
    <row r="90" spans="1:9" ht="12.75">
      <c r="A90" s="50">
        <v>5300</v>
      </c>
      <c r="B90" s="17">
        <v>3113</v>
      </c>
      <c r="C90" s="10" t="s">
        <v>23</v>
      </c>
      <c r="D90" s="9"/>
      <c r="E90" s="9">
        <v>4968</v>
      </c>
      <c r="F90" s="9">
        <v>144</v>
      </c>
      <c r="G90" s="273">
        <f t="shared" si="18"/>
        <v>0</v>
      </c>
      <c r="H90" s="44">
        <f t="shared" si="18"/>
        <v>2.898550724637681</v>
      </c>
      <c r="I90" s="324"/>
    </row>
    <row r="91" spans="1:8" ht="12.75">
      <c r="A91" s="50">
        <v>5300</v>
      </c>
      <c r="B91" s="17">
        <v>6171</v>
      </c>
      <c r="C91" s="10" t="s">
        <v>9</v>
      </c>
      <c r="D91" s="9">
        <f>189852+2000</f>
        <v>191852</v>
      </c>
      <c r="E91" s="9">
        <f>189852+2000</f>
        <v>191852</v>
      </c>
      <c r="F91" s="9">
        <v>176652</v>
      </c>
      <c r="G91" s="273">
        <f aca="true" t="shared" si="19" ref="G91:G102">IF(D91&lt;=0,0,$F91/D91*100)</f>
        <v>92.07722619519213</v>
      </c>
      <c r="H91" s="44">
        <f aca="true" t="shared" si="20" ref="H91:H102">IF(E91&lt;=0,0,$F91/E91*100)</f>
        <v>92.07722619519213</v>
      </c>
    </row>
    <row r="92" spans="1:8" ht="12.75">
      <c r="A92" s="24" t="s">
        <v>42</v>
      </c>
      <c r="B92" s="17"/>
      <c r="C92" s="10"/>
      <c r="D92" s="36">
        <f>SUBTOTAL(9,D90:D91)</f>
        <v>191852</v>
      </c>
      <c r="E92" s="36">
        <f>SUBTOTAL(9,E90:E91)</f>
        <v>196820</v>
      </c>
      <c r="F92" s="36">
        <f>SUBTOTAL(9,F90:F91)</f>
        <v>176796</v>
      </c>
      <c r="G92" s="274">
        <f t="shared" si="19"/>
        <v>92.15228405229031</v>
      </c>
      <c r="H92" s="46">
        <f t="shared" si="20"/>
        <v>89.8262371710192</v>
      </c>
    </row>
    <row r="93" spans="1:8" ht="12.75">
      <c r="A93" s="29"/>
      <c r="B93" s="20"/>
      <c r="C93" s="12"/>
      <c r="D93" s="36"/>
      <c r="E93" s="36"/>
      <c r="F93" s="36"/>
      <c r="G93" s="274">
        <f t="shared" si="19"/>
        <v>0</v>
      </c>
      <c r="H93" s="46">
        <f t="shared" si="20"/>
        <v>0</v>
      </c>
    </row>
    <row r="94" spans="1:8" ht="12.75">
      <c r="A94" s="29" t="s">
        <v>17</v>
      </c>
      <c r="B94" s="20"/>
      <c r="C94" s="12"/>
      <c r="D94" s="36"/>
      <c r="E94" s="36"/>
      <c r="F94" s="36"/>
      <c r="G94" s="274">
        <f t="shared" si="19"/>
        <v>0</v>
      </c>
      <c r="H94" s="46">
        <f t="shared" si="20"/>
        <v>0</v>
      </c>
    </row>
    <row r="95" spans="1:9" ht="12.75">
      <c r="A95" s="52">
        <v>5400</v>
      </c>
      <c r="B95" s="20">
        <v>2143</v>
      </c>
      <c r="C95" s="12" t="s">
        <v>185</v>
      </c>
      <c r="D95" s="13">
        <v>1514</v>
      </c>
      <c r="E95" s="13">
        <v>1649</v>
      </c>
      <c r="F95" s="13">
        <v>1648</v>
      </c>
      <c r="G95" s="273">
        <f t="shared" si="19"/>
        <v>108.85072655217967</v>
      </c>
      <c r="H95" s="44">
        <f t="shared" si="20"/>
        <v>99.93935718617344</v>
      </c>
      <c r="I95" s="119"/>
    </row>
    <row r="96" spans="1:8" ht="12.75">
      <c r="A96" s="52">
        <v>5400</v>
      </c>
      <c r="B96" s="20">
        <v>2212</v>
      </c>
      <c r="C96" s="12" t="s">
        <v>19</v>
      </c>
      <c r="D96" s="13">
        <v>558653</v>
      </c>
      <c r="E96" s="13">
        <v>611802</v>
      </c>
      <c r="F96" s="13">
        <v>603982</v>
      </c>
      <c r="G96" s="273">
        <f t="shared" si="19"/>
        <v>108.11398130861195</v>
      </c>
      <c r="H96" s="44">
        <f t="shared" si="20"/>
        <v>98.72180868973949</v>
      </c>
    </row>
    <row r="97" spans="1:8" ht="12.75">
      <c r="A97" s="52">
        <v>5400</v>
      </c>
      <c r="B97" s="20">
        <v>2219</v>
      </c>
      <c r="C97" s="12" t="s">
        <v>242</v>
      </c>
      <c r="D97" s="13">
        <v>16873</v>
      </c>
      <c r="E97" s="13">
        <v>16899</v>
      </c>
      <c r="F97" s="13">
        <v>15043</v>
      </c>
      <c r="G97" s="273">
        <f t="shared" si="19"/>
        <v>89.1542701357198</v>
      </c>
      <c r="H97" s="44">
        <f t="shared" si="20"/>
        <v>89.01710160364519</v>
      </c>
    </row>
    <row r="98" spans="1:8" ht="12.75">
      <c r="A98" s="52">
        <v>5400</v>
      </c>
      <c r="B98" s="20">
        <v>2229</v>
      </c>
      <c r="C98" s="12" t="s">
        <v>208</v>
      </c>
      <c r="D98" s="13">
        <v>1732230</v>
      </c>
      <c r="E98" s="13">
        <v>1748784</v>
      </c>
      <c r="F98" s="13">
        <v>1748784</v>
      </c>
      <c r="G98" s="273">
        <f t="shared" si="19"/>
        <v>100.9556467674616</v>
      </c>
      <c r="H98" s="44">
        <f t="shared" si="20"/>
        <v>100</v>
      </c>
    </row>
    <row r="99" spans="1:8" ht="12.75">
      <c r="A99" s="52">
        <v>5400</v>
      </c>
      <c r="B99" s="20">
        <v>2271</v>
      </c>
      <c r="C99" s="12" t="s">
        <v>20</v>
      </c>
      <c r="D99" s="13">
        <v>3926</v>
      </c>
      <c r="E99" s="13">
        <v>6676</v>
      </c>
      <c r="F99" s="13">
        <v>6658</v>
      </c>
      <c r="G99" s="273">
        <f t="shared" si="19"/>
        <v>169.58736627610799</v>
      </c>
      <c r="H99" s="44">
        <f t="shared" si="20"/>
        <v>99.73037747153984</v>
      </c>
    </row>
    <row r="100" spans="1:9" ht="12.75">
      <c r="A100" s="52">
        <v>5400</v>
      </c>
      <c r="B100" s="20">
        <v>2299</v>
      </c>
      <c r="C100" s="12" t="s">
        <v>74</v>
      </c>
      <c r="D100" s="13">
        <v>5760</v>
      </c>
      <c r="E100" s="13">
        <v>5760</v>
      </c>
      <c r="F100" s="13">
        <v>5592</v>
      </c>
      <c r="G100" s="273">
        <f t="shared" si="19"/>
        <v>97.08333333333333</v>
      </c>
      <c r="H100" s="44">
        <f t="shared" si="20"/>
        <v>97.08333333333333</v>
      </c>
      <c r="I100" s="119"/>
    </row>
    <row r="101" spans="1:9" ht="12.75">
      <c r="A101" s="52">
        <v>5400</v>
      </c>
      <c r="B101" s="20">
        <v>3636</v>
      </c>
      <c r="C101" s="267" t="s">
        <v>165</v>
      </c>
      <c r="D101" s="13">
        <v>3200</v>
      </c>
      <c r="E101" s="13">
        <v>3200</v>
      </c>
      <c r="F101" s="13">
        <v>3135</v>
      </c>
      <c r="G101" s="273">
        <f t="shared" si="19"/>
        <v>97.96875</v>
      </c>
      <c r="H101" s="44">
        <f t="shared" si="20"/>
        <v>97.96875</v>
      </c>
      <c r="I101" s="119"/>
    </row>
    <row r="102" spans="1:9" ht="12.75">
      <c r="A102" s="52">
        <v>5400</v>
      </c>
      <c r="B102" s="20">
        <v>6409</v>
      </c>
      <c r="C102" s="15" t="s">
        <v>263</v>
      </c>
      <c r="D102" s="13"/>
      <c r="E102" s="13">
        <v>2900</v>
      </c>
      <c r="F102" s="13">
        <v>2900</v>
      </c>
      <c r="G102" s="273">
        <f t="shared" si="19"/>
        <v>0</v>
      </c>
      <c r="H102" s="44">
        <f t="shared" si="20"/>
        <v>100</v>
      </c>
      <c r="I102" s="119"/>
    </row>
    <row r="103" spans="1:9" ht="12.75">
      <c r="A103" s="29" t="s">
        <v>15</v>
      </c>
      <c r="B103" s="20"/>
      <c r="C103" s="12"/>
      <c r="D103" s="36">
        <f>SUBTOTAL(9,D95:D102)</f>
        <v>2322156</v>
      </c>
      <c r="E103" s="36">
        <f>SUBTOTAL(9,E95:E102)</f>
        <v>2397670</v>
      </c>
      <c r="F103" s="36">
        <f>SUBTOTAL(9,F95:F102)</f>
        <v>2387742</v>
      </c>
      <c r="G103" s="274">
        <f aca="true" t="shared" si="21" ref="G103:G158">IF(D103&lt;=0,0,$F103/D103*100)</f>
        <v>102.82435805346411</v>
      </c>
      <c r="H103" s="46">
        <f aca="true" t="shared" si="22" ref="H103:H158">IF(E103&lt;=0,0,$F103/E103*100)</f>
        <v>99.58593134167755</v>
      </c>
      <c r="I103" s="119"/>
    </row>
    <row r="104" spans="1:9" ht="12.75">
      <c r="A104" s="29"/>
      <c r="B104" s="20"/>
      <c r="C104" s="12"/>
      <c r="D104" s="36"/>
      <c r="E104" s="36"/>
      <c r="F104" s="36"/>
      <c r="G104" s="274">
        <f t="shared" si="21"/>
        <v>0</v>
      </c>
      <c r="H104" s="46">
        <f t="shared" si="22"/>
        <v>0</v>
      </c>
      <c r="I104" s="119"/>
    </row>
    <row r="105" spans="1:9" ht="12.75">
      <c r="A105" s="29" t="s">
        <v>18</v>
      </c>
      <c r="B105" s="20"/>
      <c r="C105" s="12"/>
      <c r="D105" s="36"/>
      <c r="E105" s="36"/>
      <c r="F105" s="36"/>
      <c r="G105" s="274">
        <f t="shared" si="21"/>
        <v>0</v>
      </c>
      <c r="H105" s="46">
        <f t="shared" si="22"/>
        <v>0</v>
      </c>
      <c r="I105" s="119"/>
    </row>
    <row r="106" spans="1:9" ht="12.75">
      <c r="A106" s="52">
        <v>5600</v>
      </c>
      <c r="B106" s="5">
        <v>2310</v>
      </c>
      <c r="C106" s="15" t="s">
        <v>71</v>
      </c>
      <c r="D106" s="13"/>
      <c r="E106" s="13">
        <v>400</v>
      </c>
      <c r="F106" s="13">
        <v>73</v>
      </c>
      <c r="G106" s="273">
        <f t="shared" si="21"/>
        <v>0</v>
      </c>
      <c r="H106" s="44">
        <f t="shared" si="22"/>
        <v>18.25</v>
      </c>
      <c r="I106" s="119"/>
    </row>
    <row r="107" spans="1:9" ht="12.75">
      <c r="A107" s="52">
        <v>5600</v>
      </c>
      <c r="B107" s="5">
        <v>2321</v>
      </c>
      <c r="C107" s="15" t="s">
        <v>75</v>
      </c>
      <c r="D107" s="13"/>
      <c r="E107" s="13">
        <v>2660</v>
      </c>
      <c r="F107" s="13">
        <v>1411</v>
      </c>
      <c r="G107" s="273">
        <f aca="true" t="shared" si="23" ref="G107:G117">IF(D107&lt;=0,0,$F107/D107*100)</f>
        <v>0</v>
      </c>
      <c r="H107" s="44">
        <f aca="true" t="shared" si="24" ref="H107:H117">IF(E107&lt;=0,0,$F107/E107*100)</f>
        <v>53.045112781954884</v>
      </c>
      <c r="I107" s="324"/>
    </row>
    <row r="108" spans="1:9" ht="12.75">
      <c r="A108" s="52">
        <v>5600</v>
      </c>
      <c r="B108" s="5">
        <v>3314</v>
      </c>
      <c r="C108" s="15" t="s">
        <v>90</v>
      </c>
      <c r="D108" s="13"/>
      <c r="E108" s="13">
        <v>1670</v>
      </c>
      <c r="F108" s="13">
        <v>1510</v>
      </c>
      <c r="G108" s="273">
        <f t="shared" si="23"/>
        <v>0</v>
      </c>
      <c r="H108" s="44">
        <f t="shared" si="24"/>
        <v>90.41916167664671</v>
      </c>
      <c r="I108" s="119"/>
    </row>
    <row r="109" spans="1:9" ht="12.75">
      <c r="A109" s="52">
        <v>5600</v>
      </c>
      <c r="B109" s="5">
        <v>3319</v>
      </c>
      <c r="C109" s="15" t="s">
        <v>48</v>
      </c>
      <c r="D109" s="13"/>
      <c r="E109" s="13">
        <v>1500</v>
      </c>
      <c r="F109" s="13">
        <v>1500</v>
      </c>
      <c r="G109" s="273">
        <f t="shared" si="23"/>
        <v>0</v>
      </c>
      <c r="H109" s="44">
        <f t="shared" si="24"/>
        <v>100</v>
      </c>
      <c r="I109" s="119"/>
    </row>
    <row r="110" spans="1:9" ht="12.75">
      <c r="A110" s="52">
        <v>5600</v>
      </c>
      <c r="B110" s="5">
        <v>3412</v>
      </c>
      <c r="C110" s="15" t="s">
        <v>200</v>
      </c>
      <c r="D110" s="13"/>
      <c r="E110" s="13">
        <v>200</v>
      </c>
      <c r="F110" s="13">
        <v>106</v>
      </c>
      <c r="G110" s="273">
        <f t="shared" si="23"/>
        <v>0</v>
      </c>
      <c r="H110" s="44">
        <f t="shared" si="24"/>
        <v>53</v>
      </c>
      <c r="I110" s="119"/>
    </row>
    <row r="111" spans="1:9" ht="12.75">
      <c r="A111" s="52">
        <v>5600</v>
      </c>
      <c r="B111" s="5">
        <v>3631</v>
      </c>
      <c r="C111" s="15" t="s">
        <v>10</v>
      </c>
      <c r="D111" s="13"/>
      <c r="E111" s="13">
        <v>140850</v>
      </c>
      <c r="F111" s="13">
        <v>119087</v>
      </c>
      <c r="G111" s="273">
        <f t="shared" si="23"/>
        <v>0</v>
      </c>
      <c r="H111" s="44">
        <f t="shared" si="24"/>
        <v>84.5488107916223</v>
      </c>
      <c r="I111" s="119"/>
    </row>
    <row r="112" spans="1:9" ht="12.75">
      <c r="A112" s="52">
        <v>5600</v>
      </c>
      <c r="B112" s="5">
        <v>3633</v>
      </c>
      <c r="C112" s="15" t="s">
        <v>46</v>
      </c>
      <c r="D112" s="13"/>
      <c r="E112" s="13">
        <v>18429</v>
      </c>
      <c r="F112" s="13">
        <v>18036</v>
      </c>
      <c r="G112" s="273">
        <f t="shared" si="23"/>
        <v>0</v>
      </c>
      <c r="H112" s="44">
        <f t="shared" si="24"/>
        <v>97.86749145368712</v>
      </c>
      <c r="I112" s="119"/>
    </row>
    <row r="113" spans="1:9" ht="12.75">
      <c r="A113" s="52">
        <v>5600</v>
      </c>
      <c r="B113" s="20">
        <v>3636</v>
      </c>
      <c r="C113" s="12" t="s">
        <v>165</v>
      </c>
      <c r="D113" s="13">
        <v>380</v>
      </c>
      <c r="E113" s="13">
        <v>2380</v>
      </c>
      <c r="F113" s="13">
        <v>711</v>
      </c>
      <c r="G113" s="273">
        <f t="shared" si="23"/>
        <v>187.10526315789474</v>
      </c>
      <c r="H113" s="44">
        <f t="shared" si="24"/>
        <v>29.873949579831933</v>
      </c>
      <c r="I113" s="324"/>
    </row>
    <row r="114" spans="1:9" ht="12.75">
      <c r="A114" s="52">
        <v>5600</v>
      </c>
      <c r="B114" s="20">
        <v>3639</v>
      </c>
      <c r="C114" s="12" t="s">
        <v>41</v>
      </c>
      <c r="D114" s="13">
        <v>2200</v>
      </c>
      <c r="E114" s="13">
        <v>4200</v>
      </c>
      <c r="F114" s="13">
        <v>3062</v>
      </c>
      <c r="G114" s="273">
        <f t="shared" si="23"/>
        <v>139.1818181818182</v>
      </c>
      <c r="H114" s="44">
        <f t="shared" si="24"/>
        <v>72.90476190476191</v>
      </c>
      <c r="I114" s="324"/>
    </row>
    <row r="115" spans="1:9" ht="12.75">
      <c r="A115" s="52">
        <v>5600</v>
      </c>
      <c r="B115" s="5">
        <v>3699</v>
      </c>
      <c r="C115" s="15" t="s">
        <v>76</v>
      </c>
      <c r="D115" s="13"/>
      <c r="E115" s="13">
        <v>1686</v>
      </c>
      <c r="F115" s="13">
        <v>426</v>
      </c>
      <c r="G115" s="273">
        <f t="shared" si="23"/>
        <v>0</v>
      </c>
      <c r="H115" s="44">
        <f t="shared" si="24"/>
        <v>25.26690391459075</v>
      </c>
      <c r="I115" s="324"/>
    </row>
    <row r="116" spans="1:8" ht="12.75">
      <c r="A116" s="52">
        <v>5600</v>
      </c>
      <c r="B116" s="20">
        <v>3745</v>
      </c>
      <c r="C116" s="12" t="s">
        <v>2</v>
      </c>
      <c r="D116" s="13">
        <v>200</v>
      </c>
      <c r="E116" s="13">
        <v>230</v>
      </c>
      <c r="F116" s="13">
        <v>46</v>
      </c>
      <c r="G116" s="273">
        <f t="shared" si="23"/>
        <v>23</v>
      </c>
      <c r="H116" s="44">
        <f t="shared" si="24"/>
        <v>20</v>
      </c>
    </row>
    <row r="117" spans="1:9" ht="12.75">
      <c r="A117" s="52">
        <v>5600</v>
      </c>
      <c r="B117" s="20">
        <v>3792</v>
      </c>
      <c r="C117" s="12" t="s">
        <v>8</v>
      </c>
      <c r="D117" s="13"/>
      <c r="E117" s="13">
        <v>1100</v>
      </c>
      <c r="F117" s="13">
        <v>882</v>
      </c>
      <c r="G117" s="273">
        <f t="shared" si="23"/>
        <v>0</v>
      </c>
      <c r="H117" s="44">
        <f t="shared" si="24"/>
        <v>80.18181818181817</v>
      </c>
      <c r="I117" s="119"/>
    </row>
    <row r="118" spans="1:9" ht="12.75">
      <c r="A118" s="29" t="s">
        <v>16</v>
      </c>
      <c r="B118" s="20"/>
      <c r="C118" s="12"/>
      <c r="D118" s="36">
        <f>SUBTOTAL(9,D106:D117)</f>
        <v>2780</v>
      </c>
      <c r="E118" s="36">
        <f>SUBTOTAL(9,E106:E117)</f>
        <v>175305</v>
      </c>
      <c r="F118" s="36">
        <f>SUBTOTAL(9,F106:F117)</f>
        <v>146850</v>
      </c>
      <c r="G118" s="274">
        <f t="shared" si="21"/>
        <v>5282.374100719424</v>
      </c>
      <c r="H118" s="46">
        <f t="shared" si="22"/>
        <v>83.76828955249422</v>
      </c>
      <c r="I118" s="119"/>
    </row>
    <row r="119" spans="1:9" ht="12.75">
      <c r="A119" s="29"/>
      <c r="B119" s="20"/>
      <c r="C119" s="12"/>
      <c r="D119" s="36"/>
      <c r="E119" s="36"/>
      <c r="F119" s="36"/>
      <c r="G119" s="274">
        <f t="shared" si="21"/>
        <v>0</v>
      </c>
      <c r="H119" s="46">
        <f t="shared" si="22"/>
        <v>0</v>
      </c>
      <c r="I119" s="119"/>
    </row>
    <row r="120" spans="1:9" ht="12.75">
      <c r="A120" s="29" t="s">
        <v>45</v>
      </c>
      <c r="B120" s="20"/>
      <c r="C120" s="12"/>
      <c r="D120" s="36"/>
      <c r="E120" s="36"/>
      <c r="F120" s="36"/>
      <c r="G120" s="274">
        <f t="shared" si="21"/>
        <v>0</v>
      </c>
      <c r="H120" s="46">
        <f t="shared" si="22"/>
        <v>0</v>
      </c>
      <c r="I120" s="119"/>
    </row>
    <row r="121" spans="1:9" ht="12.75">
      <c r="A121" s="51">
        <v>5700</v>
      </c>
      <c r="B121" s="5">
        <v>2310</v>
      </c>
      <c r="C121" s="15" t="s">
        <v>71</v>
      </c>
      <c r="D121" s="6">
        <v>400</v>
      </c>
      <c r="E121" s="6"/>
      <c r="F121" s="6"/>
      <c r="G121" s="273">
        <f t="shared" si="21"/>
        <v>0</v>
      </c>
      <c r="H121" s="44">
        <f t="shared" si="22"/>
        <v>0</v>
      </c>
      <c r="I121" s="119"/>
    </row>
    <row r="122" spans="1:9" ht="12.75">
      <c r="A122" s="51">
        <v>5700</v>
      </c>
      <c r="B122" s="5">
        <v>2321</v>
      </c>
      <c r="C122" s="15" t="s">
        <v>75</v>
      </c>
      <c r="D122" s="6">
        <v>2370</v>
      </c>
      <c r="E122" s="6"/>
      <c r="F122" s="6"/>
      <c r="G122" s="273">
        <f t="shared" si="21"/>
        <v>0</v>
      </c>
      <c r="H122" s="44">
        <f t="shared" si="22"/>
        <v>0</v>
      </c>
      <c r="I122" s="119"/>
    </row>
    <row r="123" spans="1:9" ht="12.75">
      <c r="A123" s="51">
        <v>5700</v>
      </c>
      <c r="B123" s="5">
        <v>3631</v>
      </c>
      <c r="C123" s="15" t="s">
        <v>10</v>
      </c>
      <c r="D123" s="6">
        <v>154509</v>
      </c>
      <c r="E123" s="6">
        <v>13659</v>
      </c>
      <c r="F123" s="6">
        <v>13657</v>
      </c>
      <c r="G123" s="273">
        <f t="shared" si="21"/>
        <v>8.838967309347675</v>
      </c>
      <c r="H123" s="44">
        <f t="shared" si="22"/>
        <v>99.98535763965151</v>
      </c>
      <c r="I123" s="119"/>
    </row>
    <row r="124" spans="1:8" ht="12.75">
      <c r="A124" s="51">
        <v>5700</v>
      </c>
      <c r="B124" s="5">
        <v>3633</v>
      </c>
      <c r="C124" s="15" t="s">
        <v>46</v>
      </c>
      <c r="D124" s="6">
        <v>18751</v>
      </c>
      <c r="E124" s="6">
        <v>322</v>
      </c>
      <c r="F124" s="6">
        <v>322</v>
      </c>
      <c r="G124" s="273">
        <f t="shared" si="21"/>
        <v>1.717241747106821</v>
      </c>
      <c r="H124" s="44">
        <f t="shared" si="22"/>
        <v>100</v>
      </c>
    </row>
    <row r="125" spans="1:8" ht="12.75">
      <c r="A125" s="51">
        <v>5700</v>
      </c>
      <c r="B125" s="5">
        <v>3699</v>
      </c>
      <c r="C125" s="15" t="s">
        <v>76</v>
      </c>
      <c r="D125" s="6">
        <v>4160</v>
      </c>
      <c r="E125" s="6">
        <v>42</v>
      </c>
      <c r="F125" s="6">
        <v>42</v>
      </c>
      <c r="G125" s="273">
        <f t="shared" si="21"/>
        <v>1.0096153846153846</v>
      </c>
      <c r="H125" s="44">
        <f t="shared" si="22"/>
        <v>100</v>
      </c>
    </row>
    <row r="126" spans="1:8" ht="12.75">
      <c r="A126" s="30" t="s">
        <v>11</v>
      </c>
      <c r="B126" s="5"/>
      <c r="C126" s="15"/>
      <c r="D126" s="36">
        <f>SUBTOTAL(9,D121:D125)</f>
        <v>180190</v>
      </c>
      <c r="E126" s="36">
        <f>SUBTOTAL(9,E121:E125)</f>
        <v>14023</v>
      </c>
      <c r="F126" s="36">
        <f>SUBTOTAL(9,F121:F125)</f>
        <v>14021</v>
      </c>
      <c r="G126" s="274">
        <f t="shared" si="21"/>
        <v>7.781230922914702</v>
      </c>
      <c r="H126" s="46">
        <f t="shared" si="22"/>
        <v>99.98573771660843</v>
      </c>
    </row>
    <row r="127" spans="1:8" ht="12.75">
      <c r="A127" s="30"/>
      <c r="B127" s="5"/>
      <c r="C127" s="15"/>
      <c r="D127" s="36"/>
      <c r="E127" s="36"/>
      <c r="F127" s="36"/>
      <c r="G127" s="274">
        <f t="shared" si="21"/>
        <v>0</v>
      </c>
      <c r="H127" s="46">
        <f t="shared" si="22"/>
        <v>0</v>
      </c>
    </row>
    <row r="128" spans="1:8" ht="12.75">
      <c r="A128" s="30" t="s">
        <v>210</v>
      </c>
      <c r="B128" s="5"/>
      <c r="C128" s="15"/>
      <c r="D128" s="36"/>
      <c r="E128" s="36"/>
      <c r="F128" s="36"/>
      <c r="G128" s="274">
        <f t="shared" si="21"/>
        <v>0</v>
      </c>
      <c r="H128" s="46">
        <f t="shared" si="22"/>
        <v>0</v>
      </c>
    </row>
    <row r="129" spans="1:8" ht="12.75">
      <c r="A129" s="51">
        <v>6200</v>
      </c>
      <c r="B129" s="5">
        <v>3612</v>
      </c>
      <c r="C129" s="14" t="s">
        <v>12</v>
      </c>
      <c r="D129" s="6">
        <v>335770</v>
      </c>
      <c r="E129" s="6">
        <v>298770</v>
      </c>
      <c r="F129" s="6">
        <v>229274</v>
      </c>
      <c r="G129" s="277">
        <f t="shared" si="21"/>
        <v>68.28305089793608</v>
      </c>
      <c r="H129" s="41">
        <f t="shared" si="22"/>
        <v>76.7392977875958</v>
      </c>
    </row>
    <row r="130" spans="1:9" ht="12.75">
      <c r="A130" s="51">
        <v>6200</v>
      </c>
      <c r="B130" s="5">
        <v>3619</v>
      </c>
      <c r="C130" s="14" t="s">
        <v>79</v>
      </c>
      <c r="D130" s="6">
        <v>56848</v>
      </c>
      <c r="E130" s="6">
        <v>42013</v>
      </c>
      <c r="F130" s="6">
        <v>8673</v>
      </c>
      <c r="G130" s="277">
        <f t="shared" si="21"/>
        <v>15.256473402758234</v>
      </c>
      <c r="H130" s="41">
        <f t="shared" si="22"/>
        <v>20.643610311094186</v>
      </c>
      <c r="I130" s="324"/>
    </row>
    <row r="131" spans="1:8" ht="12.75">
      <c r="A131" s="30" t="s">
        <v>78</v>
      </c>
      <c r="B131" s="5"/>
      <c r="C131" s="15"/>
      <c r="D131" s="36">
        <f>SUBTOTAL(9,D129:D130)</f>
        <v>392618</v>
      </c>
      <c r="E131" s="36">
        <f>SUBTOTAL(9,E129:E130)</f>
        <v>340783</v>
      </c>
      <c r="F131" s="36">
        <f>SUBTOTAL(9,F129:F130)</f>
        <v>237947</v>
      </c>
      <c r="G131" s="274">
        <f t="shared" si="21"/>
        <v>60.60521932259856</v>
      </c>
      <c r="H131" s="46">
        <f t="shared" si="22"/>
        <v>69.82361209332625</v>
      </c>
    </row>
    <row r="132" spans="1:8" ht="12.75">
      <c r="A132" s="30"/>
      <c r="B132" s="5"/>
      <c r="C132" s="15"/>
      <c r="D132" s="36"/>
      <c r="E132" s="36"/>
      <c r="F132" s="36"/>
      <c r="G132" s="274">
        <f t="shared" si="21"/>
        <v>0</v>
      </c>
      <c r="H132" s="46">
        <f t="shared" si="22"/>
        <v>0</v>
      </c>
    </row>
    <row r="133" spans="1:8" ht="12.75">
      <c r="A133" s="30" t="s">
        <v>197</v>
      </c>
      <c r="B133" s="5"/>
      <c r="C133" s="15"/>
      <c r="D133" s="36"/>
      <c r="E133" s="36"/>
      <c r="F133" s="36"/>
      <c r="G133" s="274">
        <f t="shared" si="21"/>
        <v>0</v>
      </c>
      <c r="H133" s="46">
        <f t="shared" si="22"/>
        <v>0</v>
      </c>
    </row>
    <row r="134" spans="1:8" ht="12.75">
      <c r="A134" s="51">
        <v>6300</v>
      </c>
      <c r="B134" s="5" t="s">
        <v>77</v>
      </c>
      <c r="C134" s="12" t="s">
        <v>41</v>
      </c>
      <c r="D134" s="6">
        <v>25341</v>
      </c>
      <c r="E134" s="6">
        <v>41341</v>
      </c>
      <c r="F134" s="6">
        <v>33061</v>
      </c>
      <c r="G134" s="277">
        <f t="shared" si="21"/>
        <v>130.46446470147194</v>
      </c>
      <c r="H134" s="41">
        <f t="shared" si="22"/>
        <v>79.97145690718656</v>
      </c>
    </row>
    <row r="135" spans="1:8" ht="12.75">
      <c r="A135" s="30" t="s">
        <v>198</v>
      </c>
      <c r="B135" s="5"/>
      <c r="C135" s="15"/>
      <c r="D135" s="36">
        <f>SUBTOTAL(9,D134:D134)</f>
        <v>25341</v>
      </c>
      <c r="E135" s="36">
        <f>SUBTOTAL(9,E134:E134)</f>
        <v>41341</v>
      </c>
      <c r="F135" s="36">
        <f>SUBTOTAL(9,F134:F134)</f>
        <v>33061</v>
      </c>
      <c r="G135" s="274">
        <f t="shared" si="21"/>
        <v>130.46446470147194</v>
      </c>
      <c r="H135" s="46">
        <f t="shared" si="22"/>
        <v>79.97145690718656</v>
      </c>
    </row>
    <row r="136" spans="1:8" ht="12.75">
      <c r="A136" s="30"/>
      <c r="B136" s="5"/>
      <c r="C136" s="15"/>
      <c r="D136" s="36"/>
      <c r="E136" s="36"/>
      <c r="F136" s="36"/>
      <c r="G136" s="274">
        <f t="shared" si="21"/>
        <v>0</v>
      </c>
      <c r="H136" s="46">
        <f t="shared" si="22"/>
        <v>0</v>
      </c>
    </row>
    <row r="137" spans="1:8" ht="12.75">
      <c r="A137" s="31" t="s">
        <v>214</v>
      </c>
      <c r="B137" s="16"/>
      <c r="C137" s="14"/>
      <c r="D137" s="36"/>
      <c r="E137" s="36"/>
      <c r="F137" s="36"/>
      <c r="G137" s="274">
        <f t="shared" si="21"/>
        <v>0</v>
      </c>
      <c r="H137" s="46">
        <f t="shared" si="22"/>
        <v>0</v>
      </c>
    </row>
    <row r="138" spans="1:9" ht="12.75">
      <c r="A138" s="53">
        <v>6600</v>
      </c>
      <c r="B138" s="16">
        <v>2333</v>
      </c>
      <c r="C138" s="14" t="s">
        <v>22</v>
      </c>
      <c r="D138" s="9">
        <v>500</v>
      </c>
      <c r="E138" s="9">
        <v>500</v>
      </c>
      <c r="F138" s="9">
        <v>239</v>
      </c>
      <c r="G138" s="273">
        <f t="shared" si="21"/>
        <v>47.8</v>
      </c>
      <c r="H138" s="44">
        <f t="shared" si="22"/>
        <v>47.8</v>
      </c>
      <c r="I138" s="119"/>
    </row>
    <row r="139" spans="1:9" ht="12.75">
      <c r="A139" s="53">
        <v>6600</v>
      </c>
      <c r="B139" s="16">
        <v>3322</v>
      </c>
      <c r="C139" s="14" t="s">
        <v>27</v>
      </c>
      <c r="D139" s="9">
        <v>500</v>
      </c>
      <c r="E139" s="9">
        <v>695</v>
      </c>
      <c r="F139" s="9">
        <v>477</v>
      </c>
      <c r="G139" s="273">
        <f t="shared" si="21"/>
        <v>95.39999999999999</v>
      </c>
      <c r="H139" s="44">
        <f t="shared" si="22"/>
        <v>68.63309352517986</v>
      </c>
      <c r="I139" s="119"/>
    </row>
    <row r="140" spans="1:9" ht="12.75">
      <c r="A140" s="53">
        <v>6600</v>
      </c>
      <c r="B140" s="5">
        <v>3612</v>
      </c>
      <c r="C140" s="14" t="s">
        <v>12</v>
      </c>
      <c r="D140" s="9">
        <v>23410</v>
      </c>
      <c r="E140" s="9">
        <v>36948</v>
      </c>
      <c r="F140" s="9">
        <v>30391</v>
      </c>
      <c r="G140" s="273">
        <f t="shared" si="21"/>
        <v>129.82058949167023</v>
      </c>
      <c r="H140" s="44">
        <f t="shared" si="22"/>
        <v>82.25343726318069</v>
      </c>
      <c r="I140" s="119"/>
    </row>
    <row r="141" spans="1:9" ht="12.75">
      <c r="A141" s="51">
        <v>6600</v>
      </c>
      <c r="B141" s="5">
        <v>3639</v>
      </c>
      <c r="C141" s="12" t="s">
        <v>41</v>
      </c>
      <c r="D141" s="6">
        <v>55179</v>
      </c>
      <c r="E141" s="6">
        <v>65076</v>
      </c>
      <c r="F141" s="6">
        <v>51828</v>
      </c>
      <c r="G141" s="273">
        <f t="shared" si="21"/>
        <v>93.92703745990323</v>
      </c>
      <c r="H141" s="44">
        <f t="shared" si="22"/>
        <v>79.64226442928268</v>
      </c>
      <c r="I141" s="119"/>
    </row>
    <row r="142" spans="1:9" ht="12.75">
      <c r="A142" s="51">
        <v>6600</v>
      </c>
      <c r="B142" s="5">
        <v>4341</v>
      </c>
      <c r="C142" s="73" t="s">
        <v>80</v>
      </c>
      <c r="D142" s="6">
        <v>3273</v>
      </c>
      <c r="E142" s="6">
        <v>3273</v>
      </c>
      <c r="F142" s="6">
        <v>2744</v>
      </c>
      <c r="G142" s="273">
        <f t="shared" si="21"/>
        <v>83.83745798961198</v>
      </c>
      <c r="H142" s="44">
        <f t="shared" si="22"/>
        <v>83.83745798961198</v>
      </c>
      <c r="I142" s="119"/>
    </row>
    <row r="143" spans="1:9" ht="12.75">
      <c r="A143" s="51">
        <v>6600</v>
      </c>
      <c r="B143" s="5">
        <v>4399</v>
      </c>
      <c r="C143" s="73" t="s">
        <v>304</v>
      </c>
      <c r="D143" s="6"/>
      <c r="E143" s="6">
        <v>74</v>
      </c>
      <c r="F143" s="6">
        <v>74</v>
      </c>
      <c r="G143" s="273"/>
      <c r="H143" s="44">
        <f t="shared" si="22"/>
        <v>100</v>
      </c>
      <c r="I143" s="119"/>
    </row>
    <row r="144" spans="1:8" ht="12.75">
      <c r="A144" s="51">
        <v>6600</v>
      </c>
      <c r="B144" s="5">
        <v>6171</v>
      </c>
      <c r="C144" s="15" t="s">
        <v>9</v>
      </c>
      <c r="D144" s="6">
        <v>69386</v>
      </c>
      <c r="E144" s="6">
        <v>63732</v>
      </c>
      <c r="F144" s="6">
        <v>50302</v>
      </c>
      <c r="G144" s="273">
        <f t="shared" si="21"/>
        <v>72.49589254316433</v>
      </c>
      <c r="H144" s="44">
        <f t="shared" si="22"/>
        <v>78.92738341806313</v>
      </c>
    </row>
    <row r="145" spans="1:8" ht="12.75">
      <c r="A145" s="51">
        <v>6600</v>
      </c>
      <c r="B145" s="5">
        <v>6211</v>
      </c>
      <c r="C145" s="15" t="s">
        <v>56</v>
      </c>
      <c r="D145" s="6">
        <v>4190</v>
      </c>
      <c r="E145" s="6">
        <v>4121</v>
      </c>
      <c r="F145" s="6">
        <v>3074</v>
      </c>
      <c r="G145" s="273">
        <f t="shared" si="21"/>
        <v>73.36515513126491</v>
      </c>
      <c r="H145" s="44">
        <f t="shared" si="22"/>
        <v>74.59354525600583</v>
      </c>
    </row>
    <row r="146" spans="1:8" ht="12.75">
      <c r="A146" s="30" t="s">
        <v>82</v>
      </c>
      <c r="B146" s="5"/>
      <c r="C146" s="15"/>
      <c r="D146" s="36">
        <f>SUBTOTAL(9,D138:D145)</f>
        <v>156438</v>
      </c>
      <c r="E146" s="36">
        <f>SUBTOTAL(9,E138:E145)</f>
        <v>174419</v>
      </c>
      <c r="F146" s="36">
        <f>SUBTOTAL(9,F138:F145)</f>
        <v>139129</v>
      </c>
      <c r="G146" s="274">
        <f t="shared" si="21"/>
        <v>88.93555274293969</v>
      </c>
      <c r="H146" s="46">
        <f t="shared" si="22"/>
        <v>79.76711252787827</v>
      </c>
    </row>
    <row r="147" spans="1:8" ht="12.75">
      <c r="A147" s="30"/>
      <c r="B147" s="5"/>
      <c r="C147" s="15"/>
      <c r="D147" s="36"/>
      <c r="E147" s="36"/>
      <c r="F147" s="36"/>
      <c r="G147" s="274">
        <f t="shared" si="21"/>
        <v>0</v>
      </c>
      <c r="H147" s="46">
        <f t="shared" si="22"/>
        <v>0</v>
      </c>
    </row>
    <row r="148" spans="1:9" s="65" customFormat="1" ht="12.75">
      <c r="A148" s="29" t="s">
        <v>187</v>
      </c>
      <c r="B148" s="5"/>
      <c r="C148" s="15"/>
      <c r="D148" s="36"/>
      <c r="E148" s="36"/>
      <c r="F148" s="36"/>
      <c r="G148" s="274">
        <f t="shared" si="21"/>
        <v>0</v>
      </c>
      <c r="H148" s="46">
        <f t="shared" si="22"/>
        <v>0</v>
      </c>
      <c r="I148" s="254"/>
    </row>
    <row r="149" spans="1:9" s="65" customFormat="1" ht="12.75">
      <c r="A149" s="53">
        <v>7100</v>
      </c>
      <c r="B149" s="16">
        <v>3511</v>
      </c>
      <c r="C149" s="14" t="s">
        <v>13</v>
      </c>
      <c r="D149" s="7">
        <v>10653</v>
      </c>
      <c r="E149" s="7">
        <v>14599</v>
      </c>
      <c r="F149" s="7">
        <v>14599</v>
      </c>
      <c r="G149" s="273">
        <f t="shared" si="21"/>
        <v>137.04120904909416</v>
      </c>
      <c r="H149" s="44">
        <f t="shared" si="22"/>
        <v>100</v>
      </c>
      <c r="I149" s="254"/>
    </row>
    <row r="150" spans="1:9" s="65" customFormat="1" ht="12.75">
      <c r="A150" s="53">
        <v>7100</v>
      </c>
      <c r="B150" s="16">
        <v>3522</v>
      </c>
      <c r="C150" s="14" t="s">
        <v>201</v>
      </c>
      <c r="D150" s="7">
        <v>41512</v>
      </c>
      <c r="E150" s="7">
        <v>66604</v>
      </c>
      <c r="F150" s="7">
        <v>66604</v>
      </c>
      <c r="G150" s="273">
        <f t="shared" si="21"/>
        <v>160.44517248024667</v>
      </c>
      <c r="H150" s="44">
        <f t="shared" si="22"/>
        <v>100</v>
      </c>
      <c r="I150" s="221"/>
    </row>
    <row r="151" spans="1:9" ht="12.75">
      <c r="A151" s="53">
        <v>7100</v>
      </c>
      <c r="B151" s="16">
        <v>3523</v>
      </c>
      <c r="C151" s="14" t="s">
        <v>84</v>
      </c>
      <c r="D151" s="7">
        <v>10881</v>
      </c>
      <c r="E151" s="7">
        <v>11115</v>
      </c>
      <c r="F151" s="7">
        <v>11115</v>
      </c>
      <c r="G151" s="273">
        <f t="shared" si="21"/>
        <v>102.15053763440861</v>
      </c>
      <c r="H151" s="44">
        <f t="shared" si="22"/>
        <v>100</v>
      </c>
      <c r="I151" s="119"/>
    </row>
    <row r="152" spans="1:9" ht="12.75">
      <c r="A152" s="53">
        <v>7100</v>
      </c>
      <c r="B152" s="16">
        <v>3529</v>
      </c>
      <c r="C152" s="14" t="s">
        <v>47</v>
      </c>
      <c r="D152" s="7">
        <v>39601</v>
      </c>
      <c r="E152" s="7">
        <v>39601</v>
      </c>
      <c r="F152" s="7">
        <v>39601</v>
      </c>
      <c r="G152" s="273">
        <f t="shared" si="21"/>
        <v>100</v>
      </c>
      <c r="H152" s="44">
        <f t="shared" si="22"/>
        <v>100</v>
      </c>
      <c r="I152" s="119"/>
    </row>
    <row r="153" spans="1:9" ht="12.75">
      <c r="A153" s="53">
        <v>7100</v>
      </c>
      <c r="B153" s="16">
        <v>3599</v>
      </c>
      <c r="C153" s="14" t="s">
        <v>86</v>
      </c>
      <c r="D153" s="271">
        <v>7445</v>
      </c>
      <c r="E153" s="271">
        <v>7785</v>
      </c>
      <c r="F153" s="271">
        <v>7726</v>
      </c>
      <c r="G153" s="273">
        <f t="shared" si="21"/>
        <v>103.77434519811955</v>
      </c>
      <c r="H153" s="44">
        <f t="shared" si="22"/>
        <v>99.24213230571613</v>
      </c>
      <c r="I153" s="119"/>
    </row>
    <row r="154" spans="1:9" ht="12.75">
      <c r="A154" s="53">
        <v>7100</v>
      </c>
      <c r="B154" s="16">
        <v>3900</v>
      </c>
      <c r="C154" s="12" t="s">
        <v>244</v>
      </c>
      <c r="D154" s="7">
        <v>8381</v>
      </c>
      <c r="E154" s="7">
        <v>8381</v>
      </c>
      <c r="F154" s="7">
        <v>8381</v>
      </c>
      <c r="G154" s="273">
        <f t="shared" si="21"/>
        <v>100</v>
      </c>
      <c r="H154" s="44">
        <f t="shared" si="22"/>
        <v>100</v>
      </c>
      <c r="I154" s="119"/>
    </row>
    <row r="155" spans="1:9" ht="12.75">
      <c r="A155" s="31" t="s">
        <v>14</v>
      </c>
      <c r="B155" s="16"/>
      <c r="C155" s="14"/>
      <c r="D155" s="36">
        <f>SUBTOTAL(9,D149:D154)</f>
        <v>118473</v>
      </c>
      <c r="E155" s="36">
        <f>SUBTOTAL(9,E149:E154)</f>
        <v>148085</v>
      </c>
      <c r="F155" s="36">
        <f>SUBTOTAL(9,F149:F154)</f>
        <v>148026</v>
      </c>
      <c r="G155" s="274">
        <f t="shared" si="21"/>
        <v>124.94492415993517</v>
      </c>
      <c r="H155" s="46">
        <f t="shared" si="22"/>
        <v>99.9601580173549</v>
      </c>
      <c r="I155" s="119"/>
    </row>
    <row r="156" spans="1:8" ht="12" customHeight="1">
      <c r="A156" s="31"/>
      <c r="B156" s="16"/>
      <c r="C156" s="14"/>
      <c r="D156" s="36"/>
      <c r="E156" s="36"/>
      <c r="F156" s="36"/>
      <c r="G156" s="274">
        <f t="shared" si="21"/>
        <v>0</v>
      </c>
      <c r="H156" s="46">
        <f t="shared" si="22"/>
        <v>0</v>
      </c>
    </row>
    <row r="157" spans="1:8" ht="12.75">
      <c r="A157" s="31" t="s">
        <v>39</v>
      </c>
      <c r="B157" s="16"/>
      <c r="C157" s="14"/>
      <c r="D157" s="36"/>
      <c r="E157" s="36"/>
      <c r="F157" s="36"/>
      <c r="G157" s="274">
        <f t="shared" si="21"/>
        <v>0</v>
      </c>
      <c r="H157" s="46">
        <f t="shared" si="22"/>
        <v>0</v>
      </c>
    </row>
    <row r="158" spans="1:9" ht="12.75">
      <c r="A158" s="53">
        <v>7200</v>
      </c>
      <c r="B158" s="16">
        <v>3541</v>
      </c>
      <c r="C158" s="14" t="s">
        <v>207</v>
      </c>
      <c r="D158" s="13">
        <v>5855</v>
      </c>
      <c r="E158" s="13">
        <v>6855</v>
      </c>
      <c r="F158" s="13">
        <v>6855</v>
      </c>
      <c r="G158" s="273">
        <f t="shared" si="21"/>
        <v>117.07941929974382</v>
      </c>
      <c r="H158" s="44">
        <f t="shared" si="22"/>
        <v>100</v>
      </c>
      <c r="I158" s="119"/>
    </row>
    <row r="159" spans="1:9" ht="12.75">
      <c r="A159" s="53">
        <v>7200</v>
      </c>
      <c r="B159" s="16">
        <v>4312</v>
      </c>
      <c r="C159" s="14" t="s">
        <v>266</v>
      </c>
      <c r="D159" s="13"/>
      <c r="E159" s="13">
        <v>1830</v>
      </c>
      <c r="F159" s="13">
        <v>1830</v>
      </c>
      <c r="G159" s="273">
        <f aca="true" t="shared" si="25" ref="G159:G180">IF(D159&lt;=0,0,$F159/D159*100)</f>
        <v>0</v>
      </c>
      <c r="H159" s="44">
        <f aca="true" t="shared" si="26" ref="H159:H180">IF(E159&lt;=0,0,$F159/E159*100)</f>
        <v>100</v>
      </c>
      <c r="I159" s="119"/>
    </row>
    <row r="160" spans="1:9" ht="12.75">
      <c r="A160" s="53">
        <v>7200</v>
      </c>
      <c r="B160" s="16">
        <v>4324</v>
      </c>
      <c r="C160" s="14" t="s">
        <v>289</v>
      </c>
      <c r="D160" s="13"/>
      <c r="E160" s="13">
        <v>91</v>
      </c>
      <c r="F160" s="13">
        <v>68</v>
      </c>
      <c r="G160" s="273">
        <f t="shared" si="25"/>
        <v>0</v>
      </c>
      <c r="H160" s="44">
        <f t="shared" si="26"/>
        <v>74.72527472527473</v>
      </c>
      <c r="I160" s="119"/>
    </row>
    <row r="161" spans="1:9" ht="12.75">
      <c r="A161" s="53">
        <v>7200</v>
      </c>
      <c r="B161" s="20">
        <v>4341</v>
      </c>
      <c r="C161" s="12" t="s">
        <v>251</v>
      </c>
      <c r="D161" s="13">
        <v>4119</v>
      </c>
      <c r="E161" s="13">
        <v>3939</v>
      </c>
      <c r="F161" s="13">
        <v>1876</v>
      </c>
      <c r="G161" s="273">
        <f t="shared" si="25"/>
        <v>45.545035202719106</v>
      </c>
      <c r="H161" s="44">
        <f t="shared" si="26"/>
        <v>47.626301091647626</v>
      </c>
      <c r="I161" s="324"/>
    </row>
    <row r="162" spans="1:9" ht="12.75">
      <c r="A162" s="53">
        <v>7200</v>
      </c>
      <c r="B162" s="20">
        <v>4342</v>
      </c>
      <c r="C162" s="12" t="s">
        <v>87</v>
      </c>
      <c r="D162" s="13">
        <v>950</v>
      </c>
      <c r="E162" s="13">
        <v>1102</v>
      </c>
      <c r="F162" s="13">
        <v>1102</v>
      </c>
      <c r="G162" s="273">
        <f t="shared" si="25"/>
        <v>115.99999999999999</v>
      </c>
      <c r="H162" s="44">
        <f t="shared" si="26"/>
        <v>100</v>
      </c>
      <c r="I162" s="119"/>
    </row>
    <row r="163" spans="1:9" ht="12.75">
      <c r="A163" s="53">
        <v>7200</v>
      </c>
      <c r="B163" s="20">
        <v>4344</v>
      </c>
      <c r="C163" s="12" t="s">
        <v>267</v>
      </c>
      <c r="D163" s="13"/>
      <c r="E163" s="13">
        <v>1075</v>
      </c>
      <c r="F163" s="13">
        <v>1075</v>
      </c>
      <c r="G163" s="273">
        <f t="shared" si="25"/>
        <v>0</v>
      </c>
      <c r="H163" s="44">
        <f t="shared" si="26"/>
        <v>100</v>
      </c>
      <c r="I163" s="119"/>
    </row>
    <row r="164" spans="1:9" ht="12.75">
      <c r="A164" s="53">
        <v>7200</v>
      </c>
      <c r="B164" s="20">
        <v>4350</v>
      </c>
      <c r="C164" s="12" t="s">
        <v>252</v>
      </c>
      <c r="D164" s="13">
        <v>136433</v>
      </c>
      <c r="E164" s="13">
        <v>184536</v>
      </c>
      <c r="F164" s="13">
        <v>184536</v>
      </c>
      <c r="G164" s="273">
        <f t="shared" si="25"/>
        <v>135.2575989679916</v>
      </c>
      <c r="H164" s="44">
        <f t="shared" si="26"/>
        <v>100</v>
      </c>
      <c r="I164" s="119"/>
    </row>
    <row r="165" spans="1:9" ht="12.75">
      <c r="A165" s="53">
        <v>7200</v>
      </c>
      <c r="B165" s="20">
        <v>4351</v>
      </c>
      <c r="C165" s="12" t="s">
        <v>173</v>
      </c>
      <c r="D165" s="13"/>
      <c r="E165" s="13">
        <v>10083</v>
      </c>
      <c r="F165" s="13">
        <v>10083</v>
      </c>
      <c r="G165" s="273">
        <f t="shared" si="25"/>
        <v>0</v>
      </c>
      <c r="H165" s="44">
        <f t="shared" si="26"/>
        <v>100</v>
      </c>
      <c r="I165" s="119"/>
    </row>
    <row r="166" spans="1:9" ht="12.75">
      <c r="A166" s="53">
        <v>7200</v>
      </c>
      <c r="B166" s="20">
        <v>4353</v>
      </c>
      <c r="C166" s="12" t="s">
        <v>268</v>
      </c>
      <c r="D166" s="13"/>
      <c r="E166" s="13">
        <v>100</v>
      </c>
      <c r="F166" s="13">
        <v>100</v>
      </c>
      <c r="G166" s="273">
        <f t="shared" si="25"/>
        <v>0</v>
      </c>
      <c r="H166" s="44">
        <f t="shared" si="26"/>
        <v>100</v>
      </c>
      <c r="I166" s="119"/>
    </row>
    <row r="167" spans="1:9" ht="12.75">
      <c r="A167" s="53">
        <v>7200</v>
      </c>
      <c r="B167" s="20">
        <v>4354</v>
      </c>
      <c r="C167" s="12" t="s">
        <v>269</v>
      </c>
      <c r="D167" s="13"/>
      <c r="E167" s="13">
        <v>3195</v>
      </c>
      <c r="F167" s="13">
        <v>3195</v>
      </c>
      <c r="G167" s="273">
        <f t="shared" si="25"/>
        <v>0</v>
      </c>
      <c r="H167" s="44">
        <f t="shared" si="26"/>
        <v>100</v>
      </c>
      <c r="I167" s="119"/>
    </row>
    <row r="168" spans="1:8" ht="12.75">
      <c r="A168" s="53">
        <v>7200</v>
      </c>
      <c r="B168" s="20">
        <v>4356</v>
      </c>
      <c r="C168" s="12" t="s">
        <v>270</v>
      </c>
      <c r="D168" s="13"/>
      <c r="E168" s="13">
        <v>4760</v>
      </c>
      <c r="F168" s="13">
        <v>4760</v>
      </c>
      <c r="G168" s="273">
        <f t="shared" si="25"/>
        <v>0</v>
      </c>
      <c r="H168" s="44">
        <f t="shared" si="26"/>
        <v>100</v>
      </c>
    </row>
    <row r="169" spans="1:8" ht="12.75">
      <c r="A169" s="53">
        <v>7200</v>
      </c>
      <c r="B169" s="20">
        <v>4357</v>
      </c>
      <c r="C169" s="73" t="s">
        <v>253</v>
      </c>
      <c r="D169" s="13">
        <v>26645</v>
      </c>
      <c r="E169" s="13">
        <v>33974</v>
      </c>
      <c r="F169" s="13">
        <v>33974</v>
      </c>
      <c r="G169" s="273">
        <f t="shared" si="25"/>
        <v>127.50609870519799</v>
      </c>
      <c r="H169" s="44">
        <f t="shared" si="26"/>
        <v>100</v>
      </c>
    </row>
    <row r="170" spans="1:8" ht="12.75">
      <c r="A170" s="53">
        <v>7200</v>
      </c>
      <c r="B170" s="20">
        <v>4359</v>
      </c>
      <c r="C170" s="12" t="s">
        <v>188</v>
      </c>
      <c r="D170" s="13">
        <v>47200</v>
      </c>
      <c r="E170" s="13">
        <v>2635</v>
      </c>
      <c r="F170" s="13">
        <v>2635</v>
      </c>
      <c r="G170" s="273">
        <f t="shared" si="25"/>
        <v>5.5826271186440675</v>
      </c>
      <c r="H170" s="44">
        <f t="shared" si="26"/>
        <v>100</v>
      </c>
    </row>
    <row r="171" spans="1:8" ht="12.75">
      <c r="A171" s="53">
        <v>7200</v>
      </c>
      <c r="B171" s="20">
        <v>4371</v>
      </c>
      <c r="C171" s="12" t="s">
        <v>271</v>
      </c>
      <c r="D171" s="13"/>
      <c r="E171" s="13">
        <v>1087</v>
      </c>
      <c r="F171" s="13">
        <v>1087</v>
      </c>
      <c r="G171" s="273">
        <f t="shared" si="25"/>
        <v>0</v>
      </c>
      <c r="H171" s="44">
        <f t="shared" si="26"/>
        <v>100</v>
      </c>
    </row>
    <row r="172" spans="1:8" ht="12.75">
      <c r="A172" s="53">
        <v>7200</v>
      </c>
      <c r="B172" s="20">
        <v>4372</v>
      </c>
      <c r="C172" s="12" t="s">
        <v>272</v>
      </c>
      <c r="D172" s="13"/>
      <c r="E172" s="13">
        <v>220</v>
      </c>
      <c r="F172" s="13">
        <v>220</v>
      </c>
      <c r="G172" s="273">
        <f t="shared" si="25"/>
        <v>0</v>
      </c>
      <c r="H172" s="44">
        <f t="shared" si="26"/>
        <v>100</v>
      </c>
    </row>
    <row r="173" spans="1:8" ht="12.75">
      <c r="A173" s="53">
        <v>7200</v>
      </c>
      <c r="B173" s="20">
        <v>4374</v>
      </c>
      <c r="C173" s="73" t="s">
        <v>254</v>
      </c>
      <c r="D173" s="13">
        <v>66248</v>
      </c>
      <c r="E173" s="13">
        <v>75111</v>
      </c>
      <c r="F173" s="13">
        <v>75111</v>
      </c>
      <c r="G173" s="273">
        <f t="shared" si="25"/>
        <v>113.37851708730831</v>
      </c>
      <c r="H173" s="44">
        <f t="shared" si="26"/>
        <v>100</v>
      </c>
    </row>
    <row r="174" spans="1:8" ht="12.75">
      <c r="A174" s="53">
        <v>7200</v>
      </c>
      <c r="B174" s="20">
        <v>4375</v>
      </c>
      <c r="C174" s="73" t="s">
        <v>273</v>
      </c>
      <c r="D174" s="13"/>
      <c r="E174" s="13">
        <v>640</v>
      </c>
      <c r="F174" s="13">
        <v>640</v>
      </c>
      <c r="G174" s="273">
        <f t="shared" si="25"/>
        <v>0</v>
      </c>
      <c r="H174" s="44">
        <f t="shared" si="26"/>
        <v>100</v>
      </c>
    </row>
    <row r="175" spans="1:8" ht="12.75">
      <c r="A175" s="53">
        <v>7200</v>
      </c>
      <c r="B175" s="20">
        <v>4376</v>
      </c>
      <c r="C175" s="73" t="s">
        <v>274</v>
      </c>
      <c r="D175" s="13"/>
      <c r="E175" s="13">
        <v>440</v>
      </c>
      <c r="F175" s="13">
        <v>440</v>
      </c>
      <c r="G175" s="273">
        <f t="shared" si="25"/>
        <v>0</v>
      </c>
      <c r="H175" s="44">
        <f t="shared" si="26"/>
        <v>100</v>
      </c>
    </row>
    <row r="176" spans="1:8" ht="12.75">
      <c r="A176" s="53">
        <v>7200</v>
      </c>
      <c r="B176" s="20">
        <v>4378</v>
      </c>
      <c r="C176" s="73" t="s">
        <v>275</v>
      </c>
      <c r="D176" s="13"/>
      <c r="E176" s="13">
        <v>310</v>
      </c>
      <c r="F176" s="13">
        <v>310</v>
      </c>
      <c r="G176" s="273">
        <f t="shared" si="25"/>
        <v>0</v>
      </c>
      <c r="H176" s="44">
        <f t="shared" si="26"/>
        <v>100</v>
      </c>
    </row>
    <row r="177" spans="1:9" ht="12.75">
      <c r="A177" s="53">
        <v>7200</v>
      </c>
      <c r="B177" s="20">
        <v>4379</v>
      </c>
      <c r="C177" s="12" t="s">
        <v>186</v>
      </c>
      <c r="D177" s="13">
        <v>995</v>
      </c>
      <c r="E177" s="13">
        <v>2460</v>
      </c>
      <c r="F177" s="13">
        <v>2460</v>
      </c>
      <c r="G177" s="273">
        <f t="shared" si="25"/>
        <v>247.23618090452263</v>
      </c>
      <c r="H177" s="44">
        <f t="shared" si="26"/>
        <v>100</v>
      </c>
      <c r="I177" s="119"/>
    </row>
    <row r="178" spans="1:9" ht="12.75">
      <c r="A178" s="53">
        <v>7200</v>
      </c>
      <c r="B178" s="20">
        <v>4399</v>
      </c>
      <c r="C178" s="12" t="s">
        <v>276</v>
      </c>
      <c r="D178" s="13"/>
      <c r="E178" s="13">
        <v>5178</v>
      </c>
      <c r="F178" s="13">
        <v>1147</v>
      </c>
      <c r="G178" s="273">
        <f t="shared" si="25"/>
        <v>0</v>
      </c>
      <c r="H178" s="44">
        <f t="shared" si="26"/>
        <v>22.15140981073774</v>
      </c>
      <c r="I178" s="324"/>
    </row>
    <row r="179" spans="1:8" ht="12.75">
      <c r="A179" s="53">
        <v>7200</v>
      </c>
      <c r="B179" s="20">
        <v>5319</v>
      </c>
      <c r="C179" s="15" t="s">
        <v>193</v>
      </c>
      <c r="D179" s="13">
        <v>2500</v>
      </c>
      <c r="E179" s="13">
        <v>2364</v>
      </c>
      <c r="F179" s="13">
        <v>2364</v>
      </c>
      <c r="G179" s="273">
        <f t="shared" si="25"/>
        <v>94.56</v>
      </c>
      <c r="H179" s="44">
        <f t="shared" si="26"/>
        <v>100</v>
      </c>
    </row>
    <row r="180" spans="1:9" ht="12.75">
      <c r="A180" s="53">
        <v>7200</v>
      </c>
      <c r="B180" s="20">
        <v>6409</v>
      </c>
      <c r="C180" s="15" t="s">
        <v>263</v>
      </c>
      <c r="D180" s="13"/>
      <c r="E180" s="13">
        <v>970</v>
      </c>
      <c r="F180" s="13">
        <v>970</v>
      </c>
      <c r="G180" s="273">
        <f t="shared" si="25"/>
        <v>0</v>
      </c>
      <c r="H180" s="44">
        <f t="shared" si="26"/>
        <v>100</v>
      </c>
      <c r="I180" s="119"/>
    </row>
    <row r="181" spans="1:9" ht="12.75">
      <c r="A181" s="29" t="s">
        <v>34</v>
      </c>
      <c r="B181" s="20"/>
      <c r="C181" s="12"/>
      <c r="D181" s="36">
        <f>SUBTOTAL(9,D158:D180)</f>
        <v>290945</v>
      </c>
      <c r="E181" s="36">
        <f>SUBTOTAL(9,E158:E180)</f>
        <v>342955</v>
      </c>
      <c r="F181" s="36">
        <f>SUBTOTAL(9,F158:F180)</f>
        <v>336838</v>
      </c>
      <c r="G181" s="274">
        <f aca="true" t="shared" si="27" ref="G181:G216">IF(D181&lt;=0,0,$F181/D181*100)</f>
        <v>115.77377167505887</v>
      </c>
      <c r="H181" s="46">
        <f aca="true" t="shared" si="28" ref="H181:H216">IF(E181&lt;=0,0,$F181/E181*100)</f>
        <v>98.21638407371229</v>
      </c>
      <c r="I181" s="119"/>
    </row>
    <row r="182" spans="1:9" ht="10.5" customHeight="1">
      <c r="A182" s="29"/>
      <c r="B182" s="20"/>
      <c r="C182" s="12"/>
      <c r="D182" s="36"/>
      <c r="E182" s="36"/>
      <c r="F182" s="36"/>
      <c r="G182" s="274">
        <f t="shared" si="27"/>
        <v>0</v>
      </c>
      <c r="H182" s="46">
        <f t="shared" si="28"/>
        <v>0</v>
      </c>
      <c r="I182" s="119"/>
    </row>
    <row r="183" spans="1:9" ht="12.75">
      <c r="A183" s="29" t="s">
        <v>29</v>
      </c>
      <c r="B183" s="20"/>
      <c r="C183" s="12"/>
      <c r="D183" s="36"/>
      <c r="E183" s="36"/>
      <c r="F183" s="36"/>
      <c r="G183" s="274">
        <f t="shared" si="27"/>
        <v>0</v>
      </c>
      <c r="H183" s="46">
        <f t="shared" si="28"/>
        <v>0</v>
      </c>
      <c r="I183" s="119"/>
    </row>
    <row r="184" spans="1:9" ht="12.75">
      <c r="A184" s="51">
        <v>7300</v>
      </c>
      <c r="B184" s="5">
        <v>3311</v>
      </c>
      <c r="C184" s="15" t="s">
        <v>24</v>
      </c>
      <c r="D184" s="6">
        <v>502126</v>
      </c>
      <c r="E184" s="6">
        <v>551941</v>
      </c>
      <c r="F184" s="6">
        <v>551941</v>
      </c>
      <c r="G184" s="273">
        <f t="shared" si="27"/>
        <v>109.92081668744498</v>
      </c>
      <c r="H184" s="44">
        <f t="shared" si="28"/>
        <v>100</v>
      </c>
      <c r="I184" s="119"/>
    </row>
    <row r="185" spans="1:9" ht="12.75">
      <c r="A185" s="51">
        <v>7300</v>
      </c>
      <c r="B185" s="5">
        <v>3312</v>
      </c>
      <c r="C185" s="15" t="s">
        <v>89</v>
      </c>
      <c r="D185" s="6">
        <v>56323</v>
      </c>
      <c r="E185" s="6">
        <v>67792</v>
      </c>
      <c r="F185" s="6">
        <v>67765</v>
      </c>
      <c r="G185" s="273">
        <f aca="true" t="shared" si="29" ref="G185:G191">IF(D185&lt;=0,0,$F185/D185*100)</f>
        <v>120.31496901798555</v>
      </c>
      <c r="H185" s="44">
        <f aca="true" t="shared" si="30" ref="H185:H191">IF(E185&lt;=0,0,$F185/E185*100)</f>
        <v>99.96017229171584</v>
      </c>
      <c r="I185" s="119"/>
    </row>
    <row r="186" spans="1:9" ht="12.75">
      <c r="A186" s="51">
        <v>7300</v>
      </c>
      <c r="B186" s="5">
        <v>3313</v>
      </c>
      <c r="C186" s="15" t="s">
        <v>291</v>
      </c>
      <c r="D186" s="6"/>
      <c r="E186" s="6">
        <v>833</v>
      </c>
      <c r="F186" s="6">
        <v>723</v>
      </c>
      <c r="G186" s="273">
        <f t="shared" si="29"/>
        <v>0</v>
      </c>
      <c r="H186" s="44">
        <f t="shared" si="30"/>
        <v>86.79471788715486</v>
      </c>
      <c r="I186" s="119"/>
    </row>
    <row r="187" spans="1:8" ht="12.75">
      <c r="A187" s="51">
        <v>7300</v>
      </c>
      <c r="B187" s="5">
        <v>3314</v>
      </c>
      <c r="C187" s="15" t="s">
        <v>90</v>
      </c>
      <c r="D187" s="6">
        <v>55328</v>
      </c>
      <c r="E187" s="6">
        <v>55523</v>
      </c>
      <c r="F187" s="6">
        <v>55523</v>
      </c>
      <c r="G187" s="273">
        <f t="shared" si="29"/>
        <v>100.35244360902256</v>
      </c>
      <c r="H187" s="44">
        <f t="shared" si="30"/>
        <v>100</v>
      </c>
    </row>
    <row r="188" spans="1:8" ht="12.75">
      <c r="A188" s="51">
        <v>7300</v>
      </c>
      <c r="B188" s="5">
        <v>3315</v>
      </c>
      <c r="C188" s="15" t="s">
        <v>91</v>
      </c>
      <c r="D188" s="6">
        <v>51278</v>
      </c>
      <c r="E188" s="6">
        <v>64935</v>
      </c>
      <c r="F188" s="6">
        <v>64868</v>
      </c>
      <c r="G188" s="273">
        <f t="shared" si="29"/>
        <v>126.5025937049027</v>
      </c>
      <c r="H188" s="44">
        <f t="shared" si="30"/>
        <v>99.8968198968199</v>
      </c>
    </row>
    <row r="189" spans="1:9" ht="12.75">
      <c r="A189" s="51">
        <v>7300</v>
      </c>
      <c r="B189" s="5">
        <v>3316</v>
      </c>
      <c r="C189" s="15" t="s">
        <v>290</v>
      </c>
      <c r="D189" s="6"/>
      <c r="E189" s="6">
        <v>1050</v>
      </c>
      <c r="F189" s="6">
        <v>1020</v>
      </c>
      <c r="G189" s="273">
        <f t="shared" si="29"/>
        <v>0</v>
      </c>
      <c r="H189" s="44">
        <f t="shared" si="30"/>
        <v>97.14285714285714</v>
      </c>
      <c r="I189" s="119"/>
    </row>
    <row r="190" spans="1:8" ht="12.75">
      <c r="A190" s="51">
        <v>7300</v>
      </c>
      <c r="B190" s="5">
        <v>3317</v>
      </c>
      <c r="C190" s="15" t="s">
        <v>92</v>
      </c>
      <c r="D190" s="6">
        <v>14533</v>
      </c>
      <c r="E190" s="6">
        <v>17063</v>
      </c>
      <c r="F190" s="6">
        <v>17063</v>
      </c>
      <c r="G190" s="273">
        <f t="shared" si="29"/>
        <v>117.40865616183858</v>
      </c>
      <c r="H190" s="44">
        <f t="shared" si="30"/>
        <v>100</v>
      </c>
    </row>
    <row r="191" spans="1:8" ht="12.75">
      <c r="A191" s="51">
        <v>7300</v>
      </c>
      <c r="B191" s="5">
        <v>3319</v>
      </c>
      <c r="C191" s="15" t="s">
        <v>48</v>
      </c>
      <c r="D191" s="6">
        <f>27649-5000</f>
        <v>22649</v>
      </c>
      <c r="E191" s="6">
        <v>14394</v>
      </c>
      <c r="F191" s="6">
        <v>14055</v>
      </c>
      <c r="G191" s="273">
        <f t="shared" si="29"/>
        <v>62.055719899333305</v>
      </c>
      <c r="H191" s="44">
        <f t="shared" si="30"/>
        <v>97.6448520216757</v>
      </c>
    </row>
    <row r="192" spans="1:8" ht="12.75">
      <c r="A192" s="51">
        <v>7300</v>
      </c>
      <c r="B192" s="5">
        <v>3326</v>
      </c>
      <c r="C192" s="15" t="s">
        <v>168</v>
      </c>
      <c r="D192" s="6">
        <v>1475</v>
      </c>
      <c r="E192" s="6">
        <v>1214</v>
      </c>
      <c r="F192" s="6">
        <v>1077</v>
      </c>
      <c r="G192" s="273">
        <f t="shared" si="27"/>
        <v>73.01694915254238</v>
      </c>
      <c r="H192" s="44">
        <f t="shared" si="28"/>
        <v>88.71499176276771</v>
      </c>
    </row>
    <row r="193" spans="1:8" ht="12.75">
      <c r="A193" s="30" t="s">
        <v>26</v>
      </c>
      <c r="B193" s="5"/>
      <c r="C193" s="15"/>
      <c r="D193" s="36">
        <f>SUBTOTAL(9,D184:D192)</f>
        <v>703712</v>
      </c>
      <c r="E193" s="36">
        <f>SUBTOTAL(9,E184:E192)</f>
        <v>774745</v>
      </c>
      <c r="F193" s="36">
        <f>SUBTOTAL(9,F184:F192)</f>
        <v>774035</v>
      </c>
      <c r="G193" s="274">
        <f t="shared" si="27"/>
        <v>109.99315060706654</v>
      </c>
      <c r="H193" s="46">
        <f t="shared" si="28"/>
        <v>99.9083569432523</v>
      </c>
    </row>
    <row r="194" spans="1:8" ht="10.5" customHeight="1">
      <c r="A194" s="30"/>
      <c r="B194" s="5"/>
      <c r="C194" s="15"/>
      <c r="D194" s="36"/>
      <c r="E194" s="36"/>
      <c r="F194" s="36"/>
      <c r="G194" s="274">
        <f t="shared" si="27"/>
        <v>0</v>
      </c>
      <c r="H194" s="46">
        <f t="shared" si="28"/>
        <v>0</v>
      </c>
    </row>
    <row r="195" spans="1:8" ht="12.75">
      <c r="A195" s="30" t="s">
        <v>40</v>
      </c>
      <c r="B195" s="5"/>
      <c r="C195" s="15"/>
      <c r="D195" s="36"/>
      <c r="E195" s="36"/>
      <c r="F195" s="36"/>
      <c r="G195" s="274">
        <f t="shared" si="27"/>
        <v>0</v>
      </c>
      <c r="H195" s="46">
        <f t="shared" si="28"/>
        <v>0</v>
      </c>
    </row>
    <row r="196" spans="1:8" ht="12.75">
      <c r="A196" s="50">
        <v>7400</v>
      </c>
      <c r="B196" s="5">
        <v>3111</v>
      </c>
      <c r="C196" s="15" t="s">
        <v>95</v>
      </c>
      <c r="D196" s="9">
        <v>2573</v>
      </c>
      <c r="E196" s="9">
        <v>3153</v>
      </c>
      <c r="F196" s="9">
        <v>3153</v>
      </c>
      <c r="G196" s="273">
        <f t="shared" si="27"/>
        <v>122.54178002331908</v>
      </c>
      <c r="H196" s="44">
        <f t="shared" si="28"/>
        <v>100</v>
      </c>
    </row>
    <row r="197" spans="1:9" ht="12.75">
      <c r="A197" s="50">
        <v>7400</v>
      </c>
      <c r="B197" s="17">
        <v>3113</v>
      </c>
      <c r="C197" s="10" t="s">
        <v>23</v>
      </c>
      <c r="D197" s="9">
        <v>23267</v>
      </c>
      <c r="E197" s="9">
        <v>63008</v>
      </c>
      <c r="F197" s="9">
        <v>62101</v>
      </c>
      <c r="G197" s="273">
        <f aca="true" t="shared" si="31" ref="G197:G203">IF(D197&lt;=0,0,$F197/D197*100)</f>
        <v>266.9059182533202</v>
      </c>
      <c r="H197" s="44">
        <f aca="true" t="shared" si="32" ref="H197:H203">IF(E197&lt;=0,0,$F197/E197*100)</f>
        <v>98.56050025393601</v>
      </c>
      <c r="I197" s="119"/>
    </row>
    <row r="198" spans="1:8" ht="12.75">
      <c r="A198" s="50">
        <v>7400</v>
      </c>
      <c r="B198" s="17">
        <v>3117</v>
      </c>
      <c r="C198" s="259" t="s">
        <v>255</v>
      </c>
      <c r="D198" s="9">
        <v>142</v>
      </c>
      <c r="E198" s="9">
        <v>392</v>
      </c>
      <c r="F198" s="9">
        <v>392</v>
      </c>
      <c r="G198" s="273">
        <f t="shared" si="31"/>
        <v>276.056338028169</v>
      </c>
      <c r="H198" s="44">
        <f t="shared" si="32"/>
        <v>100</v>
      </c>
    </row>
    <row r="199" spans="1:8" ht="12.75">
      <c r="A199" s="50">
        <v>7400</v>
      </c>
      <c r="B199" s="17">
        <v>3141</v>
      </c>
      <c r="C199" s="10" t="s">
        <v>162</v>
      </c>
      <c r="D199" s="9">
        <v>2000</v>
      </c>
      <c r="E199" s="9"/>
      <c r="F199" s="9"/>
      <c r="G199" s="273">
        <f t="shared" si="31"/>
        <v>0</v>
      </c>
      <c r="H199" s="44">
        <f t="shared" si="32"/>
        <v>0</v>
      </c>
    </row>
    <row r="200" spans="1:9" ht="12.75">
      <c r="A200" s="50">
        <v>7400</v>
      </c>
      <c r="B200" s="17">
        <v>3149</v>
      </c>
      <c r="C200" s="10" t="s">
        <v>93</v>
      </c>
      <c r="D200" s="9">
        <v>1270</v>
      </c>
      <c r="E200" s="9">
        <v>1270</v>
      </c>
      <c r="F200" s="9">
        <v>702</v>
      </c>
      <c r="G200" s="273">
        <f t="shared" si="31"/>
        <v>55.2755905511811</v>
      </c>
      <c r="H200" s="44">
        <f t="shared" si="32"/>
        <v>55.2755905511811</v>
      </c>
      <c r="I200" s="324"/>
    </row>
    <row r="201" spans="1:9" ht="12.75">
      <c r="A201" s="50">
        <v>7400</v>
      </c>
      <c r="B201" s="17">
        <v>3419</v>
      </c>
      <c r="C201" s="10" t="s">
        <v>49</v>
      </c>
      <c r="D201" s="9">
        <v>191763</v>
      </c>
      <c r="E201" s="9">
        <v>228046</v>
      </c>
      <c r="F201" s="9">
        <v>225049</v>
      </c>
      <c r="G201" s="273">
        <f t="shared" si="31"/>
        <v>117.35788447197844</v>
      </c>
      <c r="H201" s="44">
        <f t="shared" si="32"/>
        <v>98.68579146312587</v>
      </c>
      <c r="I201" s="119"/>
    </row>
    <row r="202" spans="1:9" ht="12.75">
      <c r="A202" s="50">
        <v>7400</v>
      </c>
      <c r="B202" s="17">
        <v>3421</v>
      </c>
      <c r="C202" s="10" t="s">
        <v>94</v>
      </c>
      <c r="D202" s="9">
        <v>12900</v>
      </c>
      <c r="E202" s="9">
        <v>11270</v>
      </c>
      <c r="F202" s="9">
        <v>11164</v>
      </c>
      <c r="G202" s="273">
        <f t="shared" si="31"/>
        <v>86.54263565891472</v>
      </c>
      <c r="H202" s="44">
        <f t="shared" si="32"/>
        <v>99.05944986690328</v>
      </c>
      <c r="I202" s="119"/>
    </row>
    <row r="203" spans="1:9" ht="12.75">
      <c r="A203" s="50">
        <v>7400</v>
      </c>
      <c r="B203" s="17">
        <v>6409</v>
      </c>
      <c r="C203" s="10" t="s">
        <v>263</v>
      </c>
      <c r="D203" s="9"/>
      <c r="E203" s="9">
        <v>36943</v>
      </c>
      <c r="F203" s="9">
        <v>36943</v>
      </c>
      <c r="G203" s="273">
        <f t="shared" si="31"/>
        <v>0</v>
      </c>
      <c r="H203" s="44">
        <f t="shared" si="32"/>
        <v>100</v>
      </c>
      <c r="I203" s="119"/>
    </row>
    <row r="204" spans="1:9" ht="12.75">
      <c r="A204" s="32" t="s">
        <v>35</v>
      </c>
      <c r="B204" s="21"/>
      <c r="C204" s="10"/>
      <c r="D204" s="36">
        <f>SUBTOTAL(9,D196:D203)</f>
        <v>233915</v>
      </c>
      <c r="E204" s="36">
        <f>SUBTOTAL(9,E196:E203)</f>
        <v>344082</v>
      </c>
      <c r="F204" s="36">
        <f>SUBTOTAL(9,F196:F203)</f>
        <v>339504</v>
      </c>
      <c r="G204" s="274">
        <f t="shared" si="27"/>
        <v>145.13990124617916</v>
      </c>
      <c r="H204" s="46">
        <f t="shared" si="28"/>
        <v>98.66950319981865</v>
      </c>
      <c r="I204" s="119"/>
    </row>
    <row r="205" spans="1:9" ht="9.75" customHeight="1">
      <c r="A205" s="32"/>
      <c r="B205" s="21"/>
      <c r="C205" s="10"/>
      <c r="D205" s="36"/>
      <c r="E205" s="36"/>
      <c r="F205" s="36"/>
      <c r="G205" s="274">
        <f t="shared" si="27"/>
        <v>0</v>
      </c>
      <c r="H205" s="46">
        <f t="shared" si="28"/>
        <v>0</v>
      </c>
      <c r="I205" s="119"/>
    </row>
    <row r="206" spans="1:9" ht="12.75">
      <c r="A206" s="68" t="s">
        <v>97</v>
      </c>
      <c r="B206" s="17"/>
      <c r="C206" s="10"/>
      <c r="D206" s="36"/>
      <c r="E206" s="36"/>
      <c r="F206" s="36"/>
      <c r="G206" s="274">
        <f t="shared" si="27"/>
        <v>0</v>
      </c>
      <c r="H206" s="46">
        <f t="shared" si="28"/>
        <v>0</v>
      </c>
      <c r="I206" s="119"/>
    </row>
    <row r="207" spans="1:9" ht="12.75">
      <c r="A207" s="51">
        <v>7500</v>
      </c>
      <c r="B207" s="5">
        <v>3322</v>
      </c>
      <c r="C207" s="15" t="s">
        <v>27</v>
      </c>
      <c r="D207" s="6">
        <v>10210</v>
      </c>
      <c r="E207" s="6">
        <v>7015</v>
      </c>
      <c r="F207" s="6">
        <v>6437</v>
      </c>
      <c r="G207" s="273">
        <f t="shared" si="27"/>
        <v>63.0460333006856</v>
      </c>
      <c r="H207" s="44">
        <f t="shared" si="28"/>
        <v>91.76051318602994</v>
      </c>
      <c r="I207" s="119"/>
    </row>
    <row r="208" spans="1:9" ht="12.75">
      <c r="A208" s="51">
        <v>7500</v>
      </c>
      <c r="B208" s="5">
        <v>6409</v>
      </c>
      <c r="C208" s="15" t="s">
        <v>263</v>
      </c>
      <c r="D208" s="6"/>
      <c r="E208" s="6">
        <v>600</v>
      </c>
      <c r="F208" s="6">
        <v>483</v>
      </c>
      <c r="G208" s="273">
        <f t="shared" si="27"/>
        <v>0</v>
      </c>
      <c r="H208" s="44">
        <f t="shared" si="28"/>
        <v>80.5</v>
      </c>
      <c r="I208" s="119"/>
    </row>
    <row r="209" spans="1:8" ht="12.75">
      <c r="A209" s="30" t="s">
        <v>98</v>
      </c>
      <c r="B209" s="5"/>
      <c r="C209" s="15"/>
      <c r="D209" s="36">
        <f>SUBTOTAL(9,D207:D208)</f>
        <v>10210</v>
      </c>
      <c r="E209" s="36">
        <f>SUBTOTAL(9,E207:E208)</f>
        <v>7615</v>
      </c>
      <c r="F209" s="36">
        <f>SUBTOTAL(9,F207:F208)</f>
        <v>6920</v>
      </c>
      <c r="G209" s="274">
        <f t="shared" si="27"/>
        <v>67.77668952007836</v>
      </c>
      <c r="H209" s="46">
        <f t="shared" si="28"/>
        <v>90.87327642810243</v>
      </c>
    </row>
    <row r="210" spans="1:8" ht="10.5" customHeight="1">
      <c r="A210" s="30"/>
      <c r="B210" s="5"/>
      <c r="C210" s="15"/>
      <c r="D210" s="36"/>
      <c r="E210" s="36"/>
      <c r="F210" s="36"/>
      <c r="G210" s="274">
        <f t="shared" si="27"/>
        <v>0</v>
      </c>
      <c r="H210" s="46">
        <f t="shared" si="28"/>
        <v>0</v>
      </c>
    </row>
    <row r="211" spans="1:8" ht="12.75">
      <c r="A211" s="30" t="s">
        <v>30</v>
      </c>
      <c r="B211" s="5"/>
      <c r="C211" s="15"/>
      <c r="D211" s="36"/>
      <c r="E211" s="36"/>
      <c r="F211" s="36"/>
      <c r="G211" s="274">
        <f t="shared" si="27"/>
        <v>0</v>
      </c>
      <c r="H211" s="46">
        <f t="shared" si="28"/>
        <v>0</v>
      </c>
    </row>
    <row r="212" spans="1:8" ht="12.75">
      <c r="A212" s="51">
        <v>8200</v>
      </c>
      <c r="B212" s="5">
        <v>1014</v>
      </c>
      <c r="C212" s="10" t="s">
        <v>169</v>
      </c>
      <c r="D212" s="9">
        <v>16011</v>
      </c>
      <c r="E212" s="9">
        <v>16028</v>
      </c>
      <c r="F212" s="9">
        <v>13624</v>
      </c>
      <c r="G212" s="273">
        <f t="shared" si="27"/>
        <v>85.0914995940291</v>
      </c>
      <c r="H212" s="44">
        <f t="shared" si="28"/>
        <v>85.00124781632144</v>
      </c>
    </row>
    <row r="213" spans="1:8" ht="12.75">
      <c r="A213" s="51">
        <v>8200</v>
      </c>
      <c r="B213" s="5" t="s">
        <v>31</v>
      </c>
      <c r="C213" s="15" t="s">
        <v>32</v>
      </c>
      <c r="D213" s="6">
        <v>340429</v>
      </c>
      <c r="E213" s="6">
        <v>341451</v>
      </c>
      <c r="F213" s="6">
        <v>329013</v>
      </c>
      <c r="G213" s="273">
        <f t="shared" si="27"/>
        <v>96.64658416292384</v>
      </c>
      <c r="H213" s="44">
        <f t="shared" si="28"/>
        <v>96.35731041935739</v>
      </c>
    </row>
    <row r="214" spans="1:8" ht="12.75">
      <c r="A214" s="51">
        <v>8200</v>
      </c>
      <c r="B214" s="5">
        <v>5319</v>
      </c>
      <c r="C214" s="15" t="s">
        <v>193</v>
      </c>
      <c r="D214" s="6">
        <v>654</v>
      </c>
      <c r="E214" s="6">
        <v>1653</v>
      </c>
      <c r="F214" s="6">
        <v>1626</v>
      </c>
      <c r="G214" s="273">
        <f t="shared" si="27"/>
        <v>248.62385321100916</v>
      </c>
      <c r="H214" s="44">
        <f t="shared" si="28"/>
        <v>98.36660617059891</v>
      </c>
    </row>
    <row r="215" spans="1:9" ht="12.75">
      <c r="A215" s="51">
        <v>8200</v>
      </c>
      <c r="B215" s="5">
        <v>6399</v>
      </c>
      <c r="C215" s="15" t="s">
        <v>81</v>
      </c>
      <c r="D215" s="6"/>
      <c r="E215" s="6"/>
      <c r="F215" s="6">
        <v>2310</v>
      </c>
      <c r="G215" s="273"/>
      <c r="H215" s="44"/>
      <c r="I215" s="324"/>
    </row>
    <row r="216" spans="1:8" ht="12.75">
      <c r="A216" s="30" t="s">
        <v>28</v>
      </c>
      <c r="B216" s="5"/>
      <c r="C216" s="15"/>
      <c r="D216" s="36">
        <f>SUBTOTAL(9,D212:D215)</f>
        <v>357094</v>
      </c>
      <c r="E216" s="36">
        <f>SUBTOTAL(9,E212:E215)</f>
        <v>359132</v>
      </c>
      <c r="F216" s="36">
        <f>SUBTOTAL(9,F212:F215)</f>
        <v>346573</v>
      </c>
      <c r="G216" s="274">
        <f t="shared" si="27"/>
        <v>97.05371694847855</v>
      </c>
      <c r="H216" s="46">
        <f t="shared" si="28"/>
        <v>96.50295712996892</v>
      </c>
    </row>
    <row r="217" spans="1:8" ht="7.5" customHeight="1">
      <c r="A217" s="311"/>
      <c r="B217" s="312"/>
      <c r="C217" s="313"/>
      <c r="D217" s="62"/>
      <c r="E217" s="62"/>
      <c r="F217" s="314"/>
      <c r="G217" s="276"/>
      <c r="H217" s="64"/>
    </row>
    <row r="218" spans="1:8" ht="12.75">
      <c r="A218" s="68" t="s">
        <v>297</v>
      </c>
      <c r="B218" s="17"/>
      <c r="C218" s="10"/>
      <c r="D218" s="36"/>
      <c r="E218" s="36"/>
      <c r="F218" s="37"/>
      <c r="G218" s="45">
        <f aca="true" t="shared" si="33" ref="G218:H220">IF(D218&lt;=0,0,$F218/D218*100)</f>
        <v>0</v>
      </c>
      <c r="H218" s="46">
        <f t="shared" si="33"/>
        <v>0</v>
      </c>
    </row>
    <row r="219" spans="1:8" ht="12.75">
      <c r="A219" s="51">
        <v>8887</v>
      </c>
      <c r="B219" s="5">
        <v>6399</v>
      </c>
      <c r="C219" s="15" t="s">
        <v>81</v>
      </c>
      <c r="D219" s="6"/>
      <c r="E219" s="6"/>
      <c r="F219" s="315">
        <v>2707</v>
      </c>
      <c r="G219" s="273">
        <f t="shared" si="33"/>
        <v>0</v>
      </c>
      <c r="H219" s="44">
        <f t="shared" si="33"/>
        <v>0</v>
      </c>
    </row>
    <row r="220" spans="1:8" ht="12.75">
      <c r="A220" s="30" t="s">
        <v>277</v>
      </c>
      <c r="B220" s="5"/>
      <c r="C220" s="15"/>
      <c r="D220" s="36">
        <f>SUBTOTAL(9,D219:D219)</f>
        <v>0</v>
      </c>
      <c r="E220" s="36">
        <f>SUBTOTAL(9,E219:E219)</f>
        <v>0</v>
      </c>
      <c r="F220" s="36">
        <f>SUBTOTAL(9,F219:F219)</f>
        <v>2707</v>
      </c>
      <c r="G220" s="316">
        <f t="shared" si="33"/>
        <v>0</v>
      </c>
      <c r="H220" s="46">
        <f t="shared" si="33"/>
        <v>0</v>
      </c>
    </row>
    <row r="221" spans="1:8" ht="12" customHeight="1" thickBot="1">
      <c r="A221" s="25"/>
      <c r="B221" s="26"/>
      <c r="C221" s="27"/>
      <c r="D221" s="38"/>
      <c r="E221" s="38"/>
      <c r="F221" s="54"/>
      <c r="G221" s="278">
        <f>IF(D221&lt;=0,0,$F221/D221*100)</f>
        <v>0</v>
      </c>
      <c r="H221" s="56">
        <f>IF(E221&lt;=0,0,$F221/E221*100)</f>
        <v>0</v>
      </c>
    </row>
    <row r="222" spans="1:8" ht="16.5" thickBot="1">
      <c r="A222" s="72" t="s">
        <v>303</v>
      </c>
      <c r="B222" s="58"/>
      <c r="C222" s="59"/>
      <c r="D222" s="57">
        <f>SUBTOTAL(9,D2:D221)</f>
        <v>7802445</v>
      </c>
      <c r="E222" s="57">
        <f>SUBTOTAL(9,E2:E221)</f>
        <v>8185039</v>
      </c>
      <c r="F222" s="57">
        <f>SUBTOTAL(9,F2:F221)</f>
        <v>7731879</v>
      </c>
      <c r="G222" s="239">
        <f>IF(D222&lt;=0,0,$F222/D222*100)</f>
        <v>99.09559118968477</v>
      </c>
      <c r="H222" s="240">
        <f>IF(E222&lt;=0,0,$F222/E222*100)</f>
        <v>94.4635572292325</v>
      </c>
    </row>
    <row r="224" spans="5:6" ht="12.75">
      <c r="E224" s="118"/>
      <c r="F224" s="321"/>
    </row>
    <row r="225" spans="5:6" ht="12.75">
      <c r="E225" s="118"/>
      <c r="F225" s="118"/>
    </row>
  </sheetData>
  <sheetProtection/>
  <mergeCells count="1">
    <mergeCell ref="A17:C17"/>
  </mergeCells>
  <printOptions/>
  <pageMargins left="0.6299212598425197" right="0.7874015748031497" top="0.9055118110236221" bottom="0.7480314960629921" header="0.5118110236220472" footer="0.5118110236220472"/>
  <pageSetup fitToHeight="0" horizontalDpi="600" verticalDpi="600" orientation="portrait" paperSize="9" scale="78" r:id="rId1"/>
  <headerFooter alignWithMargins="0">
    <oddHeader>&amp;C&amp;"Times New Roman CE,Tučné"&amp;14Čerpání rozpočtu běžných výdajů města k 31.12.2014 (v tis. Kč)</oddHeader>
  </headerFooter>
  <rowBreaks count="2" manualBreakCount="2">
    <brk id="75" max="7" man="1"/>
    <brk id="1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47"/>
  <sheetViews>
    <sheetView showZeros="0" zoomScalePageLayoutView="0" workbookViewId="0" topLeftCell="A1">
      <selection activeCell="A1046" sqref="A1046"/>
    </sheetView>
  </sheetViews>
  <sheetFormatPr defaultColWidth="9.00390625" defaultRowHeight="12.75"/>
  <cols>
    <col min="1" max="1" width="4.875" style="334" customWidth="1"/>
    <col min="2" max="2" width="4.875" style="611" customWidth="1"/>
    <col min="3" max="3" width="5.125" style="611" customWidth="1"/>
    <col min="4" max="4" width="42.875" style="612" customWidth="1"/>
    <col min="5" max="5" width="5.25390625" style="611" customWidth="1"/>
    <col min="6" max="6" width="46.375" style="612" customWidth="1"/>
    <col min="7" max="7" width="17.25390625" style="612" customWidth="1"/>
    <col min="8" max="8" width="11.00390625" style="334" customWidth="1"/>
    <col min="9" max="9" width="8.75390625" style="334" customWidth="1"/>
    <col min="10" max="10" width="9.625" style="334" customWidth="1"/>
    <col min="11" max="11" width="8.75390625" style="334" customWidth="1"/>
    <col min="12" max="12" width="7.875" style="334" customWidth="1"/>
    <col min="13" max="13" width="9.125" style="334" customWidth="1"/>
    <col min="14" max="18" width="0" style="334" hidden="1" customWidth="1"/>
    <col min="19" max="16384" width="9.125" style="334" customWidth="1"/>
  </cols>
  <sheetData>
    <row r="1" spans="1:12" ht="13.5" thickBot="1">
      <c r="A1" s="326" t="s">
        <v>307</v>
      </c>
      <c r="B1" s="327" t="s">
        <v>226</v>
      </c>
      <c r="C1" s="328" t="s">
        <v>0</v>
      </c>
      <c r="D1" s="328" t="s">
        <v>3</v>
      </c>
      <c r="E1" s="328" t="s">
        <v>100</v>
      </c>
      <c r="F1" s="328" t="s">
        <v>101</v>
      </c>
      <c r="G1" s="329" t="s">
        <v>308</v>
      </c>
      <c r="H1" s="330" t="s">
        <v>245</v>
      </c>
      <c r="I1" s="330" t="s">
        <v>309</v>
      </c>
      <c r="J1" s="331" t="s">
        <v>310</v>
      </c>
      <c r="K1" s="332" t="s">
        <v>311</v>
      </c>
      <c r="L1" s="333" t="s">
        <v>312</v>
      </c>
    </row>
    <row r="2" spans="1:12" ht="15.75">
      <c r="A2" s="326">
        <v>1</v>
      </c>
      <c r="B2" s="335" t="s">
        <v>43</v>
      </c>
      <c r="C2" s="259"/>
      <c r="D2" s="259"/>
      <c r="E2" s="259"/>
      <c r="F2" s="259"/>
      <c r="G2" s="336"/>
      <c r="H2" s="337">
        <v>0</v>
      </c>
      <c r="I2" s="337"/>
      <c r="J2" s="338"/>
      <c r="K2" s="339"/>
      <c r="L2" s="340"/>
    </row>
    <row r="3" spans="1:14" ht="12.75" customHeight="1">
      <c r="A3" s="326">
        <f>A2+1</f>
        <v>2</v>
      </c>
      <c r="B3" s="341">
        <v>1700</v>
      </c>
      <c r="C3" s="342">
        <v>3511</v>
      </c>
      <c r="D3" s="342" t="s">
        <v>13</v>
      </c>
      <c r="E3" s="342">
        <v>5429</v>
      </c>
      <c r="F3" s="259" t="s">
        <v>313</v>
      </c>
      <c r="G3" s="336"/>
      <c r="H3" s="337">
        <v>500</v>
      </c>
      <c r="I3" s="337">
        <v>500</v>
      </c>
      <c r="J3" s="338">
        <v>250</v>
      </c>
      <c r="K3" s="339">
        <f>J3-I3</f>
        <v>-250</v>
      </c>
      <c r="L3" s="343">
        <f>J3/I3*100</f>
        <v>50</v>
      </c>
      <c r="N3" s="344">
        <f>I3-J3+K3</f>
        <v>0</v>
      </c>
    </row>
    <row r="4" spans="1:14" ht="12.75" customHeight="1">
      <c r="A4" s="326">
        <f aca="true" t="shared" si="0" ref="A4:A67">A3+1</f>
        <v>3</v>
      </c>
      <c r="B4" s="345"/>
      <c r="C4" s="346" t="s">
        <v>314</v>
      </c>
      <c r="D4" s="346"/>
      <c r="E4" s="346"/>
      <c r="F4" s="347"/>
      <c r="G4" s="348"/>
      <c r="H4" s="349">
        <f>SUBTOTAL(9,H3:H3)</f>
        <v>500</v>
      </c>
      <c r="I4" s="349">
        <f>SUBTOTAL(9,I3:I3)</f>
        <v>500</v>
      </c>
      <c r="J4" s="349">
        <f>SUBTOTAL(9,J3:J3)</f>
        <v>250</v>
      </c>
      <c r="K4" s="350">
        <f aca="true" t="shared" si="1" ref="K4:K25">J4-I4</f>
        <v>-250</v>
      </c>
      <c r="L4" s="351">
        <f aca="true" t="shared" si="2" ref="L4:L25">J4/I4*100</f>
        <v>50</v>
      </c>
      <c r="N4" s="344">
        <f aca="true" t="shared" si="3" ref="N4:N67">I4-J4+K4</f>
        <v>0</v>
      </c>
    </row>
    <row r="5" spans="1:14" ht="12.75" customHeight="1">
      <c r="A5" s="326">
        <f t="shared" si="0"/>
        <v>4</v>
      </c>
      <c r="B5" s="341">
        <v>1700</v>
      </c>
      <c r="C5" s="342">
        <v>6171</v>
      </c>
      <c r="D5" s="342" t="s">
        <v>25</v>
      </c>
      <c r="E5" s="342">
        <v>5166</v>
      </c>
      <c r="F5" s="259" t="s">
        <v>315</v>
      </c>
      <c r="G5" s="336"/>
      <c r="H5" s="337">
        <v>1105</v>
      </c>
      <c r="I5" s="337">
        <v>1005</v>
      </c>
      <c r="J5" s="338">
        <v>876</v>
      </c>
      <c r="K5" s="339">
        <f t="shared" si="1"/>
        <v>-129</v>
      </c>
      <c r="L5" s="343">
        <f t="shared" si="2"/>
        <v>87.16417910447761</v>
      </c>
      <c r="N5" s="344">
        <f t="shared" si="3"/>
        <v>0</v>
      </c>
    </row>
    <row r="6" spans="1:14" ht="12.75" customHeight="1">
      <c r="A6" s="326">
        <f t="shared" si="0"/>
        <v>5</v>
      </c>
      <c r="B6" s="341">
        <v>1700</v>
      </c>
      <c r="C6" s="342">
        <v>6171</v>
      </c>
      <c r="D6" s="342" t="s">
        <v>25</v>
      </c>
      <c r="E6" s="342">
        <v>5169</v>
      </c>
      <c r="F6" s="259" t="s">
        <v>316</v>
      </c>
      <c r="G6" s="336"/>
      <c r="H6" s="337">
        <v>6600</v>
      </c>
      <c r="I6" s="337">
        <v>6600</v>
      </c>
      <c r="J6" s="338">
        <v>4857</v>
      </c>
      <c r="K6" s="339">
        <f t="shared" si="1"/>
        <v>-1743</v>
      </c>
      <c r="L6" s="343">
        <f t="shared" si="2"/>
        <v>73.5909090909091</v>
      </c>
      <c r="N6" s="344">
        <f t="shared" si="3"/>
        <v>0</v>
      </c>
    </row>
    <row r="7" spans="1:14" ht="12.75" customHeight="1">
      <c r="A7" s="326">
        <f t="shared" si="0"/>
        <v>6</v>
      </c>
      <c r="B7" s="341">
        <v>1700</v>
      </c>
      <c r="C7" s="342">
        <v>6171</v>
      </c>
      <c r="D7" s="342" t="s">
        <v>25</v>
      </c>
      <c r="E7" s="342">
        <v>5363</v>
      </c>
      <c r="F7" s="259" t="s">
        <v>317</v>
      </c>
      <c r="G7" s="336"/>
      <c r="H7" s="337"/>
      <c r="I7" s="337"/>
      <c r="J7" s="338">
        <v>2220</v>
      </c>
      <c r="K7" s="339">
        <f t="shared" si="1"/>
        <v>2220</v>
      </c>
      <c r="L7" s="343"/>
      <c r="N7" s="344">
        <f t="shared" si="3"/>
        <v>0</v>
      </c>
    </row>
    <row r="8" spans="1:14" ht="12.75" customHeight="1">
      <c r="A8" s="326">
        <f t="shared" si="0"/>
        <v>7</v>
      </c>
      <c r="B8" s="341">
        <v>1700</v>
      </c>
      <c r="C8" s="342">
        <v>6171</v>
      </c>
      <c r="D8" s="342" t="s">
        <v>25</v>
      </c>
      <c r="E8" s="342">
        <v>5909</v>
      </c>
      <c r="F8" s="259" t="s">
        <v>318</v>
      </c>
      <c r="G8" s="336"/>
      <c r="H8" s="337"/>
      <c r="I8" s="337">
        <v>100</v>
      </c>
      <c r="J8" s="338"/>
      <c r="K8" s="339">
        <f t="shared" si="1"/>
        <v>-100</v>
      </c>
      <c r="L8" s="343">
        <f t="shared" si="2"/>
        <v>0</v>
      </c>
      <c r="N8" s="344">
        <f t="shared" si="3"/>
        <v>0</v>
      </c>
    </row>
    <row r="9" spans="1:14" ht="12.75" customHeight="1">
      <c r="A9" s="326">
        <f t="shared" si="0"/>
        <v>8</v>
      </c>
      <c r="B9" s="345"/>
      <c r="C9" s="346" t="s">
        <v>319</v>
      </c>
      <c r="D9" s="346"/>
      <c r="E9" s="346"/>
      <c r="F9" s="347"/>
      <c r="G9" s="348"/>
      <c r="H9" s="349">
        <f>SUBTOTAL(9,H5:H8)</f>
        <v>7705</v>
      </c>
      <c r="I9" s="349">
        <f>SUBTOTAL(9,I5:I8)</f>
        <v>7705</v>
      </c>
      <c r="J9" s="352">
        <f>SUBTOTAL(9,J5:J8)</f>
        <v>7953</v>
      </c>
      <c r="K9" s="350">
        <f t="shared" si="1"/>
        <v>248</v>
      </c>
      <c r="L9" s="351">
        <f t="shared" si="2"/>
        <v>103.21868916288123</v>
      </c>
      <c r="N9" s="344">
        <f t="shared" si="3"/>
        <v>0</v>
      </c>
    </row>
    <row r="10" spans="1:14" ht="12.75" customHeight="1">
      <c r="A10" s="326">
        <f t="shared" si="0"/>
        <v>9</v>
      </c>
      <c r="B10" s="341">
        <v>1700</v>
      </c>
      <c r="C10" s="342">
        <v>6310</v>
      </c>
      <c r="D10" s="353" t="s">
        <v>136</v>
      </c>
      <c r="E10" s="342">
        <v>5141</v>
      </c>
      <c r="F10" s="342" t="s">
        <v>320</v>
      </c>
      <c r="G10" s="354"/>
      <c r="H10" s="337">
        <v>224000</v>
      </c>
      <c r="I10" s="337">
        <v>124000</v>
      </c>
      <c r="J10" s="338">
        <v>29550</v>
      </c>
      <c r="K10" s="339">
        <f t="shared" si="1"/>
        <v>-94450</v>
      </c>
      <c r="L10" s="343">
        <f t="shared" si="2"/>
        <v>23.830645161290324</v>
      </c>
      <c r="N10" s="344">
        <f t="shared" si="3"/>
        <v>0</v>
      </c>
    </row>
    <row r="11" spans="1:14" ht="12.75" customHeight="1">
      <c r="A11" s="326">
        <f t="shared" si="0"/>
        <v>10</v>
      </c>
      <c r="B11" s="341">
        <v>1700</v>
      </c>
      <c r="C11" s="342">
        <v>6310</v>
      </c>
      <c r="D11" s="353" t="s">
        <v>136</v>
      </c>
      <c r="E11" s="342">
        <v>5142</v>
      </c>
      <c r="F11" s="342" t="s">
        <v>321</v>
      </c>
      <c r="G11" s="354"/>
      <c r="H11" s="337">
        <v>200</v>
      </c>
      <c r="I11" s="337">
        <v>200</v>
      </c>
      <c r="J11" s="338">
        <v>58</v>
      </c>
      <c r="K11" s="339">
        <f t="shared" si="1"/>
        <v>-142</v>
      </c>
      <c r="L11" s="343">
        <f t="shared" si="2"/>
        <v>28.999999999999996</v>
      </c>
      <c r="N11" s="344">
        <f t="shared" si="3"/>
        <v>0</v>
      </c>
    </row>
    <row r="12" spans="1:14" ht="12.75" customHeight="1">
      <c r="A12" s="326">
        <f t="shared" si="0"/>
        <v>11</v>
      </c>
      <c r="B12" s="341">
        <v>1700</v>
      </c>
      <c r="C12" s="342">
        <v>6310</v>
      </c>
      <c r="D12" s="353" t="s">
        <v>136</v>
      </c>
      <c r="E12" s="342">
        <v>5147</v>
      </c>
      <c r="F12" s="353" t="s">
        <v>322</v>
      </c>
      <c r="G12" s="354"/>
      <c r="H12" s="337"/>
      <c r="I12" s="337">
        <v>100000</v>
      </c>
      <c r="J12" s="338">
        <v>46351</v>
      </c>
      <c r="K12" s="339">
        <f t="shared" si="1"/>
        <v>-53649</v>
      </c>
      <c r="L12" s="343">
        <f t="shared" si="2"/>
        <v>46.351</v>
      </c>
      <c r="N12" s="344">
        <f t="shared" si="3"/>
        <v>0</v>
      </c>
    </row>
    <row r="13" spans="1:14" ht="12.75" customHeight="1">
      <c r="A13" s="326">
        <f t="shared" si="0"/>
        <v>12</v>
      </c>
      <c r="B13" s="341">
        <v>1700</v>
      </c>
      <c r="C13" s="342">
        <v>6310</v>
      </c>
      <c r="D13" s="353" t="s">
        <v>136</v>
      </c>
      <c r="E13" s="342">
        <v>5163</v>
      </c>
      <c r="F13" s="342" t="s">
        <v>323</v>
      </c>
      <c r="G13" s="354"/>
      <c r="H13" s="337">
        <v>1100</v>
      </c>
      <c r="I13" s="337">
        <v>1100</v>
      </c>
      <c r="J13" s="338">
        <v>796</v>
      </c>
      <c r="K13" s="339">
        <f t="shared" si="1"/>
        <v>-304</v>
      </c>
      <c r="L13" s="343">
        <f t="shared" si="2"/>
        <v>72.36363636363636</v>
      </c>
      <c r="N13" s="344">
        <f t="shared" si="3"/>
        <v>0</v>
      </c>
    </row>
    <row r="14" spans="1:14" ht="12.75" customHeight="1">
      <c r="A14" s="326">
        <f t="shared" si="0"/>
        <v>13</v>
      </c>
      <c r="B14" s="345"/>
      <c r="C14" s="346" t="s">
        <v>324</v>
      </c>
      <c r="D14" s="346"/>
      <c r="E14" s="346"/>
      <c r="F14" s="346"/>
      <c r="G14" s="355"/>
      <c r="H14" s="349">
        <f>SUBTOTAL(9,H10:H13)</f>
        <v>225300</v>
      </c>
      <c r="I14" s="349">
        <f>SUBTOTAL(9,I10:I13)</f>
        <v>225300</v>
      </c>
      <c r="J14" s="349">
        <f>SUBTOTAL(9,J10:J13)</f>
        <v>76755</v>
      </c>
      <c r="K14" s="350">
        <f t="shared" si="1"/>
        <v>-148545</v>
      </c>
      <c r="L14" s="351">
        <f t="shared" si="2"/>
        <v>34.06790945406125</v>
      </c>
      <c r="N14" s="344">
        <f t="shared" si="3"/>
        <v>0</v>
      </c>
    </row>
    <row r="15" spans="1:14" ht="12.75" customHeight="1">
      <c r="A15" s="326">
        <f t="shared" si="0"/>
        <v>14</v>
      </c>
      <c r="B15" s="341">
        <v>1700</v>
      </c>
      <c r="C15" s="342">
        <v>6399</v>
      </c>
      <c r="D15" s="356" t="s">
        <v>81</v>
      </c>
      <c r="E15" s="342">
        <v>5362</v>
      </c>
      <c r="F15" s="259" t="s">
        <v>325</v>
      </c>
      <c r="G15" s="354"/>
      <c r="H15" s="337">
        <v>350000</v>
      </c>
      <c r="I15" s="337">
        <v>204249</v>
      </c>
      <c r="J15" s="338">
        <v>204249</v>
      </c>
      <c r="K15" s="339">
        <f t="shared" si="1"/>
        <v>0</v>
      </c>
      <c r="L15" s="343">
        <f t="shared" si="2"/>
        <v>100</v>
      </c>
      <c r="N15" s="344">
        <f t="shared" si="3"/>
        <v>0</v>
      </c>
    </row>
    <row r="16" spans="1:14" ht="12.75" customHeight="1">
      <c r="A16" s="326">
        <f t="shared" si="0"/>
        <v>15</v>
      </c>
      <c r="B16" s="341">
        <v>1700</v>
      </c>
      <c r="C16" s="342">
        <v>6399</v>
      </c>
      <c r="D16" s="356" t="s">
        <v>81</v>
      </c>
      <c r="E16" s="342">
        <v>5909</v>
      </c>
      <c r="F16" s="259" t="s">
        <v>318</v>
      </c>
      <c r="G16" s="354"/>
      <c r="H16" s="337"/>
      <c r="I16" s="337"/>
      <c r="J16" s="338">
        <v>305</v>
      </c>
      <c r="K16" s="339">
        <f t="shared" si="1"/>
        <v>305</v>
      </c>
      <c r="L16" s="343"/>
      <c r="N16" s="344">
        <f t="shared" si="3"/>
        <v>0</v>
      </c>
    </row>
    <row r="17" spans="1:14" ht="12.75" customHeight="1">
      <c r="A17" s="326">
        <f t="shared" si="0"/>
        <v>16</v>
      </c>
      <c r="B17" s="345"/>
      <c r="C17" s="346" t="s">
        <v>326</v>
      </c>
      <c r="D17" s="346"/>
      <c r="E17" s="346"/>
      <c r="F17" s="357"/>
      <c r="G17" s="358"/>
      <c r="H17" s="349">
        <f>SUBTOTAL(9,H15:H16)</f>
        <v>350000</v>
      </c>
      <c r="I17" s="349">
        <f>SUBTOTAL(9,I15:I16)</f>
        <v>204249</v>
      </c>
      <c r="J17" s="349">
        <f>SUBTOTAL(9,J15:J16)</f>
        <v>204554</v>
      </c>
      <c r="K17" s="350">
        <f t="shared" si="1"/>
        <v>305</v>
      </c>
      <c r="L17" s="351">
        <f t="shared" si="2"/>
        <v>100.14932753648733</v>
      </c>
      <c r="N17" s="344">
        <f t="shared" si="3"/>
        <v>0</v>
      </c>
    </row>
    <row r="18" spans="1:14" ht="12.75" customHeight="1">
      <c r="A18" s="326">
        <f t="shared" si="0"/>
        <v>17</v>
      </c>
      <c r="B18" s="341">
        <v>1700</v>
      </c>
      <c r="C18" s="342">
        <v>6402</v>
      </c>
      <c r="D18" s="67" t="s">
        <v>96</v>
      </c>
      <c r="E18" s="342">
        <v>5366</v>
      </c>
      <c r="F18" s="359" t="s">
        <v>327</v>
      </c>
      <c r="G18" s="360"/>
      <c r="H18" s="361"/>
      <c r="I18" s="361">
        <v>878</v>
      </c>
      <c r="J18" s="361">
        <v>877</v>
      </c>
      <c r="K18" s="362">
        <f t="shared" si="1"/>
        <v>-1</v>
      </c>
      <c r="L18" s="363">
        <f t="shared" si="2"/>
        <v>99.88610478359908</v>
      </c>
      <c r="N18" s="344">
        <f t="shared" si="3"/>
        <v>0</v>
      </c>
    </row>
    <row r="19" spans="1:14" ht="12.75" customHeight="1">
      <c r="A19" s="326">
        <f t="shared" si="0"/>
        <v>18</v>
      </c>
      <c r="B19" s="341">
        <v>1700</v>
      </c>
      <c r="C19" s="342">
        <v>6402</v>
      </c>
      <c r="D19" s="67" t="s">
        <v>96</v>
      </c>
      <c r="E19" s="342">
        <v>5367</v>
      </c>
      <c r="F19" s="359" t="s">
        <v>328</v>
      </c>
      <c r="G19" s="360"/>
      <c r="H19" s="361"/>
      <c r="I19" s="361">
        <v>117873</v>
      </c>
      <c r="J19" s="361">
        <v>117873</v>
      </c>
      <c r="K19" s="339">
        <f t="shared" si="1"/>
        <v>0</v>
      </c>
      <c r="L19" s="363">
        <f t="shared" si="2"/>
        <v>100</v>
      </c>
      <c r="N19" s="344">
        <f t="shared" si="3"/>
        <v>0</v>
      </c>
    </row>
    <row r="20" spans="1:14" ht="12.75" customHeight="1">
      <c r="A20" s="326">
        <f t="shared" si="0"/>
        <v>19</v>
      </c>
      <c r="B20" s="341">
        <v>1700</v>
      </c>
      <c r="C20" s="342">
        <v>6402</v>
      </c>
      <c r="D20" s="67" t="s">
        <v>96</v>
      </c>
      <c r="E20" s="342">
        <v>5902</v>
      </c>
      <c r="F20" s="359" t="s">
        <v>329</v>
      </c>
      <c r="G20" s="360"/>
      <c r="H20" s="361"/>
      <c r="I20" s="361">
        <v>1</v>
      </c>
      <c r="J20" s="361">
        <v>1</v>
      </c>
      <c r="K20" s="339">
        <f t="shared" si="1"/>
        <v>0</v>
      </c>
      <c r="L20" s="363">
        <f t="shared" si="2"/>
        <v>100</v>
      </c>
      <c r="N20" s="344">
        <f t="shared" si="3"/>
        <v>0</v>
      </c>
    </row>
    <row r="21" spans="1:14" ht="12.75" customHeight="1">
      <c r="A21" s="326">
        <f t="shared" si="0"/>
        <v>20</v>
      </c>
      <c r="B21" s="345"/>
      <c r="C21" s="346" t="s">
        <v>330</v>
      </c>
      <c r="D21" s="346"/>
      <c r="E21" s="346"/>
      <c r="F21" s="357"/>
      <c r="G21" s="355"/>
      <c r="H21" s="352">
        <f>SUBTOTAL(9,H19:H20)</f>
        <v>0</v>
      </c>
      <c r="I21" s="352">
        <f>SUBTOTAL(9,I18:I20)</f>
        <v>118752</v>
      </c>
      <c r="J21" s="352">
        <f>SUBTOTAL(9,J18:J20)</f>
        <v>118751</v>
      </c>
      <c r="K21" s="364">
        <f t="shared" si="1"/>
        <v>-1</v>
      </c>
      <c r="L21" s="365">
        <f t="shared" si="2"/>
        <v>99.99915790891943</v>
      </c>
      <c r="N21" s="344">
        <f t="shared" si="3"/>
        <v>0</v>
      </c>
    </row>
    <row r="22" spans="1:14" ht="12.75" customHeight="1">
      <c r="A22" s="326">
        <f t="shared" si="0"/>
        <v>21</v>
      </c>
      <c r="B22" s="341">
        <v>1700</v>
      </c>
      <c r="C22" s="342">
        <v>6409</v>
      </c>
      <c r="D22" s="342" t="s">
        <v>281</v>
      </c>
      <c r="E22" s="342">
        <v>5321</v>
      </c>
      <c r="F22" s="356" t="s">
        <v>331</v>
      </c>
      <c r="G22" s="354"/>
      <c r="H22" s="337">
        <v>1027931</v>
      </c>
      <c r="I22" s="337">
        <v>1071761</v>
      </c>
      <c r="J22" s="338">
        <v>1071760</v>
      </c>
      <c r="K22" s="339">
        <f t="shared" si="1"/>
        <v>-1</v>
      </c>
      <c r="L22" s="343">
        <f t="shared" si="2"/>
        <v>99.9999066956159</v>
      </c>
      <c r="N22" s="344">
        <f t="shared" si="3"/>
        <v>0</v>
      </c>
    </row>
    <row r="23" spans="1:14" ht="12.75" customHeight="1">
      <c r="A23" s="326">
        <f t="shared" si="0"/>
        <v>22</v>
      </c>
      <c r="B23" s="341">
        <v>1700</v>
      </c>
      <c r="C23" s="342">
        <v>6409</v>
      </c>
      <c r="D23" s="342" t="s">
        <v>281</v>
      </c>
      <c r="E23" s="342">
        <v>5901</v>
      </c>
      <c r="F23" s="342" t="s">
        <v>332</v>
      </c>
      <c r="G23" s="354"/>
      <c r="H23" s="337">
        <v>10950</v>
      </c>
      <c r="I23" s="337">
        <v>5965</v>
      </c>
      <c r="J23" s="338"/>
      <c r="K23" s="339">
        <f t="shared" si="1"/>
        <v>-5965</v>
      </c>
      <c r="L23" s="343">
        <f t="shared" si="2"/>
        <v>0</v>
      </c>
      <c r="N23" s="344">
        <f t="shared" si="3"/>
        <v>0</v>
      </c>
    </row>
    <row r="24" spans="1:14" ht="12.75" customHeight="1">
      <c r="A24" s="326">
        <f t="shared" si="0"/>
        <v>23</v>
      </c>
      <c r="B24" s="345"/>
      <c r="C24" s="346" t="s">
        <v>333</v>
      </c>
      <c r="D24" s="346"/>
      <c r="E24" s="346"/>
      <c r="F24" s="357"/>
      <c r="G24" s="355"/>
      <c r="H24" s="349">
        <f>SUBTOTAL(9,H22:H23)</f>
        <v>1038881</v>
      </c>
      <c r="I24" s="349">
        <f>SUBTOTAL(9,I22:I23)</f>
        <v>1077726</v>
      </c>
      <c r="J24" s="349">
        <f>SUBTOTAL(9,J22:J23)</f>
        <v>1071760</v>
      </c>
      <c r="K24" s="350">
        <f t="shared" si="1"/>
        <v>-5966</v>
      </c>
      <c r="L24" s="351">
        <f t="shared" si="2"/>
        <v>99.44642701391633</v>
      </c>
      <c r="N24" s="344">
        <f t="shared" si="3"/>
        <v>0</v>
      </c>
    </row>
    <row r="25" spans="1:14" ht="13.5" customHeight="1" thickBot="1">
      <c r="A25" s="326">
        <f t="shared" si="0"/>
        <v>24</v>
      </c>
      <c r="B25" s="366" t="s">
        <v>189</v>
      </c>
      <c r="C25" s="367"/>
      <c r="D25" s="367"/>
      <c r="E25" s="367"/>
      <c r="F25" s="367"/>
      <c r="G25" s="368"/>
      <c r="H25" s="369">
        <f>SUBTOTAL(9,H3:H24)</f>
        <v>1622386</v>
      </c>
      <c r="I25" s="369">
        <f>SUBTOTAL(9,I3:I24)</f>
        <v>1634232</v>
      </c>
      <c r="J25" s="369">
        <f>SUBTOTAL(9,J3:J24)</f>
        <v>1480023</v>
      </c>
      <c r="K25" s="370">
        <f t="shared" si="1"/>
        <v>-154209</v>
      </c>
      <c r="L25" s="371">
        <f t="shared" si="2"/>
        <v>90.56382447534989</v>
      </c>
      <c r="N25" s="344">
        <f t="shared" si="3"/>
        <v>0</v>
      </c>
    </row>
    <row r="26" spans="1:14" ht="9.75" customHeight="1">
      <c r="A26" s="326">
        <f t="shared" si="0"/>
        <v>25</v>
      </c>
      <c r="B26" s="372"/>
      <c r="C26" s="373"/>
      <c r="D26" s="373"/>
      <c r="E26" s="373"/>
      <c r="F26" s="374"/>
      <c r="G26" s="375"/>
      <c r="H26" s="376">
        <v>0</v>
      </c>
      <c r="I26" s="376"/>
      <c r="J26" s="377"/>
      <c r="K26" s="378"/>
      <c r="L26" s="379"/>
      <c r="N26" s="344">
        <f t="shared" si="3"/>
        <v>0</v>
      </c>
    </row>
    <row r="27" spans="1:14" ht="15.75">
      <c r="A27" s="326">
        <f t="shared" si="0"/>
        <v>26</v>
      </c>
      <c r="B27" s="380" t="s">
        <v>166</v>
      </c>
      <c r="C27" s="381"/>
      <c r="D27" s="381"/>
      <c r="E27" s="381"/>
      <c r="F27" s="381"/>
      <c r="G27" s="382"/>
      <c r="H27" s="383">
        <v>0</v>
      </c>
      <c r="I27" s="383"/>
      <c r="J27" s="384"/>
      <c r="K27" s="385"/>
      <c r="L27" s="386"/>
      <c r="N27" s="344">
        <f t="shared" si="3"/>
        <v>0</v>
      </c>
    </row>
    <row r="28" spans="1:14" ht="12.75" customHeight="1">
      <c r="A28" s="326">
        <f t="shared" si="0"/>
        <v>27</v>
      </c>
      <c r="B28" s="387">
        <v>1900</v>
      </c>
      <c r="C28" s="259">
        <v>2143</v>
      </c>
      <c r="D28" s="388" t="s">
        <v>185</v>
      </c>
      <c r="E28" s="259">
        <v>5169</v>
      </c>
      <c r="F28" s="389" t="s">
        <v>316</v>
      </c>
      <c r="G28" s="336"/>
      <c r="H28" s="337">
        <v>4550</v>
      </c>
      <c r="I28" s="337">
        <v>4550</v>
      </c>
      <c r="J28" s="338">
        <v>4173</v>
      </c>
      <c r="K28" s="339">
        <f aca="true" t="shared" si="4" ref="K28:K52">J28-I28</f>
        <v>-377</v>
      </c>
      <c r="L28" s="343">
        <f aca="true" t="shared" si="5" ref="L28:L52">J28/I28*100</f>
        <v>91.71428571428571</v>
      </c>
      <c r="N28" s="344">
        <f t="shared" si="3"/>
        <v>0</v>
      </c>
    </row>
    <row r="29" spans="1:14" ht="12.75" customHeight="1">
      <c r="A29" s="326">
        <f t="shared" si="0"/>
        <v>28</v>
      </c>
      <c r="B29" s="387">
        <v>1900</v>
      </c>
      <c r="C29" s="259">
        <v>2143</v>
      </c>
      <c r="D29" s="388" t="s">
        <v>185</v>
      </c>
      <c r="E29" s="259">
        <v>5175</v>
      </c>
      <c r="F29" s="389" t="s">
        <v>334</v>
      </c>
      <c r="G29" s="382"/>
      <c r="H29" s="337">
        <v>60</v>
      </c>
      <c r="I29" s="337">
        <v>60</v>
      </c>
      <c r="J29" s="338">
        <v>44</v>
      </c>
      <c r="K29" s="339">
        <f t="shared" si="4"/>
        <v>-16</v>
      </c>
      <c r="L29" s="343">
        <f t="shared" si="5"/>
        <v>73.33333333333333</v>
      </c>
      <c r="N29" s="344">
        <f t="shared" si="3"/>
        <v>0</v>
      </c>
    </row>
    <row r="30" spans="1:14" ht="12.75" customHeight="1">
      <c r="A30" s="326">
        <f t="shared" si="0"/>
        <v>29</v>
      </c>
      <c r="B30" s="387">
        <v>1900</v>
      </c>
      <c r="C30" s="259">
        <v>2143</v>
      </c>
      <c r="D30" s="388" t="s">
        <v>185</v>
      </c>
      <c r="E30" s="259">
        <v>5192</v>
      </c>
      <c r="F30" s="259" t="s">
        <v>335</v>
      </c>
      <c r="G30" s="382"/>
      <c r="H30" s="337">
        <v>3</v>
      </c>
      <c r="I30" s="337">
        <v>3</v>
      </c>
      <c r="J30" s="338"/>
      <c r="K30" s="339">
        <f t="shared" si="4"/>
        <v>-3</v>
      </c>
      <c r="L30" s="343">
        <f t="shared" si="5"/>
        <v>0</v>
      </c>
      <c r="N30" s="344">
        <f t="shared" si="3"/>
        <v>0</v>
      </c>
    </row>
    <row r="31" spans="1:14" ht="12.75" customHeight="1">
      <c r="A31" s="326">
        <f t="shared" si="0"/>
        <v>30</v>
      </c>
      <c r="B31" s="387">
        <v>1900</v>
      </c>
      <c r="C31" s="259">
        <v>2143</v>
      </c>
      <c r="D31" s="388" t="s">
        <v>185</v>
      </c>
      <c r="E31" s="259">
        <v>5229</v>
      </c>
      <c r="F31" s="389" t="s">
        <v>336</v>
      </c>
      <c r="G31" s="390"/>
      <c r="H31" s="337">
        <v>2000</v>
      </c>
      <c r="I31" s="337">
        <v>2000</v>
      </c>
      <c r="J31" s="338">
        <v>2000</v>
      </c>
      <c r="K31" s="339">
        <f t="shared" si="4"/>
        <v>0</v>
      </c>
      <c r="L31" s="343">
        <f t="shared" si="5"/>
        <v>100</v>
      </c>
      <c r="N31" s="344">
        <f t="shared" si="3"/>
        <v>0</v>
      </c>
    </row>
    <row r="32" spans="1:14" ht="12.75" customHeight="1">
      <c r="A32" s="326">
        <f t="shared" si="0"/>
        <v>31</v>
      </c>
      <c r="B32" s="387">
        <v>1900</v>
      </c>
      <c r="C32" s="259">
        <v>2143</v>
      </c>
      <c r="D32" s="388" t="s">
        <v>185</v>
      </c>
      <c r="E32" s="259">
        <v>5331</v>
      </c>
      <c r="F32" s="389" t="s">
        <v>337</v>
      </c>
      <c r="G32" s="390" t="s">
        <v>338</v>
      </c>
      <c r="H32" s="337">
        <v>44619</v>
      </c>
      <c r="I32" s="337">
        <v>47205</v>
      </c>
      <c r="J32" s="338">
        <v>47205</v>
      </c>
      <c r="K32" s="339">
        <f t="shared" si="4"/>
        <v>0</v>
      </c>
      <c r="L32" s="343">
        <f t="shared" si="5"/>
        <v>100</v>
      </c>
      <c r="N32" s="344">
        <f t="shared" si="3"/>
        <v>0</v>
      </c>
    </row>
    <row r="33" spans="1:14" ht="12.75" customHeight="1">
      <c r="A33" s="326">
        <f t="shared" si="0"/>
        <v>32</v>
      </c>
      <c r="B33" s="387">
        <v>1900</v>
      </c>
      <c r="C33" s="259">
        <v>2143</v>
      </c>
      <c r="D33" s="388" t="s">
        <v>185</v>
      </c>
      <c r="E33" s="259">
        <v>5336</v>
      </c>
      <c r="F33" s="389" t="s">
        <v>339</v>
      </c>
      <c r="G33" s="390" t="s">
        <v>338</v>
      </c>
      <c r="H33" s="337"/>
      <c r="I33" s="337">
        <v>3780</v>
      </c>
      <c r="J33" s="338">
        <v>3780</v>
      </c>
      <c r="K33" s="339">
        <f t="shared" si="4"/>
        <v>0</v>
      </c>
      <c r="L33" s="343">
        <f t="shared" si="5"/>
        <v>100</v>
      </c>
      <c r="N33" s="344">
        <f t="shared" si="3"/>
        <v>0</v>
      </c>
    </row>
    <row r="34" spans="1:14" s="394" customFormat="1" ht="12.75" customHeight="1">
      <c r="A34" s="326">
        <f t="shared" si="0"/>
        <v>33</v>
      </c>
      <c r="B34" s="391"/>
      <c r="C34" s="347" t="s">
        <v>340</v>
      </c>
      <c r="D34" s="347"/>
      <c r="E34" s="347"/>
      <c r="F34" s="347"/>
      <c r="G34" s="382"/>
      <c r="H34" s="349">
        <f>SUBTOTAL(9,H28:H33)</f>
        <v>51232</v>
      </c>
      <c r="I34" s="349">
        <f>SUBTOTAL(9,I28:I33)</f>
        <v>57598</v>
      </c>
      <c r="J34" s="349">
        <f>SUBTOTAL(9,J28:J33)</f>
        <v>57202</v>
      </c>
      <c r="K34" s="392">
        <f t="shared" si="4"/>
        <v>-396</v>
      </c>
      <c r="L34" s="393">
        <f t="shared" si="5"/>
        <v>99.31247612764332</v>
      </c>
      <c r="N34" s="344">
        <f t="shared" si="3"/>
        <v>0</v>
      </c>
    </row>
    <row r="35" spans="1:14" s="394" customFormat="1" ht="12.75" customHeight="1">
      <c r="A35" s="326">
        <f t="shared" si="0"/>
        <v>34</v>
      </c>
      <c r="B35" s="387">
        <v>1900</v>
      </c>
      <c r="C35" s="259">
        <v>3349</v>
      </c>
      <c r="D35" s="259" t="s">
        <v>57</v>
      </c>
      <c r="E35" s="342">
        <v>5136</v>
      </c>
      <c r="F35" s="259" t="s">
        <v>341</v>
      </c>
      <c r="G35" s="382"/>
      <c r="H35" s="337"/>
      <c r="I35" s="337">
        <v>5</v>
      </c>
      <c r="J35" s="338">
        <v>4</v>
      </c>
      <c r="K35" s="339">
        <f t="shared" si="4"/>
        <v>-1</v>
      </c>
      <c r="L35" s="343">
        <f t="shared" si="5"/>
        <v>80</v>
      </c>
      <c r="N35" s="344">
        <f t="shared" si="3"/>
        <v>0</v>
      </c>
    </row>
    <row r="36" spans="1:14" ht="12.75" customHeight="1">
      <c r="A36" s="326">
        <f t="shared" si="0"/>
        <v>35</v>
      </c>
      <c r="B36" s="387">
        <v>1900</v>
      </c>
      <c r="C36" s="259">
        <v>3349</v>
      </c>
      <c r="D36" s="259" t="s">
        <v>57</v>
      </c>
      <c r="E36" s="342">
        <v>5139</v>
      </c>
      <c r="F36" s="259" t="s">
        <v>342</v>
      </c>
      <c r="G36" s="382"/>
      <c r="H36" s="337">
        <v>2536</v>
      </c>
      <c r="I36" s="337">
        <v>2536</v>
      </c>
      <c r="J36" s="338">
        <v>2484</v>
      </c>
      <c r="K36" s="339">
        <f t="shared" si="4"/>
        <v>-52</v>
      </c>
      <c r="L36" s="343">
        <f t="shared" si="5"/>
        <v>97.94952681388013</v>
      </c>
      <c r="N36" s="344">
        <f t="shared" si="3"/>
        <v>0</v>
      </c>
    </row>
    <row r="37" spans="1:14" ht="12.75" customHeight="1">
      <c r="A37" s="326">
        <f t="shared" si="0"/>
        <v>36</v>
      </c>
      <c r="B37" s="387">
        <v>1900</v>
      </c>
      <c r="C37" s="259">
        <v>3349</v>
      </c>
      <c r="D37" s="259" t="s">
        <v>57</v>
      </c>
      <c r="E37" s="342">
        <v>5169</v>
      </c>
      <c r="F37" s="342" t="s">
        <v>316</v>
      </c>
      <c r="G37" s="336"/>
      <c r="H37" s="337">
        <v>14776</v>
      </c>
      <c r="I37" s="337">
        <v>15016</v>
      </c>
      <c r="J37" s="338">
        <v>14629</v>
      </c>
      <c r="K37" s="339">
        <f t="shared" si="4"/>
        <v>-387</v>
      </c>
      <c r="L37" s="343">
        <f t="shared" si="5"/>
        <v>97.42274906766116</v>
      </c>
      <c r="N37" s="344">
        <f t="shared" si="3"/>
        <v>0</v>
      </c>
    </row>
    <row r="38" spans="1:14" ht="12.75" customHeight="1">
      <c r="A38" s="326">
        <f t="shared" si="0"/>
        <v>37</v>
      </c>
      <c r="B38" s="387">
        <v>1900</v>
      </c>
      <c r="C38" s="259">
        <v>3349</v>
      </c>
      <c r="D38" s="259" t="s">
        <v>57</v>
      </c>
      <c r="E38" s="342">
        <v>5194</v>
      </c>
      <c r="F38" s="342" t="s">
        <v>343</v>
      </c>
      <c r="G38" s="382"/>
      <c r="H38" s="337">
        <v>245</v>
      </c>
      <c r="I38" s="337">
        <v>0</v>
      </c>
      <c r="J38" s="338">
        <v>0</v>
      </c>
      <c r="K38" s="339">
        <f t="shared" si="4"/>
        <v>0</v>
      </c>
      <c r="L38" s="343"/>
      <c r="N38" s="344">
        <f t="shared" si="3"/>
        <v>0</v>
      </c>
    </row>
    <row r="39" spans="1:14" ht="12.75" customHeight="1">
      <c r="A39" s="326">
        <f t="shared" si="0"/>
        <v>38</v>
      </c>
      <c r="B39" s="391"/>
      <c r="C39" s="347" t="s">
        <v>344</v>
      </c>
      <c r="D39" s="347"/>
      <c r="E39" s="347"/>
      <c r="F39" s="347"/>
      <c r="G39" s="382"/>
      <c r="H39" s="349">
        <f>SUBTOTAL(9,H35:H38)</f>
        <v>17557</v>
      </c>
      <c r="I39" s="349">
        <f>SUBTOTAL(9,I35:I38)</f>
        <v>17557</v>
      </c>
      <c r="J39" s="349">
        <f>SUBTOTAL(9,J35:J38)</f>
        <v>17117</v>
      </c>
      <c r="K39" s="392">
        <f t="shared" si="4"/>
        <v>-440</v>
      </c>
      <c r="L39" s="393">
        <f t="shared" si="5"/>
        <v>97.49387708606254</v>
      </c>
      <c r="N39" s="344">
        <f t="shared" si="3"/>
        <v>0</v>
      </c>
    </row>
    <row r="40" spans="1:14" ht="12.75" customHeight="1">
      <c r="A40" s="326">
        <f t="shared" si="0"/>
        <v>39</v>
      </c>
      <c r="B40" s="387">
        <v>1900</v>
      </c>
      <c r="C40" s="259">
        <v>3636</v>
      </c>
      <c r="D40" s="356" t="s">
        <v>165</v>
      </c>
      <c r="E40" s="259">
        <v>5041</v>
      </c>
      <c r="F40" s="259" t="s">
        <v>345</v>
      </c>
      <c r="G40" s="382"/>
      <c r="H40" s="337">
        <v>50</v>
      </c>
      <c r="I40" s="337">
        <v>50</v>
      </c>
      <c r="J40" s="338">
        <v>23</v>
      </c>
      <c r="K40" s="339">
        <f t="shared" si="4"/>
        <v>-27</v>
      </c>
      <c r="L40" s="343">
        <f t="shared" si="5"/>
        <v>46</v>
      </c>
      <c r="N40" s="344">
        <f t="shared" si="3"/>
        <v>0</v>
      </c>
    </row>
    <row r="41" spans="1:14" ht="12.75" customHeight="1">
      <c r="A41" s="326">
        <f t="shared" si="0"/>
        <v>40</v>
      </c>
      <c r="B41" s="387">
        <v>1900</v>
      </c>
      <c r="C41" s="259">
        <v>3636</v>
      </c>
      <c r="D41" s="356" t="s">
        <v>165</v>
      </c>
      <c r="E41" s="259">
        <v>5137</v>
      </c>
      <c r="F41" s="259" t="s">
        <v>346</v>
      </c>
      <c r="G41" s="382"/>
      <c r="H41" s="337">
        <v>80</v>
      </c>
      <c r="I41" s="337">
        <v>80</v>
      </c>
      <c r="J41" s="338">
        <v>67</v>
      </c>
      <c r="K41" s="339">
        <f t="shared" si="4"/>
        <v>-13</v>
      </c>
      <c r="L41" s="343">
        <f t="shared" si="5"/>
        <v>83.75</v>
      </c>
      <c r="N41" s="344">
        <f t="shared" si="3"/>
        <v>0</v>
      </c>
    </row>
    <row r="42" spans="1:14" ht="12.75" customHeight="1">
      <c r="A42" s="326">
        <f t="shared" si="0"/>
        <v>41</v>
      </c>
      <c r="B42" s="387">
        <v>1900</v>
      </c>
      <c r="C42" s="259">
        <v>3636</v>
      </c>
      <c r="D42" s="356" t="s">
        <v>165</v>
      </c>
      <c r="E42" s="259">
        <v>5139</v>
      </c>
      <c r="F42" s="259" t="s">
        <v>342</v>
      </c>
      <c r="G42" s="382"/>
      <c r="H42" s="337">
        <v>575</v>
      </c>
      <c r="I42" s="337">
        <v>575</v>
      </c>
      <c r="J42" s="338">
        <v>68</v>
      </c>
      <c r="K42" s="339">
        <f t="shared" si="4"/>
        <v>-507</v>
      </c>
      <c r="L42" s="343">
        <f t="shared" si="5"/>
        <v>11.826086956521738</v>
      </c>
      <c r="N42" s="344">
        <f t="shared" si="3"/>
        <v>0</v>
      </c>
    </row>
    <row r="43" spans="1:14" ht="12.75" customHeight="1">
      <c r="A43" s="326">
        <f t="shared" si="0"/>
        <v>42</v>
      </c>
      <c r="B43" s="387">
        <v>1900</v>
      </c>
      <c r="C43" s="259">
        <v>3636</v>
      </c>
      <c r="D43" s="356" t="s">
        <v>165</v>
      </c>
      <c r="E43" s="342">
        <v>5154</v>
      </c>
      <c r="F43" s="360" t="s">
        <v>347</v>
      </c>
      <c r="G43" s="382"/>
      <c r="H43" s="337">
        <v>6</v>
      </c>
      <c r="I43" s="337">
        <v>6</v>
      </c>
      <c r="J43" s="338">
        <v>0</v>
      </c>
      <c r="K43" s="339">
        <f t="shared" si="4"/>
        <v>-6</v>
      </c>
      <c r="L43" s="343">
        <f t="shared" si="5"/>
        <v>0</v>
      </c>
      <c r="N43" s="344">
        <f t="shared" si="3"/>
        <v>0</v>
      </c>
    </row>
    <row r="44" spans="1:14" ht="12.75" customHeight="1">
      <c r="A44" s="326">
        <f t="shared" si="0"/>
        <v>43</v>
      </c>
      <c r="B44" s="387">
        <v>1900</v>
      </c>
      <c r="C44" s="259">
        <v>3636</v>
      </c>
      <c r="D44" s="356" t="s">
        <v>165</v>
      </c>
      <c r="E44" s="259">
        <v>5163</v>
      </c>
      <c r="F44" s="259" t="s">
        <v>323</v>
      </c>
      <c r="G44" s="382"/>
      <c r="H44" s="337">
        <v>20</v>
      </c>
      <c r="I44" s="337">
        <v>20</v>
      </c>
      <c r="J44" s="338">
        <v>3</v>
      </c>
      <c r="K44" s="339">
        <f t="shared" si="4"/>
        <v>-17</v>
      </c>
      <c r="L44" s="343">
        <f t="shared" si="5"/>
        <v>15</v>
      </c>
      <c r="N44" s="344">
        <f t="shared" si="3"/>
        <v>0</v>
      </c>
    </row>
    <row r="45" spans="1:14" ht="12.75" customHeight="1">
      <c r="A45" s="326">
        <f t="shared" si="0"/>
        <v>44</v>
      </c>
      <c r="B45" s="387">
        <v>1900</v>
      </c>
      <c r="C45" s="259">
        <v>3636</v>
      </c>
      <c r="D45" s="356" t="s">
        <v>165</v>
      </c>
      <c r="E45" s="259">
        <v>5164</v>
      </c>
      <c r="F45" s="259" t="s">
        <v>348</v>
      </c>
      <c r="G45" s="382"/>
      <c r="H45" s="337">
        <v>30</v>
      </c>
      <c r="I45" s="337">
        <v>30</v>
      </c>
      <c r="J45" s="338">
        <v>0</v>
      </c>
      <c r="K45" s="339">
        <f t="shared" si="4"/>
        <v>-30</v>
      </c>
      <c r="L45" s="343">
        <f t="shared" si="5"/>
        <v>0</v>
      </c>
      <c r="N45" s="344">
        <f t="shared" si="3"/>
        <v>0</v>
      </c>
    </row>
    <row r="46" spans="1:14" ht="12.75" customHeight="1">
      <c r="A46" s="326">
        <f t="shared" si="0"/>
        <v>45</v>
      </c>
      <c r="B46" s="387">
        <v>1900</v>
      </c>
      <c r="C46" s="259">
        <v>3636</v>
      </c>
      <c r="D46" s="356" t="s">
        <v>165</v>
      </c>
      <c r="E46" s="259">
        <v>5166</v>
      </c>
      <c r="F46" s="259" t="s">
        <v>315</v>
      </c>
      <c r="G46" s="382"/>
      <c r="H46" s="337">
        <v>800</v>
      </c>
      <c r="I46" s="337">
        <v>800</v>
      </c>
      <c r="J46" s="338">
        <v>57</v>
      </c>
      <c r="K46" s="339">
        <f t="shared" si="4"/>
        <v>-743</v>
      </c>
      <c r="L46" s="343">
        <f t="shared" si="5"/>
        <v>7.124999999999999</v>
      </c>
      <c r="N46" s="344">
        <f t="shared" si="3"/>
        <v>0</v>
      </c>
    </row>
    <row r="47" spans="1:14" ht="12.75" customHeight="1">
      <c r="A47" s="326">
        <f t="shared" si="0"/>
        <v>46</v>
      </c>
      <c r="B47" s="387">
        <v>1900</v>
      </c>
      <c r="C47" s="259">
        <v>3636</v>
      </c>
      <c r="D47" s="356" t="s">
        <v>165</v>
      </c>
      <c r="E47" s="259">
        <v>5169</v>
      </c>
      <c r="F47" s="259" t="s">
        <v>316</v>
      </c>
      <c r="G47" s="336"/>
      <c r="H47" s="337">
        <v>1300</v>
      </c>
      <c r="I47" s="337">
        <v>1300</v>
      </c>
      <c r="J47" s="338">
        <v>435</v>
      </c>
      <c r="K47" s="339">
        <f t="shared" si="4"/>
        <v>-865</v>
      </c>
      <c r="L47" s="343">
        <f t="shared" si="5"/>
        <v>33.46153846153846</v>
      </c>
      <c r="N47" s="344">
        <f t="shared" si="3"/>
        <v>0</v>
      </c>
    </row>
    <row r="48" spans="1:14" ht="12.75" customHeight="1">
      <c r="A48" s="326">
        <f t="shared" si="0"/>
        <v>47</v>
      </c>
      <c r="B48" s="387">
        <v>1900</v>
      </c>
      <c r="C48" s="259">
        <v>3636</v>
      </c>
      <c r="D48" s="356" t="s">
        <v>165</v>
      </c>
      <c r="E48" s="259">
        <v>5175</v>
      </c>
      <c r="F48" s="259" t="s">
        <v>334</v>
      </c>
      <c r="G48" s="382"/>
      <c r="H48" s="337">
        <v>60</v>
      </c>
      <c r="I48" s="337">
        <v>60</v>
      </c>
      <c r="J48" s="338">
        <v>13</v>
      </c>
      <c r="K48" s="339">
        <f t="shared" si="4"/>
        <v>-47</v>
      </c>
      <c r="L48" s="343">
        <f t="shared" si="5"/>
        <v>21.666666666666668</v>
      </c>
      <c r="N48" s="344">
        <f t="shared" si="3"/>
        <v>0</v>
      </c>
    </row>
    <row r="49" spans="1:14" ht="12.75" customHeight="1">
      <c r="A49" s="326">
        <f t="shared" si="0"/>
        <v>48</v>
      </c>
      <c r="B49" s="387">
        <v>1900</v>
      </c>
      <c r="C49" s="259">
        <v>3636</v>
      </c>
      <c r="D49" s="356" t="s">
        <v>165</v>
      </c>
      <c r="E49" s="259">
        <v>5192</v>
      </c>
      <c r="F49" s="259" t="s">
        <v>335</v>
      </c>
      <c r="G49" s="382"/>
      <c r="H49" s="337">
        <v>30</v>
      </c>
      <c r="I49" s="337">
        <v>30</v>
      </c>
      <c r="J49" s="338">
        <v>0</v>
      </c>
      <c r="K49" s="339">
        <f t="shared" si="4"/>
        <v>-30</v>
      </c>
      <c r="L49" s="343">
        <f t="shared" si="5"/>
        <v>0</v>
      </c>
      <c r="N49" s="344">
        <f t="shared" si="3"/>
        <v>0</v>
      </c>
    </row>
    <row r="50" spans="1:14" ht="12.75" customHeight="1">
      <c r="A50" s="326">
        <f t="shared" si="0"/>
        <v>49</v>
      </c>
      <c r="B50" s="387">
        <v>1900</v>
      </c>
      <c r="C50" s="259">
        <v>3636</v>
      </c>
      <c r="D50" s="356" t="s">
        <v>165</v>
      </c>
      <c r="E50" s="259">
        <v>5194</v>
      </c>
      <c r="F50" s="259" t="s">
        <v>343</v>
      </c>
      <c r="G50" s="382"/>
      <c r="H50" s="337">
        <v>50</v>
      </c>
      <c r="I50" s="337">
        <v>50</v>
      </c>
      <c r="J50" s="338">
        <v>0</v>
      </c>
      <c r="K50" s="339">
        <f t="shared" si="4"/>
        <v>-50</v>
      </c>
      <c r="L50" s="343">
        <f t="shared" si="5"/>
        <v>0</v>
      </c>
      <c r="N50" s="344">
        <f t="shared" si="3"/>
        <v>0</v>
      </c>
    </row>
    <row r="51" spans="1:14" ht="12.75" customHeight="1">
      <c r="A51" s="326">
        <f t="shared" si="0"/>
        <v>50</v>
      </c>
      <c r="B51" s="391"/>
      <c r="C51" s="347" t="s">
        <v>349</v>
      </c>
      <c r="D51" s="347"/>
      <c r="E51" s="347"/>
      <c r="F51" s="347"/>
      <c r="G51" s="382"/>
      <c r="H51" s="349">
        <f>SUBTOTAL(9,H40:H50)</f>
        <v>3001</v>
      </c>
      <c r="I51" s="349">
        <f>SUBTOTAL(9,I40:I50)</f>
        <v>3001</v>
      </c>
      <c r="J51" s="349">
        <f>SUBTOTAL(9,J40:J50)</f>
        <v>666</v>
      </c>
      <c r="K51" s="395">
        <f t="shared" si="4"/>
        <v>-2335</v>
      </c>
      <c r="L51" s="396">
        <f t="shared" si="5"/>
        <v>22.19260246584472</v>
      </c>
      <c r="N51" s="344">
        <f t="shared" si="3"/>
        <v>0</v>
      </c>
    </row>
    <row r="52" spans="1:14" ht="13.5" customHeight="1" thickBot="1">
      <c r="A52" s="326">
        <f t="shared" si="0"/>
        <v>51</v>
      </c>
      <c r="B52" s="366" t="s">
        <v>164</v>
      </c>
      <c r="C52" s="367"/>
      <c r="D52" s="367"/>
      <c r="E52" s="367"/>
      <c r="F52" s="367"/>
      <c r="G52" s="368"/>
      <c r="H52" s="369">
        <f>SUBTOTAL(9,H28:H51)</f>
        <v>71790</v>
      </c>
      <c r="I52" s="369">
        <f>SUBTOTAL(9,I28:I51)</f>
        <v>78156</v>
      </c>
      <c r="J52" s="369">
        <f>SUBTOTAL(9,J28:J51)</f>
        <v>74985</v>
      </c>
      <c r="K52" s="370">
        <f t="shared" si="4"/>
        <v>-3171</v>
      </c>
      <c r="L52" s="371">
        <f t="shared" si="5"/>
        <v>95.94272992476586</v>
      </c>
      <c r="N52" s="344">
        <f t="shared" si="3"/>
        <v>0</v>
      </c>
    </row>
    <row r="53" spans="1:14" ht="9.75" customHeight="1">
      <c r="A53" s="326">
        <f t="shared" si="0"/>
        <v>52</v>
      </c>
      <c r="B53" s="397"/>
      <c r="C53" s="398"/>
      <c r="D53" s="399"/>
      <c r="E53" s="399"/>
      <c r="F53" s="399"/>
      <c r="G53" s="400"/>
      <c r="H53" s="401">
        <v>0</v>
      </c>
      <c r="I53" s="401"/>
      <c r="J53" s="402"/>
      <c r="K53" s="403"/>
      <c r="L53" s="404"/>
      <c r="N53" s="344">
        <f t="shared" si="3"/>
        <v>0</v>
      </c>
    </row>
    <row r="54" spans="1:14" s="411" customFormat="1" ht="15.75">
      <c r="A54" s="326">
        <f t="shared" si="0"/>
        <v>53</v>
      </c>
      <c r="B54" s="405" t="s">
        <v>36</v>
      </c>
      <c r="C54" s="381"/>
      <c r="D54" s="381"/>
      <c r="E54" s="381"/>
      <c r="F54" s="381"/>
      <c r="G54" s="406"/>
      <c r="H54" s="407">
        <v>0</v>
      </c>
      <c r="I54" s="407"/>
      <c r="J54" s="408"/>
      <c r="K54" s="409"/>
      <c r="L54" s="410"/>
      <c r="N54" s="344">
        <f t="shared" si="3"/>
        <v>0</v>
      </c>
    </row>
    <row r="55" spans="1:14" s="411" customFormat="1" ht="12.75" customHeight="1">
      <c r="A55" s="326">
        <f t="shared" si="0"/>
        <v>54</v>
      </c>
      <c r="B55" s="387">
        <v>3200</v>
      </c>
      <c r="C55" s="259">
        <v>2219</v>
      </c>
      <c r="D55" s="356" t="s">
        <v>53</v>
      </c>
      <c r="E55" s="259">
        <v>5011</v>
      </c>
      <c r="F55" s="259" t="s">
        <v>350</v>
      </c>
      <c r="G55" s="336" t="s">
        <v>351</v>
      </c>
      <c r="H55" s="337">
        <v>1393</v>
      </c>
      <c r="I55" s="337">
        <v>1393</v>
      </c>
      <c r="J55" s="338">
        <v>924</v>
      </c>
      <c r="K55" s="339">
        <f aca="true" t="shared" si="6" ref="K55:K118">J55-I55</f>
        <v>-469</v>
      </c>
      <c r="L55" s="343">
        <f aca="true" t="shared" si="7" ref="L55:L118">J55/I55*100</f>
        <v>66.33165829145729</v>
      </c>
      <c r="N55" s="344">
        <f t="shared" si="3"/>
        <v>0</v>
      </c>
    </row>
    <row r="56" spans="1:14" s="411" customFormat="1" ht="12.75" customHeight="1">
      <c r="A56" s="326">
        <f t="shared" si="0"/>
        <v>55</v>
      </c>
      <c r="B56" s="387">
        <v>3200</v>
      </c>
      <c r="C56" s="259">
        <v>2219</v>
      </c>
      <c r="D56" s="356" t="s">
        <v>53</v>
      </c>
      <c r="E56" s="259">
        <v>5021</v>
      </c>
      <c r="F56" s="259" t="s">
        <v>352</v>
      </c>
      <c r="G56" s="336" t="s">
        <v>351</v>
      </c>
      <c r="H56" s="337"/>
      <c r="I56" s="337">
        <v>37</v>
      </c>
      <c r="J56" s="338">
        <v>37</v>
      </c>
      <c r="K56" s="339">
        <f t="shared" si="6"/>
        <v>0</v>
      </c>
      <c r="L56" s="343">
        <f t="shared" si="7"/>
        <v>100</v>
      </c>
      <c r="N56" s="344">
        <f t="shared" si="3"/>
        <v>0</v>
      </c>
    </row>
    <row r="57" spans="1:14" s="411" customFormat="1" ht="12.75" customHeight="1">
      <c r="A57" s="326">
        <f t="shared" si="0"/>
        <v>56</v>
      </c>
      <c r="B57" s="387">
        <v>3200</v>
      </c>
      <c r="C57" s="259">
        <v>2219</v>
      </c>
      <c r="D57" s="356" t="s">
        <v>53</v>
      </c>
      <c r="E57" s="259">
        <v>5031</v>
      </c>
      <c r="F57" s="259" t="s">
        <v>353</v>
      </c>
      <c r="G57" s="336" t="s">
        <v>351</v>
      </c>
      <c r="H57" s="337">
        <v>348</v>
      </c>
      <c r="I57" s="337">
        <v>348</v>
      </c>
      <c r="J57" s="338">
        <v>231</v>
      </c>
      <c r="K57" s="339">
        <f t="shared" si="6"/>
        <v>-117</v>
      </c>
      <c r="L57" s="343">
        <f t="shared" si="7"/>
        <v>66.37931034482759</v>
      </c>
      <c r="N57" s="344">
        <f t="shared" si="3"/>
        <v>0</v>
      </c>
    </row>
    <row r="58" spans="1:14" s="411" customFormat="1" ht="12.75" customHeight="1">
      <c r="A58" s="326">
        <f t="shared" si="0"/>
        <v>57</v>
      </c>
      <c r="B58" s="387">
        <v>3200</v>
      </c>
      <c r="C58" s="259">
        <v>2219</v>
      </c>
      <c r="D58" s="356" t="s">
        <v>53</v>
      </c>
      <c r="E58" s="259">
        <v>5032</v>
      </c>
      <c r="F58" s="259" t="s">
        <v>354</v>
      </c>
      <c r="G58" s="336" t="s">
        <v>351</v>
      </c>
      <c r="H58" s="337">
        <v>125</v>
      </c>
      <c r="I58" s="337">
        <v>125</v>
      </c>
      <c r="J58" s="338">
        <v>83</v>
      </c>
      <c r="K58" s="339">
        <f t="shared" si="6"/>
        <v>-42</v>
      </c>
      <c r="L58" s="343">
        <f t="shared" si="7"/>
        <v>66.4</v>
      </c>
      <c r="N58" s="344">
        <f t="shared" si="3"/>
        <v>0</v>
      </c>
    </row>
    <row r="59" spans="1:14" s="411" customFormat="1" ht="12.75" customHeight="1">
      <c r="A59" s="326">
        <f t="shared" si="0"/>
        <v>58</v>
      </c>
      <c r="B59" s="387">
        <v>3200</v>
      </c>
      <c r="C59" s="259">
        <v>2219</v>
      </c>
      <c r="D59" s="356" t="s">
        <v>53</v>
      </c>
      <c r="E59" s="259">
        <v>5169</v>
      </c>
      <c r="F59" s="259" t="s">
        <v>316</v>
      </c>
      <c r="G59" s="336" t="s">
        <v>351</v>
      </c>
      <c r="H59" s="337">
        <v>40</v>
      </c>
      <c r="I59" s="337">
        <v>40</v>
      </c>
      <c r="J59" s="338">
        <v>21</v>
      </c>
      <c r="K59" s="339">
        <f t="shared" si="6"/>
        <v>-19</v>
      </c>
      <c r="L59" s="343">
        <f t="shared" si="7"/>
        <v>52.5</v>
      </c>
      <c r="N59" s="344">
        <f t="shared" si="3"/>
        <v>0</v>
      </c>
    </row>
    <row r="60" spans="1:14" s="411" customFormat="1" ht="12.75" customHeight="1">
      <c r="A60" s="326">
        <f t="shared" si="0"/>
        <v>59</v>
      </c>
      <c r="B60" s="387">
        <v>3200</v>
      </c>
      <c r="C60" s="259">
        <v>2219</v>
      </c>
      <c r="D60" s="356" t="s">
        <v>53</v>
      </c>
      <c r="E60" s="259">
        <v>5173</v>
      </c>
      <c r="F60" s="389" t="s">
        <v>355</v>
      </c>
      <c r="G60" s="336" t="s">
        <v>351</v>
      </c>
      <c r="H60" s="337">
        <v>638</v>
      </c>
      <c r="I60" s="337">
        <v>625</v>
      </c>
      <c r="J60" s="338">
        <v>425</v>
      </c>
      <c r="K60" s="339">
        <f t="shared" si="6"/>
        <v>-200</v>
      </c>
      <c r="L60" s="343">
        <f t="shared" si="7"/>
        <v>68</v>
      </c>
      <c r="N60" s="344">
        <f t="shared" si="3"/>
        <v>0</v>
      </c>
    </row>
    <row r="61" spans="1:14" s="411" customFormat="1" ht="12.75" customHeight="1">
      <c r="A61" s="326">
        <f t="shared" si="0"/>
        <v>60</v>
      </c>
      <c r="B61" s="391"/>
      <c r="C61" s="347" t="s">
        <v>356</v>
      </c>
      <c r="D61" s="347"/>
      <c r="E61" s="347"/>
      <c r="F61" s="347"/>
      <c r="G61" s="348"/>
      <c r="H61" s="349">
        <f>SUBTOTAL(9,H55:H60)</f>
        <v>2544</v>
      </c>
      <c r="I61" s="349">
        <f>SUBTOTAL(9,I55:I60)</f>
        <v>2568</v>
      </c>
      <c r="J61" s="349">
        <f>SUBTOTAL(9,J55:J60)</f>
        <v>1721</v>
      </c>
      <c r="K61" s="412">
        <f t="shared" si="6"/>
        <v>-847</v>
      </c>
      <c r="L61" s="413">
        <f t="shared" si="7"/>
        <v>67.01713395638629</v>
      </c>
      <c r="N61" s="344">
        <f t="shared" si="3"/>
        <v>0</v>
      </c>
    </row>
    <row r="62" spans="1:14" s="411" customFormat="1" ht="12.75" customHeight="1">
      <c r="A62" s="326">
        <f t="shared" si="0"/>
        <v>61</v>
      </c>
      <c r="B62" s="387">
        <v>3200</v>
      </c>
      <c r="C62" s="259">
        <v>3113</v>
      </c>
      <c r="D62" s="259" t="s">
        <v>23</v>
      </c>
      <c r="E62" s="259">
        <v>5011</v>
      </c>
      <c r="F62" s="259" t="s">
        <v>350</v>
      </c>
      <c r="G62" s="336" t="s">
        <v>351</v>
      </c>
      <c r="H62" s="349"/>
      <c r="I62" s="414">
        <v>275.5</v>
      </c>
      <c r="J62" s="415">
        <v>246</v>
      </c>
      <c r="K62" s="416">
        <f t="shared" si="6"/>
        <v>-29.5</v>
      </c>
      <c r="L62" s="417">
        <f t="shared" si="7"/>
        <v>89.29219600725953</v>
      </c>
      <c r="N62" s="344">
        <f t="shared" si="3"/>
        <v>0</v>
      </c>
    </row>
    <row r="63" spans="1:14" s="411" customFormat="1" ht="12.75" customHeight="1">
      <c r="A63" s="326">
        <f t="shared" si="0"/>
        <v>62</v>
      </c>
      <c r="B63" s="387">
        <v>3200</v>
      </c>
      <c r="C63" s="259">
        <v>3113</v>
      </c>
      <c r="D63" s="259" t="s">
        <v>23</v>
      </c>
      <c r="E63" s="259">
        <v>5021</v>
      </c>
      <c r="F63" s="259" t="s">
        <v>352</v>
      </c>
      <c r="G63" s="336" t="s">
        <v>351</v>
      </c>
      <c r="H63" s="349"/>
      <c r="I63" s="414">
        <v>12792</v>
      </c>
      <c r="J63" s="415">
        <v>9336</v>
      </c>
      <c r="K63" s="416">
        <f t="shared" si="6"/>
        <v>-3456</v>
      </c>
      <c r="L63" s="417">
        <f t="shared" si="7"/>
        <v>72.98311444652909</v>
      </c>
      <c r="N63" s="344">
        <f t="shared" si="3"/>
        <v>0</v>
      </c>
    </row>
    <row r="64" spans="1:14" s="411" customFormat="1" ht="12.75" customHeight="1">
      <c r="A64" s="326">
        <f t="shared" si="0"/>
        <v>63</v>
      </c>
      <c r="B64" s="387">
        <v>3200</v>
      </c>
      <c r="C64" s="259">
        <v>3113</v>
      </c>
      <c r="D64" s="259" t="s">
        <v>23</v>
      </c>
      <c r="E64" s="259">
        <v>5031</v>
      </c>
      <c r="F64" s="259" t="s">
        <v>353</v>
      </c>
      <c r="G64" s="336" t="s">
        <v>351</v>
      </c>
      <c r="H64" s="349"/>
      <c r="I64" s="414">
        <v>2565</v>
      </c>
      <c r="J64" s="415">
        <v>1731</v>
      </c>
      <c r="K64" s="416">
        <f t="shared" si="6"/>
        <v>-834</v>
      </c>
      <c r="L64" s="417">
        <f t="shared" si="7"/>
        <v>67.48538011695906</v>
      </c>
      <c r="N64" s="344">
        <f t="shared" si="3"/>
        <v>0</v>
      </c>
    </row>
    <row r="65" spans="1:14" s="411" customFormat="1" ht="12.75" customHeight="1">
      <c r="A65" s="326">
        <f t="shared" si="0"/>
        <v>64</v>
      </c>
      <c r="B65" s="387">
        <v>3200</v>
      </c>
      <c r="C65" s="259">
        <v>3113</v>
      </c>
      <c r="D65" s="259" t="s">
        <v>23</v>
      </c>
      <c r="E65" s="259">
        <v>5032</v>
      </c>
      <c r="F65" s="259" t="s">
        <v>354</v>
      </c>
      <c r="G65" s="336" t="s">
        <v>351</v>
      </c>
      <c r="H65" s="349"/>
      <c r="I65" s="414">
        <v>924</v>
      </c>
      <c r="J65" s="415">
        <v>629</v>
      </c>
      <c r="K65" s="416">
        <f t="shared" si="6"/>
        <v>-295</v>
      </c>
      <c r="L65" s="417">
        <f t="shared" si="7"/>
        <v>68.07359307359307</v>
      </c>
      <c r="N65" s="344">
        <f t="shared" si="3"/>
        <v>0</v>
      </c>
    </row>
    <row r="66" spans="1:14" s="411" customFormat="1" ht="12.75" customHeight="1">
      <c r="A66" s="326">
        <f t="shared" si="0"/>
        <v>65</v>
      </c>
      <c r="B66" s="387">
        <v>3200</v>
      </c>
      <c r="C66" s="259">
        <v>3113</v>
      </c>
      <c r="D66" s="259" t="s">
        <v>23</v>
      </c>
      <c r="E66" s="259">
        <v>5139</v>
      </c>
      <c r="F66" s="259" t="s">
        <v>342</v>
      </c>
      <c r="G66" s="336" t="s">
        <v>351</v>
      </c>
      <c r="H66" s="349"/>
      <c r="I66" s="414">
        <v>520</v>
      </c>
      <c r="J66" s="415">
        <v>452</v>
      </c>
      <c r="K66" s="416">
        <f t="shared" si="6"/>
        <v>-68</v>
      </c>
      <c r="L66" s="417">
        <f t="shared" si="7"/>
        <v>86.92307692307692</v>
      </c>
      <c r="N66" s="344">
        <f t="shared" si="3"/>
        <v>0</v>
      </c>
    </row>
    <row r="67" spans="1:14" s="411" customFormat="1" ht="12.75" customHeight="1">
      <c r="A67" s="326">
        <f t="shared" si="0"/>
        <v>66</v>
      </c>
      <c r="B67" s="387"/>
      <c r="C67" s="347" t="s">
        <v>357</v>
      </c>
      <c r="D67" s="259"/>
      <c r="E67" s="259"/>
      <c r="F67" s="259"/>
      <c r="G67" s="336"/>
      <c r="H67" s="349"/>
      <c r="I67" s="418">
        <f>SUBTOTAL(9,I62:I66)</f>
        <v>17076.5</v>
      </c>
      <c r="J67" s="418">
        <f>SUBTOTAL(9,J62:J66)</f>
        <v>12394</v>
      </c>
      <c r="K67" s="412">
        <f t="shared" si="6"/>
        <v>-4682.5</v>
      </c>
      <c r="L67" s="413">
        <f t="shared" si="7"/>
        <v>72.5792756126841</v>
      </c>
      <c r="N67" s="344">
        <f t="shared" si="3"/>
        <v>0</v>
      </c>
    </row>
    <row r="68" spans="1:14" ht="12.75" customHeight="1">
      <c r="A68" s="326">
        <f aca="true" t="shared" si="8" ref="A68:A131">A67+1</f>
        <v>67</v>
      </c>
      <c r="B68" s="387">
        <v>3200</v>
      </c>
      <c r="C68" s="259">
        <v>3299</v>
      </c>
      <c r="D68" s="259" t="s">
        <v>232</v>
      </c>
      <c r="E68" s="259">
        <v>5011</v>
      </c>
      <c r="F68" s="259" t="s">
        <v>350</v>
      </c>
      <c r="G68" s="336" t="s">
        <v>351</v>
      </c>
      <c r="H68" s="337">
        <v>470</v>
      </c>
      <c r="I68" s="337">
        <v>660</v>
      </c>
      <c r="J68" s="338">
        <v>625</v>
      </c>
      <c r="K68" s="339">
        <f t="shared" si="6"/>
        <v>-35</v>
      </c>
      <c r="L68" s="343">
        <f t="shared" si="7"/>
        <v>94.6969696969697</v>
      </c>
      <c r="N68" s="344">
        <f aca="true" t="shared" si="9" ref="N68:N131">I68-J68+K68</f>
        <v>0</v>
      </c>
    </row>
    <row r="69" spans="1:14" ht="12.75" customHeight="1">
      <c r="A69" s="326">
        <f t="shared" si="8"/>
        <v>68</v>
      </c>
      <c r="B69" s="387">
        <v>3200</v>
      </c>
      <c r="C69" s="259">
        <v>3299</v>
      </c>
      <c r="D69" s="259" t="s">
        <v>232</v>
      </c>
      <c r="E69" s="259">
        <v>5021</v>
      </c>
      <c r="F69" s="259" t="s">
        <v>352</v>
      </c>
      <c r="G69" s="336" t="s">
        <v>351</v>
      </c>
      <c r="H69" s="337">
        <v>310</v>
      </c>
      <c r="I69" s="337">
        <v>340</v>
      </c>
      <c r="J69" s="338">
        <v>337</v>
      </c>
      <c r="K69" s="339">
        <f t="shared" si="6"/>
        <v>-3</v>
      </c>
      <c r="L69" s="343">
        <f t="shared" si="7"/>
        <v>99.11764705882354</v>
      </c>
      <c r="N69" s="344">
        <f t="shared" si="9"/>
        <v>0</v>
      </c>
    </row>
    <row r="70" spans="1:14" ht="12.75" customHeight="1">
      <c r="A70" s="326">
        <f t="shared" si="8"/>
        <v>69</v>
      </c>
      <c r="B70" s="387">
        <v>3200</v>
      </c>
      <c r="C70" s="259">
        <v>3299</v>
      </c>
      <c r="D70" s="259" t="s">
        <v>232</v>
      </c>
      <c r="E70" s="259">
        <v>5031</v>
      </c>
      <c r="F70" s="259" t="s">
        <v>353</v>
      </c>
      <c r="G70" s="336" t="s">
        <v>351</v>
      </c>
      <c r="H70" s="337">
        <v>118</v>
      </c>
      <c r="I70" s="337">
        <v>168</v>
      </c>
      <c r="J70" s="338">
        <v>156</v>
      </c>
      <c r="K70" s="339">
        <f t="shared" si="6"/>
        <v>-12</v>
      </c>
      <c r="L70" s="343">
        <f t="shared" si="7"/>
        <v>92.85714285714286</v>
      </c>
      <c r="N70" s="344">
        <f t="shared" si="9"/>
        <v>0</v>
      </c>
    </row>
    <row r="71" spans="1:14" ht="12.75" customHeight="1">
      <c r="A71" s="326">
        <f t="shared" si="8"/>
        <v>70</v>
      </c>
      <c r="B71" s="387">
        <v>3200</v>
      </c>
      <c r="C71" s="259">
        <v>3299</v>
      </c>
      <c r="D71" s="259" t="s">
        <v>232</v>
      </c>
      <c r="E71" s="259">
        <v>5032</v>
      </c>
      <c r="F71" s="259" t="s">
        <v>354</v>
      </c>
      <c r="G71" s="336" t="s">
        <v>351</v>
      </c>
      <c r="H71" s="337">
        <v>42</v>
      </c>
      <c r="I71" s="337">
        <v>60</v>
      </c>
      <c r="J71" s="338">
        <v>56</v>
      </c>
      <c r="K71" s="339">
        <f t="shared" si="6"/>
        <v>-4</v>
      </c>
      <c r="L71" s="343">
        <f t="shared" si="7"/>
        <v>93.33333333333333</v>
      </c>
      <c r="N71" s="344">
        <f t="shared" si="9"/>
        <v>0</v>
      </c>
    </row>
    <row r="72" spans="1:14" ht="12.75" customHeight="1">
      <c r="A72" s="326">
        <f t="shared" si="8"/>
        <v>71</v>
      </c>
      <c r="B72" s="391"/>
      <c r="C72" s="347" t="s">
        <v>358</v>
      </c>
      <c r="D72" s="347"/>
      <c r="E72" s="347"/>
      <c r="F72" s="347"/>
      <c r="G72" s="348"/>
      <c r="H72" s="349">
        <f>SUBTOTAL(9,H68:H71)</f>
        <v>940</v>
      </c>
      <c r="I72" s="349">
        <f>SUBTOTAL(9,I68:I71)</f>
        <v>1228</v>
      </c>
      <c r="J72" s="349">
        <f>SUBTOTAL(9,J68:J71)</f>
        <v>1174</v>
      </c>
      <c r="K72" s="412">
        <f t="shared" si="6"/>
        <v>-54</v>
      </c>
      <c r="L72" s="413">
        <f t="shared" si="7"/>
        <v>95.60260586319218</v>
      </c>
      <c r="N72" s="344">
        <f t="shared" si="9"/>
        <v>0</v>
      </c>
    </row>
    <row r="73" spans="1:14" ht="12.75" customHeight="1">
      <c r="A73" s="326">
        <f t="shared" si="8"/>
        <v>72</v>
      </c>
      <c r="B73" s="387">
        <v>3200</v>
      </c>
      <c r="C73" s="259">
        <v>3319</v>
      </c>
      <c r="D73" s="259" t="s">
        <v>48</v>
      </c>
      <c r="E73" s="259">
        <v>5021</v>
      </c>
      <c r="F73" s="259" t="s">
        <v>352</v>
      </c>
      <c r="G73" s="336"/>
      <c r="H73" s="337">
        <v>150</v>
      </c>
      <c r="I73" s="337">
        <v>150</v>
      </c>
      <c r="J73" s="338">
        <v>110</v>
      </c>
      <c r="K73" s="339">
        <f t="shared" si="6"/>
        <v>-40</v>
      </c>
      <c r="L73" s="343">
        <f t="shared" si="7"/>
        <v>73.33333333333333</v>
      </c>
      <c r="N73" s="344">
        <f t="shared" si="9"/>
        <v>0</v>
      </c>
    </row>
    <row r="74" spans="1:14" ht="12.75" customHeight="1">
      <c r="A74" s="326">
        <f t="shared" si="8"/>
        <v>73</v>
      </c>
      <c r="B74" s="391"/>
      <c r="C74" s="347" t="s">
        <v>359</v>
      </c>
      <c r="D74" s="347"/>
      <c r="E74" s="347"/>
      <c r="F74" s="347"/>
      <c r="G74" s="348"/>
      <c r="H74" s="349">
        <f>SUBTOTAL(9,H73:H73)</f>
        <v>150</v>
      </c>
      <c r="I74" s="349">
        <f>SUBTOTAL(9,I73:I73)</f>
        <v>150</v>
      </c>
      <c r="J74" s="349">
        <f>SUBTOTAL(9,J73:J73)</f>
        <v>110</v>
      </c>
      <c r="K74" s="412">
        <f t="shared" si="6"/>
        <v>-40</v>
      </c>
      <c r="L74" s="413">
        <f t="shared" si="7"/>
        <v>73.33333333333333</v>
      </c>
      <c r="N74" s="344">
        <f t="shared" si="9"/>
        <v>0</v>
      </c>
    </row>
    <row r="75" spans="1:14" ht="12.75" customHeight="1">
      <c r="A75" s="326">
        <f t="shared" si="8"/>
        <v>74</v>
      </c>
      <c r="B75" s="387">
        <v>3200</v>
      </c>
      <c r="C75" s="259">
        <v>3349</v>
      </c>
      <c r="D75" s="259" t="s">
        <v>57</v>
      </c>
      <c r="E75" s="259">
        <v>5139</v>
      </c>
      <c r="F75" s="259" t="s">
        <v>342</v>
      </c>
      <c r="G75" s="336"/>
      <c r="H75" s="337">
        <v>700</v>
      </c>
      <c r="I75" s="337">
        <v>700</v>
      </c>
      <c r="J75" s="338">
        <v>494</v>
      </c>
      <c r="K75" s="339">
        <f t="shared" si="6"/>
        <v>-206</v>
      </c>
      <c r="L75" s="343">
        <f t="shared" si="7"/>
        <v>70.57142857142857</v>
      </c>
      <c r="N75" s="344">
        <f t="shared" si="9"/>
        <v>0</v>
      </c>
    </row>
    <row r="76" spans="1:14" ht="12.75" customHeight="1">
      <c r="A76" s="326">
        <f t="shared" si="8"/>
        <v>75</v>
      </c>
      <c r="B76" s="387">
        <v>3200</v>
      </c>
      <c r="C76" s="259">
        <v>3349</v>
      </c>
      <c r="D76" s="259" t="s">
        <v>57</v>
      </c>
      <c r="E76" s="259">
        <v>5169</v>
      </c>
      <c r="F76" s="259" t="s">
        <v>316</v>
      </c>
      <c r="G76" s="336"/>
      <c r="H76" s="337">
        <v>1086</v>
      </c>
      <c r="I76" s="337">
        <v>1086</v>
      </c>
      <c r="J76" s="338">
        <v>530</v>
      </c>
      <c r="K76" s="339">
        <f t="shared" si="6"/>
        <v>-556</v>
      </c>
      <c r="L76" s="343">
        <f t="shared" si="7"/>
        <v>48.80294659300184</v>
      </c>
      <c r="N76" s="344">
        <f t="shared" si="9"/>
        <v>0</v>
      </c>
    </row>
    <row r="77" spans="1:14" ht="12.75" customHeight="1">
      <c r="A77" s="326">
        <f t="shared" si="8"/>
        <v>76</v>
      </c>
      <c r="B77" s="387">
        <v>3200</v>
      </c>
      <c r="C77" s="259">
        <v>3349</v>
      </c>
      <c r="D77" s="259" t="s">
        <v>57</v>
      </c>
      <c r="E77" s="259">
        <v>5194</v>
      </c>
      <c r="F77" s="259" t="s">
        <v>343</v>
      </c>
      <c r="G77" s="336"/>
      <c r="H77" s="337">
        <v>1382</v>
      </c>
      <c r="I77" s="337">
        <v>1382</v>
      </c>
      <c r="J77" s="338">
        <v>921</v>
      </c>
      <c r="K77" s="339">
        <f t="shared" si="6"/>
        <v>-461</v>
      </c>
      <c r="L77" s="343">
        <f t="shared" si="7"/>
        <v>66.6425470332851</v>
      </c>
      <c r="N77" s="344">
        <f t="shared" si="9"/>
        <v>0</v>
      </c>
    </row>
    <row r="78" spans="1:14" ht="12.75" customHeight="1">
      <c r="A78" s="326">
        <f t="shared" si="8"/>
        <v>77</v>
      </c>
      <c r="B78" s="391"/>
      <c r="C78" s="347" t="s">
        <v>344</v>
      </c>
      <c r="D78" s="347"/>
      <c r="E78" s="347"/>
      <c r="F78" s="347"/>
      <c r="G78" s="348"/>
      <c r="H78" s="349">
        <f>SUBTOTAL(9,H75:H77)</f>
        <v>3168</v>
      </c>
      <c r="I78" s="349">
        <f>SUBTOTAL(9,I75:I77)</f>
        <v>3168</v>
      </c>
      <c r="J78" s="349">
        <f>SUBTOTAL(9,J75:J77)</f>
        <v>1945</v>
      </c>
      <c r="K78" s="412">
        <f t="shared" si="6"/>
        <v>-1223</v>
      </c>
      <c r="L78" s="413">
        <f t="shared" si="7"/>
        <v>61.39520202020202</v>
      </c>
      <c r="N78" s="344">
        <f t="shared" si="9"/>
        <v>0</v>
      </c>
    </row>
    <row r="79" spans="1:14" ht="12.75" customHeight="1">
      <c r="A79" s="326">
        <f t="shared" si="8"/>
        <v>78</v>
      </c>
      <c r="B79" s="387">
        <v>3200</v>
      </c>
      <c r="C79" s="259">
        <v>3429</v>
      </c>
      <c r="D79" s="259" t="s">
        <v>58</v>
      </c>
      <c r="E79" s="259">
        <v>5021</v>
      </c>
      <c r="F79" s="259" t="s">
        <v>352</v>
      </c>
      <c r="G79" s="336"/>
      <c r="H79" s="337">
        <v>16</v>
      </c>
      <c r="I79" s="337">
        <v>16</v>
      </c>
      <c r="J79" s="338">
        <v>16</v>
      </c>
      <c r="K79" s="339">
        <f t="shared" si="6"/>
        <v>0</v>
      </c>
      <c r="L79" s="343">
        <f t="shared" si="7"/>
        <v>100</v>
      </c>
      <c r="N79" s="344">
        <f t="shared" si="9"/>
        <v>0</v>
      </c>
    </row>
    <row r="80" spans="1:14" ht="12.75" customHeight="1">
      <c r="A80" s="326">
        <f t="shared" si="8"/>
        <v>79</v>
      </c>
      <c r="B80" s="387">
        <v>3200</v>
      </c>
      <c r="C80" s="259">
        <v>3429</v>
      </c>
      <c r="D80" s="259" t="s">
        <v>58</v>
      </c>
      <c r="E80" s="259">
        <v>5031</v>
      </c>
      <c r="F80" s="259" t="s">
        <v>353</v>
      </c>
      <c r="G80" s="336"/>
      <c r="H80" s="337">
        <v>4</v>
      </c>
      <c r="I80" s="337">
        <v>4</v>
      </c>
      <c r="J80" s="338">
        <v>1</v>
      </c>
      <c r="K80" s="339">
        <f t="shared" si="6"/>
        <v>-3</v>
      </c>
      <c r="L80" s="343">
        <f t="shared" si="7"/>
        <v>25</v>
      </c>
      <c r="N80" s="344">
        <f t="shared" si="9"/>
        <v>0</v>
      </c>
    </row>
    <row r="81" spans="1:14" ht="12.75" customHeight="1">
      <c r="A81" s="326">
        <f t="shared" si="8"/>
        <v>80</v>
      </c>
      <c r="B81" s="387">
        <v>3200</v>
      </c>
      <c r="C81" s="259">
        <v>3429</v>
      </c>
      <c r="D81" s="259" t="s">
        <v>58</v>
      </c>
      <c r="E81" s="259">
        <v>5032</v>
      </c>
      <c r="F81" s="259" t="s">
        <v>354</v>
      </c>
      <c r="G81" s="336"/>
      <c r="H81" s="337">
        <v>2</v>
      </c>
      <c r="I81" s="337">
        <v>2</v>
      </c>
      <c r="J81" s="338"/>
      <c r="K81" s="339">
        <f t="shared" si="6"/>
        <v>-2</v>
      </c>
      <c r="L81" s="343">
        <f t="shared" si="7"/>
        <v>0</v>
      </c>
      <c r="N81" s="344">
        <f t="shared" si="9"/>
        <v>0</v>
      </c>
    </row>
    <row r="82" spans="1:14" ht="12.75" customHeight="1">
      <c r="A82" s="326">
        <f t="shared" si="8"/>
        <v>81</v>
      </c>
      <c r="B82" s="387">
        <v>3200</v>
      </c>
      <c r="C82" s="259">
        <v>3429</v>
      </c>
      <c r="D82" s="259" t="s">
        <v>58</v>
      </c>
      <c r="E82" s="259">
        <v>5021</v>
      </c>
      <c r="F82" s="259" t="s">
        <v>352</v>
      </c>
      <c r="G82" s="336" t="s">
        <v>360</v>
      </c>
      <c r="H82" s="337">
        <v>47</v>
      </c>
      <c r="I82" s="337">
        <v>47</v>
      </c>
      <c r="J82" s="338">
        <v>42</v>
      </c>
      <c r="K82" s="339">
        <f t="shared" si="6"/>
        <v>-5</v>
      </c>
      <c r="L82" s="343">
        <f t="shared" si="7"/>
        <v>89.36170212765957</v>
      </c>
      <c r="N82" s="344">
        <f t="shared" si="9"/>
        <v>0</v>
      </c>
    </row>
    <row r="83" spans="1:14" ht="12.75" customHeight="1">
      <c r="A83" s="326">
        <f t="shared" si="8"/>
        <v>82</v>
      </c>
      <c r="B83" s="387">
        <v>3200</v>
      </c>
      <c r="C83" s="259">
        <v>3429</v>
      </c>
      <c r="D83" s="259" t="s">
        <v>58</v>
      </c>
      <c r="E83" s="259">
        <v>5031</v>
      </c>
      <c r="F83" s="259" t="s">
        <v>353</v>
      </c>
      <c r="G83" s="336" t="s">
        <v>360</v>
      </c>
      <c r="H83" s="337">
        <v>12</v>
      </c>
      <c r="I83" s="337">
        <v>12</v>
      </c>
      <c r="J83" s="338">
        <v>5</v>
      </c>
      <c r="K83" s="339">
        <f t="shared" si="6"/>
        <v>-7</v>
      </c>
      <c r="L83" s="343">
        <f t="shared" si="7"/>
        <v>41.66666666666667</v>
      </c>
      <c r="N83" s="344">
        <f t="shared" si="9"/>
        <v>0</v>
      </c>
    </row>
    <row r="84" spans="1:14" ht="12.75" customHeight="1">
      <c r="A84" s="326">
        <f t="shared" si="8"/>
        <v>83</v>
      </c>
      <c r="B84" s="387">
        <v>3200</v>
      </c>
      <c r="C84" s="259">
        <v>3429</v>
      </c>
      <c r="D84" s="259" t="s">
        <v>58</v>
      </c>
      <c r="E84" s="259">
        <v>5032</v>
      </c>
      <c r="F84" s="259" t="s">
        <v>354</v>
      </c>
      <c r="G84" s="336" t="s">
        <v>360</v>
      </c>
      <c r="H84" s="337">
        <v>5</v>
      </c>
      <c r="I84" s="337">
        <v>5</v>
      </c>
      <c r="J84" s="338">
        <v>2</v>
      </c>
      <c r="K84" s="339">
        <f t="shared" si="6"/>
        <v>-3</v>
      </c>
      <c r="L84" s="343">
        <f t="shared" si="7"/>
        <v>40</v>
      </c>
      <c r="N84" s="344">
        <f t="shared" si="9"/>
        <v>0</v>
      </c>
    </row>
    <row r="85" spans="1:14" ht="12.75" customHeight="1">
      <c r="A85" s="326">
        <f t="shared" si="8"/>
        <v>84</v>
      </c>
      <c r="B85" s="391"/>
      <c r="C85" s="347" t="s">
        <v>361</v>
      </c>
      <c r="D85" s="347"/>
      <c r="E85" s="347"/>
      <c r="F85" s="347"/>
      <c r="G85" s="348"/>
      <c r="H85" s="349">
        <f>SUBTOTAL(9,H79:H84)</f>
        <v>86</v>
      </c>
      <c r="I85" s="349">
        <f>SUBTOTAL(9,I79:I84)</f>
        <v>86</v>
      </c>
      <c r="J85" s="349">
        <f>SUBTOTAL(9,J79:J84)</f>
        <v>66</v>
      </c>
      <c r="K85" s="412">
        <f t="shared" si="6"/>
        <v>-20</v>
      </c>
      <c r="L85" s="413">
        <f t="shared" si="7"/>
        <v>76.74418604651163</v>
      </c>
      <c r="N85" s="344">
        <f t="shared" si="9"/>
        <v>0</v>
      </c>
    </row>
    <row r="86" spans="1:14" ht="12.75" customHeight="1">
      <c r="A86" s="326">
        <f t="shared" si="8"/>
        <v>85</v>
      </c>
      <c r="B86" s="387">
        <v>3200</v>
      </c>
      <c r="C86" s="259">
        <v>3612</v>
      </c>
      <c r="D86" s="260" t="s">
        <v>12</v>
      </c>
      <c r="E86" s="259">
        <v>5021</v>
      </c>
      <c r="F86" s="259" t="s">
        <v>352</v>
      </c>
      <c r="G86" s="336"/>
      <c r="H86" s="337">
        <v>135</v>
      </c>
      <c r="I86" s="337">
        <v>135</v>
      </c>
      <c r="J86" s="338">
        <v>101</v>
      </c>
      <c r="K86" s="339">
        <f t="shared" si="6"/>
        <v>-34</v>
      </c>
      <c r="L86" s="343">
        <f t="shared" si="7"/>
        <v>74.81481481481481</v>
      </c>
      <c r="N86" s="344">
        <f t="shared" si="9"/>
        <v>0</v>
      </c>
    </row>
    <row r="87" spans="1:14" ht="12.75" customHeight="1">
      <c r="A87" s="326">
        <f t="shared" si="8"/>
        <v>86</v>
      </c>
      <c r="B87" s="391"/>
      <c r="C87" s="347" t="s">
        <v>362</v>
      </c>
      <c r="D87" s="347"/>
      <c r="E87" s="347"/>
      <c r="F87" s="347"/>
      <c r="G87" s="348"/>
      <c r="H87" s="349">
        <f>SUBTOTAL(9,H86:H86)</f>
        <v>135</v>
      </c>
      <c r="I87" s="349">
        <f>SUBTOTAL(9,I86:I86)</f>
        <v>135</v>
      </c>
      <c r="J87" s="349">
        <f>SUBTOTAL(9,J86:J86)</f>
        <v>101</v>
      </c>
      <c r="K87" s="395">
        <f t="shared" si="6"/>
        <v>-34</v>
      </c>
      <c r="L87" s="413">
        <f t="shared" si="7"/>
        <v>74.81481481481481</v>
      </c>
      <c r="N87" s="344">
        <f t="shared" si="9"/>
        <v>0</v>
      </c>
    </row>
    <row r="88" spans="1:14" ht="12.75" customHeight="1">
      <c r="A88" s="326">
        <f t="shared" si="8"/>
        <v>87</v>
      </c>
      <c r="B88" s="387">
        <v>3200</v>
      </c>
      <c r="C88" s="259">
        <v>5319</v>
      </c>
      <c r="D88" s="259" t="s">
        <v>363</v>
      </c>
      <c r="E88" s="259">
        <v>5173</v>
      </c>
      <c r="F88" s="389" t="s">
        <v>355</v>
      </c>
      <c r="G88" s="348"/>
      <c r="H88" s="349"/>
      <c r="I88" s="414">
        <v>180</v>
      </c>
      <c r="J88" s="414">
        <v>180</v>
      </c>
      <c r="K88" s="414">
        <f t="shared" si="6"/>
        <v>0</v>
      </c>
      <c r="L88" s="417">
        <f t="shared" si="7"/>
        <v>100</v>
      </c>
      <c r="N88" s="344">
        <f t="shared" si="9"/>
        <v>0</v>
      </c>
    </row>
    <row r="89" spans="1:14" ht="12.75" customHeight="1">
      <c r="A89" s="326">
        <f t="shared" si="8"/>
        <v>88</v>
      </c>
      <c r="B89" s="387"/>
      <c r="C89" s="347" t="s">
        <v>364</v>
      </c>
      <c r="D89" s="259"/>
      <c r="E89" s="259"/>
      <c r="F89" s="389"/>
      <c r="G89" s="348"/>
      <c r="H89" s="349"/>
      <c r="I89" s="418">
        <f>SUBTOTAL(9,I88)</f>
        <v>180</v>
      </c>
      <c r="J89" s="418">
        <f>SUBTOTAL(9,J88)</f>
        <v>180</v>
      </c>
      <c r="K89" s="339">
        <f t="shared" si="6"/>
        <v>0</v>
      </c>
      <c r="L89" s="413">
        <f t="shared" si="7"/>
        <v>100</v>
      </c>
      <c r="N89" s="344">
        <f t="shared" si="9"/>
        <v>0</v>
      </c>
    </row>
    <row r="90" spans="1:14" ht="12.75" customHeight="1">
      <c r="A90" s="326">
        <f t="shared" si="8"/>
        <v>89</v>
      </c>
      <c r="B90" s="387">
        <v>3200</v>
      </c>
      <c r="C90" s="259">
        <v>5511</v>
      </c>
      <c r="D90" s="259" t="s">
        <v>222</v>
      </c>
      <c r="E90" s="259">
        <v>5319</v>
      </c>
      <c r="F90" s="259" t="s">
        <v>365</v>
      </c>
      <c r="G90" s="336"/>
      <c r="H90" s="337">
        <v>3000</v>
      </c>
      <c r="I90" s="337">
        <v>3000</v>
      </c>
      <c r="J90" s="338">
        <v>3000</v>
      </c>
      <c r="K90" s="339">
        <f t="shared" si="6"/>
        <v>0</v>
      </c>
      <c r="L90" s="343">
        <f t="shared" si="7"/>
        <v>100</v>
      </c>
      <c r="N90" s="344">
        <f t="shared" si="9"/>
        <v>0</v>
      </c>
    </row>
    <row r="91" spans="1:14" ht="12.75" customHeight="1">
      <c r="A91" s="326">
        <f t="shared" si="8"/>
        <v>90</v>
      </c>
      <c r="B91" s="391"/>
      <c r="C91" s="347" t="s">
        <v>366</v>
      </c>
      <c r="D91" s="347"/>
      <c r="E91" s="347"/>
      <c r="F91" s="347"/>
      <c r="G91" s="348"/>
      <c r="H91" s="349">
        <f>SUBTOTAL(9,H90:H90)</f>
        <v>3000</v>
      </c>
      <c r="I91" s="349">
        <f>SUBTOTAL(9,I90:I90)</f>
        <v>3000</v>
      </c>
      <c r="J91" s="349">
        <f>SUBTOTAL(9,J90:J90)</f>
        <v>3000</v>
      </c>
      <c r="K91" s="412">
        <f t="shared" si="6"/>
        <v>0</v>
      </c>
      <c r="L91" s="413">
        <f t="shared" si="7"/>
        <v>100</v>
      </c>
      <c r="N91" s="344">
        <f t="shared" si="9"/>
        <v>0</v>
      </c>
    </row>
    <row r="92" spans="1:14" s="411" customFormat="1" ht="12.75" customHeight="1">
      <c r="A92" s="326">
        <f t="shared" si="8"/>
        <v>91</v>
      </c>
      <c r="B92" s="387">
        <v>3200</v>
      </c>
      <c r="C92" s="259">
        <v>6112</v>
      </c>
      <c r="D92" s="259" t="s">
        <v>59</v>
      </c>
      <c r="E92" s="259">
        <v>5019</v>
      </c>
      <c r="F92" s="259" t="s">
        <v>367</v>
      </c>
      <c r="G92" s="336"/>
      <c r="H92" s="337">
        <v>400</v>
      </c>
      <c r="I92" s="337">
        <v>400</v>
      </c>
      <c r="J92" s="338">
        <v>281</v>
      </c>
      <c r="K92" s="339">
        <f t="shared" si="6"/>
        <v>-119</v>
      </c>
      <c r="L92" s="343">
        <f t="shared" si="7"/>
        <v>70.25</v>
      </c>
      <c r="N92" s="344">
        <f t="shared" si="9"/>
        <v>0</v>
      </c>
    </row>
    <row r="93" spans="1:14" s="411" customFormat="1" ht="12.75" customHeight="1">
      <c r="A93" s="326">
        <f t="shared" si="8"/>
        <v>92</v>
      </c>
      <c r="B93" s="387">
        <v>3200</v>
      </c>
      <c r="C93" s="259">
        <v>6112</v>
      </c>
      <c r="D93" s="259" t="s">
        <v>59</v>
      </c>
      <c r="E93" s="259">
        <v>5023</v>
      </c>
      <c r="F93" s="259" t="s">
        <v>368</v>
      </c>
      <c r="G93" s="336"/>
      <c r="H93" s="337">
        <v>18200</v>
      </c>
      <c r="I93" s="337">
        <v>18200</v>
      </c>
      <c r="J93" s="338">
        <v>16132</v>
      </c>
      <c r="K93" s="339">
        <f t="shared" si="6"/>
        <v>-2068</v>
      </c>
      <c r="L93" s="343">
        <f t="shared" si="7"/>
        <v>88.63736263736264</v>
      </c>
      <c r="N93" s="344">
        <f t="shared" si="9"/>
        <v>0</v>
      </c>
    </row>
    <row r="94" spans="1:14" s="411" customFormat="1" ht="12.75" customHeight="1">
      <c r="A94" s="326">
        <f t="shared" si="8"/>
        <v>93</v>
      </c>
      <c r="B94" s="387">
        <v>3200</v>
      </c>
      <c r="C94" s="259">
        <v>6112</v>
      </c>
      <c r="D94" s="259" t="s">
        <v>59</v>
      </c>
      <c r="E94" s="259">
        <v>5031</v>
      </c>
      <c r="F94" s="259" t="s">
        <v>353</v>
      </c>
      <c r="G94" s="336"/>
      <c r="H94" s="337">
        <v>1955</v>
      </c>
      <c r="I94" s="337">
        <v>1955</v>
      </c>
      <c r="J94" s="338">
        <v>1859</v>
      </c>
      <c r="K94" s="339">
        <f t="shared" si="6"/>
        <v>-96</v>
      </c>
      <c r="L94" s="343">
        <f t="shared" si="7"/>
        <v>95.08951406649616</v>
      </c>
      <c r="N94" s="344">
        <f t="shared" si="9"/>
        <v>0</v>
      </c>
    </row>
    <row r="95" spans="1:14" s="411" customFormat="1" ht="12.75" customHeight="1">
      <c r="A95" s="326">
        <f t="shared" si="8"/>
        <v>94</v>
      </c>
      <c r="B95" s="387">
        <v>3200</v>
      </c>
      <c r="C95" s="259">
        <v>6112</v>
      </c>
      <c r="D95" s="259" t="s">
        <v>59</v>
      </c>
      <c r="E95" s="259">
        <v>5032</v>
      </c>
      <c r="F95" s="259" t="s">
        <v>354</v>
      </c>
      <c r="G95" s="336"/>
      <c r="H95" s="337">
        <v>1357</v>
      </c>
      <c r="I95" s="337">
        <v>1357</v>
      </c>
      <c r="J95" s="338">
        <v>1183</v>
      </c>
      <c r="K95" s="339">
        <f t="shared" si="6"/>
        <v>-174</v>
      </c>
      <c r="L95" s="343">
        <f t="shared" si="7"/>
        <v>87.17759764185703</v>
      </c>
      <c r="N95" s="344">
        <f t="shared" si="9"/>
        <v>0</v>
      </c>
    </row>
    <row r="96" spans="1:14" s="411" customFormat="1" ht="12.75" customHeight="1">
      <c r="A96" s="326">
        <f t="shared" si="8"/>
        <v>95</v>
      </c>
      <c r="B96" s="387">
        <v>3200</v>
      </c>
      <c r="C96" s="259">
        <v>6112</v>
      </c>
      <c r="D96" s="259" t="s">
        <v>59</v>
      </c>
      <c r="E96" s="259">
        <v>5039</v>
      </c>
      <c r="F96" s="259" t="s">
        <v>369</v>
      </c>
      <c r="G96" s="336"/>
      <c r="H96" s="337">
        <v>70</v>
      </c>
      <c r="I96" s="337">
        <v>70</v>
      </c>
      <c r="J96" s="338">
        <v>23</v>
      </c>
      <c r="K96" s="339">
        <f t="shared" si="6"/>
        <v>-47</v>
      </c>
      <c r="L96" s="343">
        <f t="shared" si="7"/>
        <v>32.857142857142854</v>
      </c>
      <c r="N96" s="344">
        <f t="shared" si="9"/>
        <v>0</v>
      </c>
    </row>
    <row r="97" spans="1:14" s="411" customFormat="1" ht="12.75" customHeight="1">
      <c r="A97" s="326">
        <f t="shared" si="8"/>
        <v>96</v>
      </c>
      <c r="B97" s="391"/>
      <c r="C97" s="347" t="s">
        <v>370</v>
      </c>
      <c r="D97" s="347"/>
      <c r="E97" s="347"/>
      <c r="F97" s="347"/>
      <c r="G97" s="348"/>
      <c r="H97" s="349">
        <f>SUBTOTAL(9,H92:H96)</f>
        <v>21982</v>
      </c>
      <c r="I97" s="349">
        <f>SUBTOTAL(9,I92:I96)</f>
        <v>21982</v>
      </c>
      <c r="J97" s="349">
        <f>SUBTOTAL(9,J92:J96)</f>
        <v>19478</v>
      </c>
      <c r="K97" s="412">
        <f t="shared" si="6"/>
        <v>-2504</v>
      </c>
      <c r="L97" s="413">
        <f t="shared" si="7"/>
        <v>88.60886179601492</v>
      </c>
      <c r="N97" s="344">
        <f t="shared" si="9"/>
        <v>0</v>
      </c>
    </row>
    <row r="98" spans="1:14" s="411" customFormat="1" ht="12.75" customHeight="1">
      <c r="A98" s="326">
        <f t="shared" si="8"/>
        <v>97</v>
      </c>
      <c r="B98" s="387">
        <v>3200</v>
      </c>
      <c r="C98" s="259">
        <v>6115</v>
      </c>
      <c r="D98" s="259" t="s">
        <v>371</v>
      </c>
      <c r="E98" s="259">
        <v>5011</v>
      </c>
      <c r="F98" s="259" t="s">
        <v>350</v>
      </c>
      <c r="G98" s="348"/>
      <c r="H98" s="349"/>
      <c r="I98" s="414">
        <v>25</v>
      </c>
      <c r="J98" s="415">
        <v>84</v>
      </c>
      <c r="K98" s="416">
        <f t="shared" si="6"/>
        <v>59</v>
      </c>
      <c r="L98" s="417">
        <f t="shared" si="7"/>
        <v>336</v>
      </c>
      <c r="N98" s="344">
        <f t="shared" si="9"/>
        <v>0</v>
      </c>
    </row>
    <row r="99" spans="1:14" s="411" customFormat="1" ht="12.75" customHeight="1">
      <c r="A99" s="326">
        <f t="shared" si="8"/>
        <v>98</v>
      </c>
      <c r="B99" s="387">
        <v>3200</v>
      </c>
      <c r="C99" s="259">
        <v>6115</v>
      </c>
      <c r="D99" s="259" t="s">
        <v>371</v>
      </c>
      <c r="E99" s="259">
        <v>5031</v>
      </c>
      <c r="F99" s="259" t="s">
        <v>353</v>
      </c>
      <c r="G99" s="348"/>
      <c r="H99" s="349"/>
      <c r="I99" s="414">
        <v>7</v>
      </c>
      <c r="J99" s="415">
        <v>21</v>
      </c>
      <c r="K99" s="416">
        <f t="shared" si="6"/>
        <v>14</v>
      </c>
      <c r="L99" s="417">
        <f t="shared" si="7"/>
        <v>300</v>
      </c>
      <c r="N99" s="344">
        <f t="shared" si="9"/>
        <v>0</v>
      </c>
    </row>
    <row r="100" spans="1:14" s="411" customFormat="1" ht="12.75" customHeight="1">
      <c r="A100" s="326">
        <f t="shared" si="8"/>
        <v>99</v>
      </c>
      <c r="B100" s="387">
        <v>3200</v>
      </c>
      <c r="C100" s="259">
        <v>6115</v>
      </c>
      <c r="D100" s="259" t="s">
        <v>371</v>
      </c>
      <c r="E100" s="259">
        <v>5032</v>
      </c>
      <c r="F100" s="259" t="s">
        <v>354</v>
      </c>
      <c r="G100" s="348"/>
      <c r="H100" s="349"/>
      <c r="I100" s="414">
        <v>3</v>
      </c>
      <c r="J100" s="415">
        <v>8</v>
      </c>
      <c r="K100" s="416">
        <f t="shared" si="6"/>
        <v>5</v>
      </c>
      <c r="L100" s="417">
        <f t="shared" si="7"/>
        <v>266.66666666666663</v>
      </c>
      <c r="N100" s="344">
        <f t="shared" si="9"/>
        <v>0</v>
      </c>
    </row>
    <row r="101" spans="1:14" s="411" customFormat="1" ht="12.75" customHeight="1">
      <c r="A101" s="326">
        <f t="shared" si="8"/>
        <v>100</v>
      </c>
      <c r="B101" s="387">
        <v>3200</v>
      </c>
      <c r="C101" s="259">
        <v>6115</v>
      </c>
      <c r="D101" s="259" t="s">
        <v>371</v>
      </c>
      <c r="E101" s="259">
        <v>5139</v>
      </c>
      <c r="F101" s="259" t="s">
        <v>342</v>
      </c>
      <c r="G101" s="348"/>
      <c r="H101" s="349"/>
      <c r="I101" s="414">
        <v>1</v>
      </c>
      <c r="J101" s="415">
        <v>2</v>
      </c>
      <c r="K101" s="416">
        <f t="shared" si="6"/>
        <v>1</v>
      </c>
      <c r="L101" s="417">
        <f t="shared" si="7"/>
        <v>200</v>
      </c>
      <c r="N101" s="344">
        <f t="shared" si="9"/>
        <v>0</v>
      </c>
    </row>
    <row r="102" spans="1:14" s="411" customFormat="1" ht="12.75" customHeight="1">
      <c r="A102" s="326">
        <f t="shared" si="8"/>
        <v>101</v>
      </c>
      <c r="B102" s="387">
        <v>3200</v>
      </c>
      <c r="C102" s="259">
        <v>6115</v>
      </c>
      <c r="D102" s="259" t="s">
        <v>371</v>
      </c>
      <c r="E102" s="259">
        <v>5156</v>
      </c>
      <c r="F102" s="259" t="s">
        <v>372</v>
      </c>
      <c r="G102" s="348"/>
      <c r="H102" s="349"/>
      <c r="I102" s="414">
        <v>2</v>
      </c>
      <c r="J102" s="415">
        <v>5</v>
      </c>
      <c r="K102" s="416">
        <f t="shared" si="6"/>
        <v>3</v>
      </c>
      <c r="L102" s="417">
        <f t="shared" si="7"/>
        <v>250</v>
      </c>
      <c r="N102" s="344">
        <f t="shared" si="9"/>
        <v>0</v>
      </c>
    </row>
    <row r="103" spans="1:14" s="411" customFormat="1" ht="12.75" customHeight="1">
      <c r="A103" s="326">
        <f t="shared" si="8"/>
        <v>102</v>
      </c>
      <c r="B103" s="387">
        <v>3200</v>
      </c>
      <c r="C103" s="259">
        <v>6115</v>
      </c>
      <c r="D103" s="259" t="s">
        <v>371</v>
      </c>
      <c r="E103" s="259">
        <v>5169</v>
      </c>
      <c r="F103" s="259" t="s">
        <v>316</v>
      </c>
      <c r="G103" s="348"/>
      <c r="H103" s="349"/>
      <c r="I103" s="414">
        <v>6</v>
      </c>
      <c r="J103" s="415">
        <v>4</v>
      </c>
      <c r="K103" s="416">
        <f t="shared" si="6"/>
        <v>-2</v>
      </c>
      <c r="L103" s="417">
        <f t="shared" si="7"/>
        <v>66.66666666666666</v>
      </c>
      <c r="N103" s="344">
        <f t="shared" si="9"/>
        <v>0</v>
      </c>
    </row>
    <row r="104" spans="1:14" s="411" customFormat="1" ht="12.75" customHeight="1">
      <c r="A104" s="326">
        <f t="shared" si="8"/>
        <v>103</v>
      </c>
      <c r="B104" s="387"/>
      <c r="C104" s="347" t="s">
        <v>373</v>
      </c>
      <c r="D104" s="259"/>
      <c r="E104" s="259"/>
      <c r="F104" s="259"/>
      <c r="G104" s="348"/>
      <c r="H104" s="349"/>
      <c r="I104" s="418">
        <f>SUBTOTAL(9,I98:I103)</f>
        <v>44</v>
      </c>
      <c r="J104" s="418">
        <f>SUBTOTAL(9,J98:J103)</f>
        <v>124</v>
      </c>
      <c r="K104" s="412">
        <f t="shared" si="6"/>
        <v>80</v>
      </c>
      <c r="L104" s="413">
        <f t="shared" si="7"/>
        <v>281.8181818181818</v>
      </c>
      <c r="N104" s="344">
        <f t="shared" si="9"/>
        <v>0</v>
      </c>
    </row>
    <row r="105" spans="1:14" s="411" customFormat="1" ht="12.75" customHeight="1">
      <c r="A105" s="326">
        <f t="shared" si="8"/>
        <v>104</v>
      </c>
      <c r="B105" s="387">
        <v>3200</v>
      </c>
      <c r="C105" s="259">
        <v>6117</v>
      </c>
      <c r="D105" s="259" t="s">
        <v>287</v>
      </c>
      <c r="E105" s="259">
        <v>5011</v>
      </c>
      <c r="F105" s="259" t="s">
        <v>350</v>
      </c>
      <c r="G105" s="348"/>
      <c r="H105" s="349"/>
      <c r="I105" s="414">
        <v>25</v>
      </c>
      <c r="J105" s="415">
        <v>6</v>
      </c>
      <c r="K105" s="416">
        <f t="shared" si="6"/>
        <v>-19</v>
      </c>
      <c r="L105" s="417">
        <f t="shared" si="7"/>
        <v>24</v>
      </c>
      <c r="N105" s="344">
        <f t="shared" si="9"/>
        <v>0</v>
      </c>
    </row>
    <row r="106" spans="1:14" s="411" customFormat="1" ht="12.75" customHeight="1">
      <c r="A106" s="326">
        <f t="shared" si="8"/>
        <v>105</v>
      </c>
      <c r="B106" s="387">
        <v>3200</v>
      </c>
      <c r="C106" s="259">
        <v>6117</v>
      </c>
      <c r="D106" s="259" t="s">
        <v>287</v>
      </c>
      <c r="E106" s="259">
        <v>5031</v>
      </c>
      <c r="F106" s="259" t="s">
        <v>353</v>
      </c>
      <c r="G106" s="348"/>
      <c r="H106" s="349"/>
      <c r="I106" s="414">
        <v>7</v>
      </c>
      <c r="J106" s="415">
        <v>1</v>
      </c>
      <c r="K106" s="416">
        <f t="shared" si="6"/>
        <v>-6</v>
      </c>
      <c r="L106" s="417">
        <f t="shared" si="7"/>
        <v>14.285714285714285</v>
      </c>
      <c r="N106" s="344">
        <f t="shared" si="9"/>
        <v>0</v>
      </c>
    </row>
    <row r="107" spans="1:14" s="411" customFormat="1" ht="12.75" customHeight="1">
      <c r="A107" s="326">
        <f t="shared" si="8"/>
        <v>106</v>
      </c>
      <c r="B107" s="387">
        <v>3200</v>
      </c>
      <c r="C107" s="259">
        <v>6117</v>
      </c>
      <c r="D107" s="259" t="s">
        <v>287</v>
      </c>
      <c r="E107" s="259">
        <v>5032</v>
      </c>
      <c r="F107" s="259" t="s">
        <v>354</v>
      </c>
      <c r="G107" s="348"/>
      <c r="H107" s="349"/>
      <c r="I107" s="414">
        <v>3</v>
      </c>
      <c r="J107" s="415">
        <v>1</v>
      </c>
      <c r="K107" s="416">
        <f t="shared" si="6"/>
        <v>-2</v>
      </c>
      <c r="L107" s="417">
        <f t="shared" si="7"/>
        <v>33.33333333333333</v>
      </c>
      <c r="N107" s="344">
        <f t="shared" si="9"/>
        <v>0</v>
      </c>
    </row>
    <row r="108" spans="1:14" s="411" customFormat="1" ht="12.75" customHeight="1">
      <c r="A108" s="326">
        <f t="shared" si="8"/>
        <v>107</v>
      </c>
      <c r="B108" s="387">
        <v>3200</v>
      </c>
      <c r="C108" s="259">
        <v>6117</v>
      </c>
      <c r="D108" s="259" t="s">
        <v>287</v>
      </c>
      <c r="E108" s="259">
        <v>5169</v>
      </c>
      <c r="F108" s="259" t="s">
        <v>316</v>
      </c>
      <c r="G108" s="348"/>
      <c r="H108" s="349"/>
      <c r="I108" s="414">
        <v>7</v>
      </c>
      <c r="J108" s="415">
        <v>1</v>
      </c>
      <c r="K108" s="416">
        <f t="shared" si="6"/>
        <v>-6</v>
      </c>
      <c r="L108" s="417">
        <f t="shared" si="7"/>
        <v>14.285714285714285</v>
      </c>
      <c r="N108" s="344">
        <f t="shared" si="9"/>
        <v>0</v>
      </c>
    </row>
    <row r="109" spans="1:14" s="411" customFormat="1" ht="12.75" customHeight="1">
      <c r="A109" s="326">
        <f t="shared" si="8"/>
        <v>108</v>
      </c>
      <c r="B109" s="387"/>
      <c r="C109" s="347" t="s">
        <v>374</v>
      </c>
      <c r="D109" s="259"/>
      <c r="E109" s="259"/>
      <c r="F109" s="259"/>
      <c r="G109" s="348"/>
      <c r="H109" s="349"/>
      <c r="I109" s="418">
        <f>SUBTOTAL(9,I105:I108)</f>
        <v>42</v>
      </c>
      <c r="J109" s="418">
        <f>SUBTOTAL(9,J105:J108)</f>
        <v>9</v>
      </c>
      <c r="K109" s="412">
        <f t="shared" si="6"/>
        <v>-33</v>
      </c>
      <c r="L109" s="413">
        <f t="shared" si="7"/>
        <v>21.428571428571427</v>
      </c>
      <c r="N109" s="344">
        <f t="shared" si="9"/>
        <v>0</v>
      </c>
    </row>
    <row r="110" spans="1:14" s="411" customFormat="1" ht="12.75" customHeight="1">
      <c r="A110" s="326">
        <f t="shared" si="8"/>
        <v>109</v>
      </c>
      <c r="B110" s="387">
        <v>3200</v>
      </c>
      <c r="C110" s="259">
        <v>6171</v>
      </c>
      <c r="D110" s="356" t="s">
        <v>25</v>
      </c>
      <c r="E110" s="259">
        <v>5011</v>
      </c>
      <c r="F110" s="259" t="s">
        <v>350</v>
      </c>
      <c r="G110" s="336"/>
      <c r="H110" s="337">
        <v>366076</v>
      </c>
      <c r="I110" s="337">
        <f>369465</f>
        <v>369465</v>
      </c>
      <c r="J110" s="338">
        <f>361325+1874+807</f>
        <v>364006</v>
      </c>
      <c r="K110" s="339">
        <f t="shared" si="6"/>
        <v>-5459</v>
      </c>
      <c r="L110" s="343">
        <f t="shared" si="7"/>
        <v>98.52245814894509</v>
      </c>
      <c r="N110" s="344">
        <f t="shared" si="9"/>
        <v>0</v>
      </c>
    </row>
    <row r="111" spans="1:14" s="411" customFormat="1" ht="12.75" customHeight="1">
      <c r="A111" s="326">
        <f t="shared" si="8"/>
        <v>110</v>
      </c>
      <c r="B111" s="387">
        <v>3200</v>
      </c>
      <c r="C111" s="259">
        <v>6171</v>
      </c>
      <c r="D111" s="356" t="s">
        <v>25</v>
      </c>
      <c r="E111" s="259">
        <v>5011</v>
      </c>
      <c r="F111" s="259" t="s">
        <v>350</v>
      </c>
      <c r="G111" s="336" t="s">
        <v>351</v>
      </c>
      <c r="H111" s="337">
        <v>1570</v>
      </c>
      <c r="I111" s="337">
        <f>900+1193</f>
        <v>2093</v>
      </c>
      <c r="J111" s="338">
        <f>900+1190</f>
        <v>2090</v>
      </c>
      <c r="K111" s="339">
        <f t="shared" si="6"/>
        <v>-3</v>
      </c>
      <c r="L111" s="343">
        <f t="shared" si="7"/>
        <v>99.85666507405638</v>
      </c>
      <c r="N111" s="344">
        <f t="shared" si="9"/>
        <v>0</v>
      </c>
    </row>
    <row r="112" spans="1:14" s="411" customFormat="1" ht="12.75" customHeight="1">
      <c r="A112" s="326">
        <f t="shared" si="8"/>
        <v>111</v>
      </c>
      <c r="B112" s="387">
        <v>3200</v>
      </c>
      <c r="C112" s="259">
        <v>6171</v>
      </c>
      <c r="D112" s="356" t="s">
        <v>25</v>
      </c>
      <c r="E112" s="259">
        <v>5019</v>
      </c>
      <c r="F112" s="259" t="s">
        <v>367</v>
      </c>
      <c r="G112" s="336"/>
      <c r="H112" s="337">
        <v>30</v>
      </c>
      <c r="I112" s="337">
        <v>30</v>
      </c>
      <c r="J112" s="338"/>
      <c r="K112" s="339">
        <f t="shared" si="6"/>
        <v>-30</v>
      </c>
      <c r="L112" s="343">
        <f t="shared" si="7"/>
        <v>0</v>
      </c>
      <c r="N112" s="344">
        <f t="shared" si="9"/>
        <v>0</v>
      </c>
    </row>
    <row r="113" spans="1:14" s="411" customFormat="1" ht="12.75" customHeight="1">
      <c r="A113" s="326">
        <f t="shared" si="8"/>
        <v>112</v>
      </c>
      <c r="B113" s="387">
        <v>3200</v>
      </c>
      <c r="C113" s="259">
        <v>6171</v>
      </c>
      <c r="D113" s="356" t="s">
        <v>25</v>
      </c>
      <c r="E113" s="259">
        <v>5021</v>
      </c>
      <c r="F113" s="259" t="s">
        <v>352</v>
      </c>
      <c r="G113" s="336"/>
      <c r="H113" s="337">
        <v>600</v>
      </c>
      <c r="I113" s="337">
        <v>600</v>
      </c>
      <c r="J113" s="338">
        <v>423</v>
      </c>
      <c r="K113" s="339">
        <f t="shared" si="6"/>
        <v>-177</v>
      </c>
      <c r="L113" s="343">
        <f t="shared" si="7"/>
        <v>70.5</v>
      </c>
      <c r="N113" s="344">
        <f t="shared" si="9"/>
        <v>0</v>
      </c>
    </row>
    <row r="114" spans="1:14" s="411" customFormat="1" ht="12.75" customHeight="1">
      <c r="A114" s="326">
        <f t="shared" si="8"/>
        <v>113</v>
      </c>
      <c r="B114" s="387">
        <v>3200</v>
      </c>
      <c r="C114" s="259">
        <v>6171</v>
      </c>
      <c r="D114" s="356" t="s">
        <v>25</v>
      </c>
      <c r="E114" s="259">
        <v>5021</v>
      </c>
      <c r="F114" s="259" t="s">
        <v>352</v>
      </c>
      <c r="G114" s="336" t="s">
        <v>360</v>
      </c>
      <c r="H114" s="337">
        <v>60</v>
      </c>
      <c r="I114" s="337">
        <v>60</v>
      </c>
      <c r="J114" s="338">
        <v>40</v>
      </c>
      <c r="K114" s="339">
        <f t="shared" si="6"/>
        <v>-20</v>
      </c>
      <c r="L114" s="343">
        <f t="shared" si="7"/>
        <v>66.66666666666666</v>
      </c>
      <c r="N114" s="344">
        <f t="shared" si="9"/>
        <v>0</v>
      </c>
    </row>
    <row r="115" spans="1:14" s="411" customFormat="1" ht="12.75" customHeight="1">
      <c r="A115" s="326">
        <f t="shared" si="8"/>
        <v>114</v>
      </c>
      <c r="B115" s="387">
        <v>3200</v>
      </c>
      <c r="C115" s="259">
        <v>6171</v>
      </c>
      <c r="D115" s="356" t="s">
        <v>25</v>
      </c>
      <c r="E115" s="259">
        <v>5024</v>
      </c>
      <c r="F115" s="259" t="s">
        <v>375</v>
      </c>
      <c r="G115" s="336"/>
      <c r="H115" s="337">
        <v>1350</v>
      </c>
      <c r="I115" s="337">
        <v>1900</v>
      </c>
      <c r="J115" s="338">
        <v>1769</v>
      </c>
      <c r="K115" s="339">
        <f t="shared" si="6"/>
        <v>-131</v>
      </c>
      <c r="L115" s="343">
        <f t="shared" si="7"/>
        <v>93.10526315789474</v>
      </c>
      <c r="N115" s="344">
        <f t="shared" si="9"/>
        <v>0</v>
      </c>
    </row>
    <row r="116" spans="1:14" s="411" customFormat="1" ht="12.75" customHeight="1">
      <c r="A116" s="326">
        <f t="shared" si="8"/>
        <v>115</v>
      </c>
      <c r="B116" s="387">
        <v>3200</v>
      </c>
      <c r="C116" s="259">
        <v>6171</v>
      </c>
      <c r="D116" s="356" t="s">
        <v>25</v>
      </c>
      <c r="E116" s="259">
        <v>5031</v>
      </c>
      <c r="F116" s="259" t="s">
        <v>353</v>
      </c>
      <c r="G116" s="336"/>
      <c r="H116" s="337">
        <v>94381</v>
      </c>
      <c r="I116" s="337">
        <f>95366</f>
        <v>95366</v>
      </c>
      <c r="J116" s="338">
        <f>91632+469+202</f>
        <v>92303</v>
      </c>
      <c r="K116" s="339">
        <f t="shared" si="6"/>
        <v>-3063</v>
      </c>
      <c r="L116" s="343">
        <f t="shared" si="7"/>
        <v>96.7881634964243</v>
      </c>
      <c r="N116" s="344">
        <f t="shared" si="9"/>
        <v>0</v>
      </c>
    </row>
    <row r="117" spans="1:14" s="394" customFormat="1" ht="12.75" customHeight="1">
      <c r="A117" s="326">
        <f t="shared" si="8"/>
        <v>116</v>
      </c>
      <c r="B117" s="387">
        <v>3200</v>
      </c>
      <c r="C117" s="259">
        <v>6171</v>
      </c>
      <c r="D117" s="356" t="s">
        <v>25</v>
      </c>
      <c r="E117" s="259">
        <v>5031</v>
      </c>
      <c r="F117" s="259" t="s">
        <v>353</v>
      </c>
      <c r="G117" s="336" t="s">
        <v>351</v>
      </c>
      <c r="H117" s="337">
        <f>225+170</f>
        <v>395</v>
      </c>
      <c r="I117" s="337">
        <f>225+300</f>
        <v>525</v>
      </c>
      <c r="J117" s="338">
        <f>225+297</f>
        <v>522</v>
      </c>
      <c r="K117" s="339">
        <f t="shared" si="6"/>
        <v>-3</v>
      </c>
      <c r="L117" s="343">
        <f t="shared" si="7"/>
        <v>99.42857142857143</v>
      </c>
      <c r="N117" s="344">
        <f t="shared" si="9"/>
        <v>0</v>
      </c>
    </row>
    <row r="118" spans="1:14" s="411" customFormat="1" ht="12.75" customHeight="1">
      <c r="A118" s="326">
        <f t="shared" si="8"/>
        <v>117</v>
      </c>
      <c r="B118" s="387">
        <v>3200</v>
      </c>
      <c r="C118" s="259">
        <v>6171</v>
      </c>
      <c r="D118" s="259" t="s">
        <v>9</v>
      </c>
      <c r="E118" s="259">
        <v>5032</v>
      </c>
      <c r="F118" s="259" t="s">
        <v>354</v>
      </c>
      <c r="G118" s="336"/>
      <c r="H118" s="337">
        <v>34027</v>
      </c>
      <c r="I118" s="337">
        <f>34382</f>
        <v>34382</v>
      </c>
      <c r="J118" s="338">
        <f>32965+169+73</f>
        <v>33207</v>
      </c>
      <c r="K118" s="339">
        <f t="shared" si="6"/>
        <v>-1175</v>
      </c>
      <c r="L118" s="343">
        <f t="shared" si="7"/>
        <v>96.58251410621837</v>
      </c>
      <c r="N118" s="344">
        <f t="shared" si="9"/>
        <v>0</v>
      </c>
    </row>
    <row r="119" spans="1:14" s="411" customFormat="1" ht="12.75" customHeight="1">
      <c r="A119" s="326">
        <f t="shared" si="8"/>
        <v>118</v>
      </c>
      <c r="B119" s="387">
        <v>3200</v>
      </c>
      <c r="C119" s="259">
        <v>6171</v>
      </c>
      <c r="D119" s="259" t="s">
        <v>9</v>
      </c>
      <c r="E119" s="259">
        <v>5032</v>
      </c>
      <c r="F119" s="259" t="s">
        <v>354</v>
      </c>
      <c r="G119" s="336" t="s">
        <v>351</v>
      </c>
      <c r="H119" s="337">
        <v>141</v>
      </c>
      <c r="I119" s="337">
        <v>188</v>
      </c>
      <c r="J119" s="338">
        <f>81+107</f>
        <v>188</v>
      </c>
      <c r="K119" s="339">
        <f aca="true" t="shared" si="10" ref="K119:K178">J119-I119</f>
        <v>0</v>
      </c>
      <c r="L119" s="343">
        <f aca="true" t="shared" si="11" ref="L119:L178">J119/I119*100</f>
        <v>100</v>
      </c>
      <c r="N119" s="344">
        <f t="shared" si="9"/>
        <v>0</v>
      </c>
    </row>
    <row r="120" spans="1:14" ht="12.75" customHeight="1">
      <c r="A120" s="326">
        <f t="shared" si="8"/>
        <v>119</v>
      </c>
      <c r="B120" s="387">
        <v>3200</v>
      </c>
      <c r="C120" s="259">
        <v>6171</v>
      </c>
      <c r="D120" s="259" t="s">
        <v>9</v>
      </c>
      <c r="E120" s="259">
        <v>5038</v>
      </c>
      <c r="F120" s="259" t="s">
        <v>376</v>
      </c>
      <c r="G120" s="336"/>
      <c r="H120" s="337">
        <v>2477</v>
      </c>
      <c r="I120" s="337">
        <v>2477</v>
      </c>
      <c r="J120" s="338">
        <v>2462</v>
      </c>
      <c r="K120" s="339">
        <f t="shared" si="10"/>
        <v>-15</v>
      </c>
      <c r="L120" s="343">
        <f t="shared" si="11"/>
        <v>99.39442874444893</v>
      </c>
      <c r="N120" s="344">
        <f t="shared" si="9"/>
        <v>0</v>
      </c>
    </row>
    <row r="121" spans="1:14" ht="12.75" customHeight="1">
      <c r="A121" s="326">
        <f t="shared" si="8"/>
        <v>120</v>
      </c>
      <c r="B121" s="387">
        <v>3200</v>
      </c>
      <c r="C121" s="259">
        <v>6171</v>
      </c>
      <c r="D121" s="259" t="s">
        <v>9</v>
      </c>
      <c r="E121" s="259">
        <v>5039</v>
      </c>
      <c r="F121" s="259" t="s">
        <v>369</v>
      </c>
      <c r="G121" s="336"/>
      <c r="H121" s="337">
        <v>11</v>
      </c>
      <c r="I121" s="337">
        <v>11</v>
      </c>
      <c r="J121" s="338"/>
      <c r="K121" s="339">
        <f t="shared" si="10"/>
        <v>-11</v>
      </c>
      <c r="L121" s="343">
        <f t="shared" si="11"/>
        <v>0</v>
      </c>
      <c r="N121" s="344">
        <f t="shared" si="9"/>
        <v>0</v>
      </c>
    </row>
    <row r="122" spans="1:14" ht="12.75" customHeight="1">
      <c r="A122" s="326">
        <f t="shared" si="8"/>
        <v>121</v>
      </c>
      <c r="B122" s="387">
        <v>3200</v>
      </c>
      <c r="C122" s="259">
        <v>6171</v>
      </c>
      <c r="D122" s="259" t="s">
        <v>9</v>
      </c>
      <c r="E122" s="259">
        <v>5041</v>
      </c>
      <c r="F122" s="259" t="s">
        <v>345</v>
      </c>
      <c r="G122" s="336"/>
      <c r="H122" s="337"/>
      <c r="I122" s="337">
        <v>3</v>
      </c>
      <c r="J122" s="338">
        <v>1</v>
      </c>
      <c r="K122" s="339">
        <f t="shared" si="10"/>
        <v>-2</v>
      </c>
      <c r="L122" s="343">
        <f t="shared" si="11"/>
        <v>33.33333333333333</v>
      </c>
      <c r="N122" s="344">
        <f t="shared" si="9"/>
        <v>0</v>
      </c>
    </row>
    <row r="123" spans="1:14" ht="12.75" customHeight="1">
      <c r="A123" s="326">
        <f t="shared" si="8"/>
        <v>122</v>
      </c>
      <c r="B123" s="387">
        <v>3200</v>
      </c>
      <c r="C123" s="259">
        <v>6171</v>
      </c>
      <c r="D123" s="259" t="s">
        <v>9</v>
      </c>
      <c r="E123" s="259">
        <v>5132</v>
      </c>
      <c r="F123" s="259" t="s">
        <v>377</v>
      </c>
      <c r="G123" s="336"/>
      <c r="H123" s="337">
        <v>372</v>
      </c>
      <c r="I123" s="337">
        <v>356</v>
      </c>
      <c r="J123" s="338">
        <v>181</v>
      </c>
      <c r="K123" s="339">
        <f t="shared" si="10"/>
        <v>-175</v>
      </c>
      <c r="L123" s="343">
        <f t="shared" si="11"/>
        <v>50.84269662921348</v>
      </c>
      <c r="N123" s="344">
        <f t="shared" si="9"/>
        <v>0</v>
      </c>
    </row>
    <row r="124" spans="1:14" s="411" customFormat="1" ht="12.75" customHeight="1">
      <c r="A124" s="326">
        <f t="shared" si="8"/>
        <v>123</v>
      </c>
      <c r="B124" s="387">
        <v>3200</v>
      </c>
      <c r="C124" s="259">
        <v>6171</v>
      </c>
      <c r="D124" s="259" t="s">
        <v>9</v>
      </c>
      <c r="E124" s="259">
        <v>5133</v>
      </c>
      <c r="F124" s="259" t="s">
        <v>378</v>
      </c>
      <c r="G124" s="336"/>
      <c r="H124" s="337">
        <v>35</v>
      </c>
      <c r="I124" s="337">
        <v>131</v>
      </c>
      <c r="J124" s="338">
        <v>119</v>
      </c>
      <c r="K124" s="339">
        <f t="shared" si="10"/>
        <v>-12</v>
      </c>
      <c r="L124" s="343">
        <f t="shared" si="11"/>
        <v>90.83969465648855</v>
      </c>
      <c r="N124" s="344">
        <f t="shared" si="9"/>
        <v>0</v>
      </c>
    </row>
    <row r="125" spans="1:14" s="411" customFormat="1" ht="12.75" customHeight="1">
      <c r="A125" s="326">
        <f t="shared" si="8"/>
        <v>124</v>
      </c>
      <c r="B125" s="387">
        <v>3200</v>
      </c>
      <c r="C125" s="259">
        <v>6171</v>
      </c>
      <c r="D125" s="259" t="s">
        <v>9</v>
      </c>
      <c r="E125" s="259">
        <v>5133</v>
      </c>
      <c r="F125" s="259" t="s">
        <v>378</v>
      </c>
      <c r="G125" s="336" t="s">
        <v>360</v>
      </c>
      <c r="H125" s="337">
        <v>2</v>
      </c>
      <c r="I125" s="337">
        <v>2</v>
      </c>
      <c r="J125" s="338">
        <v>2</v>
      </c>
      <c r="K125" s="339">
        <f t="shared" si="10"/>
        <v>0</v>
      </c>
      <c r="L125" s="343">
        <f t="shared" si="11"/>
        <v>100</v>
      </c>
      <c r="N125" s="344">
        <f t="shared" si="9"/>
        <v>0</v>
      </c>
    </row>
    <row r="126" spans="1:14" s="411" customFormat="1" ht="12.75" customHeight="1">
      <c r="A126" s="326">
        <f t="shared" si="8"/>
        <v>125</v>
      </c>
      <c r="B126" s="387">
        <v>3200</v>
      </c>
      <c r="C126" s="259">
        <v>6171</v>
      </c>
      <c r="D126" s="259" t="s">
        <v>9</v>
      </c>
      <c r="E126" s="259">
        <v>5134</v>
      </c>
      <c r="F126" s="259" t="s">
        <v>379</v>
      </c>
      <c r="G126" s="336"/>
      <c r="H126" s="337"/>
      <c r="I126" s="337">
        <v>16</v>
      </c>
      <c r="J126" s="338">
        <v>15</v>
      </c>
      <c r="K126" s="339">
        <f t="shared" si="10"/>
        <v>-1</v>
      </c>
      <c r="L126" s="343">
        <f t="shared" si="11"/>
        <v>93.75</v>
      </c>
      <c r="N126" s="344">
        <f t="shared" si="9"/>
        <v>0</v>
      </c>
    </row>
    <row r="127" spans="1:14" s="411" customFormat="1" ht="12.75" customHeight="1">
      <c r="A127" s="326">
        <f t="shared" si="8"/>
        <v>126</v>
      </c>
      <c r="B127" s="387">
        <v>3200</v>
      </c>
      <c r="C127" s="259">
        <v>6171</v>
      </c>
      <c r="D127" s="259" t="s">
        <v>9</v>
      </c>
      <c r="E127" s="259">
        <v>5136</v>
      </c>
      <c r="F127" s="259" t="s">
        <v>341</v>
      </c>
      <c r="G127" s="336"/>
      <c r="H127" s="337">
        <v>1110</v>
      </c>
      <c r="I127" s="337">
        <v>1120</v>
      </c>
      <c r="J127" s="338">
        <v>640</v>
      </c>
      <c r="K127" s="339">
        <f t="shared" si="10"/>
        <v>-480</v>
      </c>
      <c r="L127" s="343">
        <f t="shared" si="11"/>
        <v>57.14285714285714</v>
      </c>
      <c r="N127" s="344">
        <f t="shared" si="9"/>
        <v>0</v>
      </c>
    </row>
    <row r="128" spans="1:14" s="411" customFormat="1" ht="12.75" customHeight="1">
      <c r="A128" s="326">
        <f t="shared" si="8"/>
        <v>127</v>
      </c>
      <c r="B128" s="387">
        <v>3200</v>
      </c>
      <c r="C128" s="259">
        <v>6171</v>
      </c>
      <c r="D128" s="259" t="s">
        <v>9</v>
      </c>
      <c r="E128" s="259">
        <v>5136</v>
      </c>
      <c r="F128" s="259" t="s">
        <v>341</v>
      </c>
      <c r="G128" s="336" t="s">
        <v>360</v>
      </c>
      <c r="H128" s="337">
        <v>35</v>
      </c>
      <c r="I128" s="337">
        <v>35</v>
      </c>
      <c r="J128" s="338">
        <v>21</v>
      </c>
      <c r="K128" s="339">
        <f t="shared" si="10"/>
        <v>-14</v>
      </c>
      <c r="L128" s="343">
        <f t="shared" si="11"/>
        <v>60</v>
      </c>
      <c r="N128" s="344">
        <f t="shared" si="9"/>
        <v>0</v>
      </c>
    </row>
    <row r="129" spans="1:14" s="411" customFormat="1" ht="12.75" customHeight="1">
      <c r="A129" s="326">
        <f t="shared" si="8"/>
        <v>128</v>
      </c>
      <c r="B129" s="387">
        <v>3200</v>
      </c>
      <c r="C129" s="259">
        <v>6171</v>
      </c>
      <c r="D129" s="259" t="s">
        <v>9</v>
      </c>
      <c r="E129" s="259">
        <v>5137</v>
      </c>
      <c r="F129" s="356" t="s">
        <v>346</v>
      </c>
      <c r="G129" s="419"/>
      <c r="H129" s="337">
        <v>3376</v>
      </c>
      <c r="I129" s="337">
        <v>2876</v>
      </c>
      <c r="J129" s="338">
        <v>2748</v>
      </c>
      <c r="K129" s="339">
        <f t="shared" si="10"/>
        <v>-128</v>
      </c>
      <c r="L129" s="343">
        <f t="shared" si="11"/>
        <v>95.54937413073714</v>
      </c>
      <c r="N129" s="344">
        <f t="shared" si="9"/>
        <v>0</v>
      </c>
    </row>
    <row r="130" spans="1:14" s="411" customFormat="1" ht="12.75" customHeight="1">
      <c r="A130" s="326">
        <f t="shared" si="8"/>
        <v>129</v>
      </c>
      <c r="B130" s="387">
        <v>3200</v>
      </c>
      <c r="C130" s="259">
        <v>6171</v>
      </c>
      <c r="D130" s="259" t="s">
        <v>9</v>
      </c>
      <c r="E130" s="259">
        <v>5137</v>
      </c>
      <c r="F130" s="356" t="s">
        <v>346</v>
      </c>
      <c r="G130" s="419" t="s">
        <v>360</v>
      </c>
      <c r="H130" s="337">
        <v>25</v>
      </c>
      <c r="I130" s="337">
        <v>25</v>
      </c>
      <c r="J130" s="338">
        <v>15</v>
      </c>
      <c r="K130" s="339">
        <f t="shared" si="10"/>
        <v>-10</v>
      </c>
      <c r="L130" s="343">
        <f t="shared" si="11"/>
        <v>60</v>
      </c>
      <c r="N130" s="344">
        <f t="shared" si="9"/>
        <v>0</v>
      </c>
    </row>
    <row r="131" spans="1:14" s="411" customFormat="1" ht="12.75" customHeight="1">
      <c r="A131" s="326">
        <f t="shared" si="8"/>
        <v>130</v>
      </c>
      <c r="B131" s="387">
        <v>3200</v>
      </c>
      <c r="C131" s="259">
        <v>6171</v>
      </c>
      <c r="D131" s="259" t="s">
        <v>9</v>
      </c>
      <c r="E131" s="259">
        <v>5139</v>
      </c>
      <c r="F131" s="259" t="s">
        <v>342</v>
      </c>
      <c r="G131" s="336"/>
      <c r="H131" s="337">
        <v>4699</v>
      </c>
      <c r="I131" s="337">
        <v>4603.49</v>
      </c>
      <c r="J131" s="338">
        <v>3519</v>
      </c>
      <c r="K131" s="339">
        <f t="shared" si="10"/>
        <v>-1084.4899999999998</v>
      </c>
      <c r="L131" s="343">
        <f t="shared" si="11"/>
        <v>76.44200378408556</v>
      </c>
      <c r="N131" s="344">
        <f t="shared" si="9"/>
        <v>0</v>
      </c>
    </row>
    <row r="132" spans="1:14" s="411" customFormat="1" ht="12.75" customHeight="1">
      <c r="A132" s="326">
        <f aca="true" t="shared" si="12" ref="A132:A195">A131+1</f>
        <v>131</v>
      </c>
      <c r="B132" s="387">
        <v>3200</v>
      </c>
      <c r="C132" s="259">
        <v>6171</v>
      </c>
      <c r="D132" s="259" t="s">
        <v>9</v>
      </c>
      <c r="E132" s="259">
        <v>5139</v>
      </c>
      <c r="F132" s="259" t="s">
        <v>342</v>
      </c>
      <c r="G132" s="336" t="s">
        <v>360</v>
      </c>
      <c r="H132" s="337">
        <v>31</v>
      </c>
      <c r="I132" s="337">
        <v>31</v>
      </c>
      <c r="J132" s="338">
        <v>25</v>
      </c>
      <c r="K132" s="339">
        <f t="shared" si="10"/>
        <v>-6</v>
      </c>
      <c r="L132" s="343">
        <f t="shared" si="11"/>
        <v>80.64516129032258</v>
      </c>
      <c r="N132" s="344">
        <f aca="true" t="shared" si="13" ref="N132:N195">I132-J132+K132</f>
        <v>0</v>
      </c>
    </row>
    <row r="133" spans="1:14" s="411" customFormat="1" ht="12.75" customHeight="1">
      <c r="A133" s="326">
        <f t="shared" si="12"/>
        <v>132</v>
      </c>
      <c r="B133" s="387">
        <v>3200</v>
      </c>
      <c r="C133" s="259">
        <v>6171</v>
      </c>
      <c r="D133" s="259" t="s">
        <v>9</v>
      </c>
      <c r="E133" s="259">
        <v>5153</v>
      </c>
      <c r="F133" s="259" t="s">
        <v>380</v>
      </c>
      <c r="G133" s="336" t="s">
        <v>360</v>
      </c>
      <c r="H133" s="337">
        <v>22</v>
      </c>
      <c r="I133" s="337">
        <v>22</v>
      </c>
      <c r="J133" s="338">
        <v>4</v>
      </c>
      <c r="K133" s="339">
        <f t="shared" si="10"/>
        <v>-18</v>
      </c>
      <c r="L133" s="343">
        <f t="shared" si="11"/>
        <v>18.181818181818183</v>
      </c>
      <c r="N133" s="344">
        <f t="shared" si="13"/>
        <v>0</v>
      </c>
    </row>
    <row r="134" spans="1:14" s="411" customFormat="1" ht="12.75" customHeight="1">
      <c r="A134" s="326">
        <f t="shared" si="12"/>
        <v>133</v>
      </c>
      <c r="B134" s="387">
        <v>3200</v>
      </c>
      <c r="C134" s="259">
        <v>6171</v>
      </c>
      <c r="D134" s="259" t="s">
        <v>9</v>
      </c>
      <c r="E134" s="259">
        <v>5154</v>
      </c>
      <c r="F134" s="259" t="s">
        <v>347</v>
      </c>
      <c r="G134" s="336" t="s">
        <v>360</v>
      </c>
      <c r="H134" s="337">
        <v>30</v>
      </c>
      <c r="I134" s="337">
        <v>30</v>
      </c>
      <c r="J134" s="338"/>
      <c r="K134" s="339">
        <f t="shared" si="10"/>
        <v>-30</v>
      </c>
      <c r="L134" s="343">
        <f t="shared" si="11"/>
        <v>0</v>
      </c>
      <c r="N134" s="344">
        <f t="shared" si="13"/>
        <v>0</v>
      </c>
    </row>
    <row r="135" spans="1:14" s="411" customFormat="1" ht="12.75" customHeight="1">
      <c r="A135" s="326">
        <f t="shared" si="12"/>
        <v>134</v>
      </c>
      <c r="B135" s="387">
        <v>3200</v>
      </c>
      <c r="C135" s="259">
        <v>6171</v>
      </c>
      <c r="D135" s="259" t="s">
        <v>9</v>
      </c>
      <c r="E135" s="259">
        <v>5156</v>
      </c>
      <c r="F135" s="259" t="s">
        <v>372</v>
      </c>
      <c r="G135" s="336"/>
      <c r="H135" s="337">
        <v>1670</v>
      </c>
      <c r="I135" s="337">
        <v>1670</v>
      </c>
      <c r="J135" s="338">
        <v>1360</v>
      </c>
      <c r="K135" s="339">
        <f t="shared" si="10"/>
        <v>-310</v>
      </c>
      <c r="L135" s="343">
        <f t="shared" si="11"/>
        <v>81.437125748503</v>
      </c>
      <c r="N135" s="344">
        <f t="shared" si="13"/>
        <v>0</v>
      </c>
    </row>
    <row r="136" spans="1:14" s="411" customFormat="1" ht="12.75" customHeight="1">
      <c r="A136" s="326">
        <f t="shared" si="12"/>
        <v>135</v>
      </c>
      <c r="B136" s="387">
        <v>3200</v>
      </c>
      <c r="C136" s="259">
        <v>6171</v>
      </c>
      <c r="D136" s="259" t="s">
        <v>9</v>
      </c>
      <c r="E136" s="259">
        <v>5156</v>
      </c>
      <c r="F136" s="259" t="s">
        <v>372</v>
      </c>
      <c r="G136" s="336" t="s">
        <v>360</v>
      </c>
      <c r="H136" s="337"/>
      <c r="I136" s="337">
        <v>1</v>
      </c>
      <c r="J136" s="338"/>
      <c r="K136" s="339">
        <f t="shared" si="10"/>
        <v>-1</v>
      </c>
      <c r="L136" s="343">
        <f t="shared" si="11"/>
        <v>0</v>
      </c>
      <c r="N136" s="344">
        <f t="shared" si="13"/>
        <v>0</v>
      </c>
    </row>
    <row r="137" spans="1:14" s="411" customFormat="1" ht="12.75" customHeight="1">
      <c r="A137" s="326">
        <f t="shared" si="12"/>
        <v>136</v>
      </c>
      <c r="B137" s="387">
        <v>3200</v>
      </c>
      <c r="C137" s="259">
        <v>6171</v>
      </c>
      <c r="D137" s="259" t="s">
        <v>9</v>
      </c>
      <c r="E137" s="259">
        <v>5161</v>
      </c>
      <c r="F137" s="259" t="s">
        <v>381</v>
      </c>
      <c r="G137" s="336"/>
      <c r="H137" s="337">
        <v>6041</v>
      </c>
      <c r="I137" s="337">
        <v>5841</v>
      </c>
      <c r="J137" s="338">
        <v>4010</v>
      </c>
      <c r="K137" s="339">
        <f t="shared" si="10"/>
        <v>-1831</v>
      </c>
      <c r="L137" s="343">
        <f t="shared" si="11"/>
        <v>68.65262797466187</v>
      </c>
      <c r="N137" s="344">
        <f t="shared" si="13"/>
        <v>0</v>
      </c>
    </row>
    <row r="138" spans="1:14" ht="12.75" customHeight="1">
      <c r="A138" s="326">
        <f t="shared" si="12"/>
        <v>137</v>
      </c>
      <c r="B138" s="387">
        <v>3200</v>
      </c>
      <c r="C138" s="259">
        <v>6171</v>
      </c>
      <c r="D138" s="259" t="s">
        <v>9</v>
      </c>
      <c r="E138" s="259">
        <v>5162</v>
      </c>
      <c r="F138" s="259" t="s">
        <v>382</v>
      </c>
      <c r="G138" s="336"/>
      <c r="H138" s="337">
        <v>20</v>
      </c>
      <c r="I138" s="337">
        <v>20</v>
      </c>
      <c r="J138" s="338">
        <v>13</v>
      </c>
      <c r="K138" s="339">
        <f t="shared" si="10"/>
        <v>-7</v>
      </c>
      <c r="L138" s="343">
        <f t="shared" si="11"/>
        <v>65</v>
      </c>
      <c r="N138" s="344">
        <f t="shared" si="13"/>
        <v>0</v>
      </c>
    </row>
    <row r="139" spans="1:14" ht="12.75" customHeight="1">
      <c r="A139" s="326">
        <f t="shared" si="12"/>
        <v>138</v>
      </c>
      <c r="B139" s="387">
        <v>3200</v>
      </c>
      <c r="C139" s="259">
        <v>6171</v>
      </c>
      <c r="D139" s="259" t="s">
        <v>9</v>
      </c>
      <c r="E139" s="259">
        <v>5163</v>
      </c>
      <c r="F139" s="259" t="s">
        <v>323</v>
      </c>
      <c r="G139" s="336"/>
      <c r="H139" s="337">
        <v>875</v>
      </c>
      <c r="I139" s="337">
        <v>875</v>
      </c>
      <c r="J139" s="338">
        <v>852</v>
      </c>
      <c r="K139" s="339">
        <f t="shared" si="10"/>
        <v>-23</v>
      </c>
      <c r="L139" s="343">
        <f t="shared" si="11"/>
        <v>97.37142857142858</v>
      </c>
      <c r="N139" s="344">
        <f t="shared" si="13"/>
        <v>0</v>
      </c>
    </row>
    <row r="140" spans="1:14" ht="12.75" customHeight="1">
      <c r="A140" s="326">
        <f t="shared" si="12"/>
        <v>139</v>
      </c>
      <c r="B140" s="387">
        <v>3200</v>
      </c>
      <c r="C140" s="259">
        <v>6171</v>
      </c>
      <c r="D140" s="259" t="s">
        <v>9</v>
      </c>
      <c r="E140" s="259">
        <v>5164</v>
      </c>
      <c r="F140" s="259" t="s">
        <v>348</v>
      </c>
      <c r="G140" s="336"/>
      <c r="H140" s="337">
        <v>1073</v>
      </c>
      <c r="I140" s="337">
        <v>1073</v>
      </c>
      <c r="J140" s="338">
        <v>597</v>
      </c>
      <c r="K140" s="339">
        <f t="shared" si="10"/>
        <v>-476</v>
      </c>
      <c r="L140" s="343">
        <f t="shared" si="11"/>
        <v>55.63839701770736</v>
      </c>
      <c r="N140" s="344">
        <f t="shared" si="13"/>
        <v>0</v>
      </c>
    </row>
    <row r="141" spans="1:14" s="411" customFormat="1" ht="12.75" customHeight="1">
      <c r="A141" s="326">
        <f t="shared" si="12"/>
        <v>140</v>
      </c>
      <c r="B141" s="387">
        <v>3200</v>
      </c>
      <c r="C141" s="259">
        <v>6171</v>
      </c>
      <c r="D141" s="259" t="s">
        <v>9</v>
      </c>
      <c r="E141" s="259">
        <v>5164</v>
      </c>
      <c r="F141" s="259" t="s">
        <v>348</v>
      </c>
      <c r="G141" s="336" t="s">
        <v>360</v>
      </c>
      <c r="H141" s="337">
        <v>10</v>
      </c>
      <c r="I141" s="337">
        <v>10</v>
      </c>
      <c r="J141" s="338">
        <v>3</v>
      </c>
      <c r="K141" s="339">
        <f t="shared" si="10"/>
        <v>-7</v>
      </c>
      <c r="L141" s="343">
        <f t="shared" si="11"/>
        <v>30</v>
      </c>
      <c r="N141" s="344">
        <f t="shared" si="13"/>
        <v>0</v>
      </c>
    </row>
    <row r="142" spans="1:14" ht="12.75" customHeight="1">
      <c r="A142" s="326">
        <f t="shared" si="12"/>
        <v>141</v>
      </c>
      <c r="B142" s="387">
        <v>3200</v>
      </c>
      <c r="C142" s="259">
        <v>6171</v>
      </c>
      <c r="D142" s="259" t="s">
        <v>9</v>
      </c>
      <c r="E142" s="259">
        <v>5166</v>
      </c>
      <c r="F142" s="259" t="s">
        <v>315</v>
      </c>
      <c r="G142" s="336"/>
      <c r="H142" s="337">
        <v>1870</v>
      </c>
      <c r="I142" s="337">
        <v>1870</v>
      </c>
      <c r="J142" s="338">
        <v>492</v>
      </c>
      <c r="K142" s="339">
        <f t="shared" si="10"/>
        <v>-1378</v>
      </c>
      <c r="L142" s="343">
        <f t="shared" si="11"/>
        <v>26.31016042780749</v>
      </c>
      <c r="N142" s="344">
        <f t="shared" si="13"/>
        <v>0</v>
      </c>
    </row>
    <row r="143" spans="1:14" ht="12.75" customHeight="1">
      <c r="A143" s="326">
        <f t="shared" si="12"/>
        <v>142</v>
      </c>
      <c r="B143" s="387">
        <v>3200</v>
      </c>
      <c r="C143" s="259">
        <v>6171</v>
      </c>
      <c r="D143" s="259" t="s">
        <v>9</v>
      </c>
      <c r="E143" s="259">
        <v>5167</v>
      </c>
      <c r="F143" s="259" t="s">
        <v>383</v>
      </c>
      <c r="G143" s="336"/>
      <c r="H143" s="337">
        <v>6100</v>
      </c>
      <c r="I143" s="337">
        <v>6100</v>
      </c>
      <c r="J143" s="338">
        <v>4684</v>
      </c>
      <c r="K143" s="339">
        <f t="shared" si="10"/>
        <v>-1416</v>
      </c>
      <c r="L143" s="343">
        <f t="shared" si="11"/>
        <v>76.78688524590164</v>
      </c>
      <c r="N143" s="344">
        <f t="shared" si="13"/>
        <v>0</v>
      </c>
    </row>
    <row r="144" spans="1:14" ht="12.75" customHeight="1">
      <c r="A144" s="326">
        <f t="shared" si="12"/>
        <v>143</v>
      </c>
      <c r="B144" s="387">
        <v>3200</v>
      </c>
      <c r="C144" s="259">
        <v>6171</v>
      </c>
      <c r="D144" s="259" t="s">
        <v>9</v>
      </c>
      <c r="E144" s="259">
        <v>5167</v>
      </c>
      <c r="F144" s="259" t="s">
        <v>383</v>
      </c>
      <c r="G144" s="336" t="s">
        <v>360</v>
      </c>
      <c r="H144" s="337">
        <v>800</v>
      </c>
      <c r="I144" s="337">
        <v>730</v>
      </c>
      <c r="J144" s="338">
        <v>166</v>
      </c>
      <c r="K144" s="339">
        <f t="shared" si="10"/>
        <v>-564</v>
      </c>
      <c r="L144" s="343">
        <f t="shared" si="11"/>
        <v>22.73972602739726</v>
      </c>
      <c r="N144" s="344">
        <f t="shared" si="13"/>
        <v>0</v>
      </c>
    </row>
    <row r="145" spans="1:14" ht="12.75" customHeight="1">
      <c r="A145" s="326">
        <f t="shared" si="12"/>
        <v>144</v>
      </c>
      <c r="B145" s="387">
        <v>3200</v>
      </c>
      <c r="C145" s="259">
        <v>6171</v>
      </c>
      <c r="D145" s="259" t="s">
        <v>9</v>
      </c>
      <c r="E145" s="259">
        <v>5169</v>
      </c>
      <c r="F145" s="259" t="s">
        <v>316</v>
      </c>
      <c r="G145" s="336"/>
      <c r="H145" s="337">
        <v>11611</v>
      </c>
      <c r="I145" s="337">
        <v>11550</v>
      </c>
      <c r="J145" s="338">
        <v>9808</v>
      </c>
      <c r="K145" s="339">
        <f t="shared" si="10"/>
        <v>-1742</v>
      </c>
      <c r="L145" s="343">
        <f t="shared" si="11"/>
        <v>84.91774891774891</v>
      </c>
      <c r="N145" s="344">
        <f t="shared" si="13"/>
        <v>0</v>
      </c>
    </row>
    <row r="146" spans="1:14" ht="12.75" customHeight="1">
      <c r="A146" s="326">
        <f t="shared" si="12"/>
        <v>145</v>
      </c>
      <c r="B146" s="387">
        <v>3200</v>
      </c>
      <c r="C146" s="259">
        <v>6171</v>
      </c>
      <c r="D146" s="259" t="s">
        <v>9</v>
      </c>
      <c r="E146" s="259">
        <v>5169</v>
      </c>
      <c r="F146" s="259" t="s">
        <v>316</v>
      </c>
      <c r="G146" s="336" t="s">
        <v>360</v>
      </c>
      <c r="H146" s="337">
        <v>8950</v>
      </c>
      <c r="I146" s="337">
        <v>16077</v>
      </c>
      <c r="J146" s="338">
        <v>15547</v>
      </c>
      <c r="K146" s="339">
        <f t="shared" si="10"/>
        <v>-530</v>
      </c>
      <c r="L146" s="343">
        <f t="shared" si="11"/>
        <v>96.7033650556696</v>
      </c>
      <c r="N146" s="344">
        <f t="shared" si="13"/>
        <v>0</v>
      </c>
    </row>
    <row r="147" spans="1:14" ht="12.75" customHeight="1">
      <c r="A147" s="326">
        <f t="shared" si="12"/>
        <v>146</v>
      </c>
      <c r="B147" s="387">
        <v>3200</v>
      </c>
      <c r="C147" s="259">
        <v>6171</v>
      </c>
      <c r="D147" s="259" t="s">
        <v>9</v>
      </c>
      <c r="E147" s="259">
        <v>5171</v>
      </c>
      <c r="F147" s="259" t="s">
        <v>384</v>
      </c>
      <c r="G147" s="336"/>
      <c r="H147" s="337">
        <v>1713</v>
      </c>
      <c r="I147" s="337">
        <v>1713</v>
      </c>
      <c r="J147" s="338">
        <v>1017</v>
      </c>
      <c r="K147" s="339">
        <f t="shared" si="10"/>
        <v>-696</v>
      </c>
      <c r="L147" s="343">
        <f t="shared" si="11"/>
        <v>59.36952714535902</v>
      </c>
      <c r="N147" s="344">
        <f t="shared" si="13"/>
        <v>0</v>
      </c>
    </row>
    <row r="148" spans="1:14" ht="12.75" customHeight="1">
      <c r="A148" s="326">
        <f t="shared" si="12"/>
        <v>147</v>
      </c>
      <c r="B148" s="387">
        <v>3200</v>
      </c>
      <c r="C148" s="259">
        <v>6171</v>
      </c>
      <c r="D148" s="259" t="s">
        <v>9</v>
      </c>
      <c r="E148" s="259">
        <v>5171</v>
      </c>
      <c r="F148" s="259" t="s">
        <v>384</v>
      </c>
      <c r="G148" s="336" t="s">
        <v>360</v>
      </c>
      <c r="H148" s="337">
        <v>60</v>
      </c>
      <c r="I148" s="337">
        <v>100</v>
      </c>
      <c r="J148" s="338">
        <v>77</v>
      </c>
      <c r="K148" s="339">
        <f t="shared" si="10"/>
        <v>-23</v>
      </c>
      <c r="L148" s="343">
        <f t="shared" si="11"/>
        <v>77</v>
      </c>
      <c r="N148" s="344">
        <f t="shared" si="13"/>
        <v>0</v>
      </c>
    </row>
    <row r="149" spans="1:14" ht="12.75" customHeight="1">
      <c r="A149" s="326">
        <f t="shared" si="12"/>
        <v>148</v>
      </c>
      <c r="B149" s="387">
        <v>3200</v>
      </c>
      <c r="C149" s="259">
        <v>6171</v>
      </c>
      <c r="D149" s="259" t="s">
        <v>9</v>
      </c>
      <c r="E149" s="259">
        <v>5173</v>
      </c>
      <c r="F149" s="389" t="s">
        <v>355</v>
      </c>
      <c r="G149" s="336"/>
      <c r="H149" s="337">
        <v>1528</v>
      </c>
      <c r="I149" s="337">
        <v>1528</v>
      </c>
      <c r="J149" s="338">
        <v>1055</v>
      </c>
      <c r="K149" s="339">
        <f t="shared" si="10"/>
        <v>-473</v>
      </c>
      <c r="L149" s="343">
        <f t="shared" si="11"/>
        <v>69.04450261780106</v>
      </c>
      <c r="N149" s="344">
        <f t="shared" si="13"/>
        <v>0</v>
      </c>
    </row>
    <row r="150" spans="1:14" ht="12.75" customHeight="1">
      <c r="A150" s="326">
        <f t="shared" si="12"/>
        <v>149</v>
      </c>
      <c r="B150" s="387">
        <v>3200</v>
      </c>
      <c r="C150" s="259">
        <v>6171</v>
      </c>
      <c r="D150" s="259" t="s">
        <v>9</v>
      </c>
      <c r="E150" s="259">
        <v>5175</v>
      </c>
      <c r="F150" s="259" t="s">
        <v>334</v>
      </c>
      <c r="G150" s="336"/>
      <c r="H150" s="337">
        <v>2416</v>
      </c>
      <c r="I150" s="337">
        <v>2416</v>
      </c>
      <c r="J150" s="338">
        <v>1522</v>
      </c>
      <c r="K150" s="339">
        <f t="shared" si="10"/>
        <v>-894</v>
      </c>
      <c r="L150" s="343">
        <f t="shared" si="11"/>
        <v>62.996688741721854</v>
      </c>
      <c r="N150" s="344">
        <f t="shared" si="13"/>
        <v>0</v>
      </c>
    </row>
    <row r="151" spans="1:14" ht="12.75" customHeight="1">
      <c r="A151" s="326">
        <f t="shared" si="12"/>
        <v>150</v>
      </c>
      <c r="B151" s="387">
        <v>3200</v>
      </c>
      <c r="C151" s="259">
        <v>6171</v>
      </c>
      <c r="D151" s="259" t="s">
        <v>9</v>
      </c>
      <c r="E151" s="259">
        <v>5175</v>
      </c>
      <c r="F151" s="259" t="s">
        <v>334</v>
      </c>
      <c r="G151" s="336" t="s">
        <v>360</v>
      </c>
      <c r="H151" s="337">
        <v>20</v>
      </c>
      <c r="I151" s="337">
        <v>20</v>
      </c>
      <c r="J151" s="338">
        <v>3</v>
      </c>
      <c r="K151" s="339">
        <f t="shared" si="10"/>
        <v>-17</v>
      </c>
      <c r="L151" s="343">
        <f t="shared" si="11"/>
        <v>15</v>
      </c>
      <c r="N151" s="344">
        <f t="shared" si="13"/>
        <v>0</v>
      </c>
    </row>
    <row r="152" spans="1:14" ht="12.75" customHeight="1">
      <c r="A152" s="326">
        <f t="shared" si="12"/>
        <v>151</v>
      </c>
      <c r="B152" s="387">
        <v>3200</v>
      </c>
      <c r="C152" s="259">
        <v>6171</v>
      </c>
      <c r="D152" s="259" t="s">
        <v>9</v>
      </c>
      <c r="E152" s="259">
        <v>5176</v>
      </c>
      <c r="F152" s="259" t="s">
        <v>385</v>
      </c>
      <c r="G152" s="336"/>
      <c r="H152" s="337">
        <v>50</v>
      </c>
      <c r="I152" s="337">
        <v>50</v>
      </c>
      <c r="J152" s="338"/>
      <c r="K152" s="339">
        <f t="shared" si="10"/>
        <v>-50</v>
      </c>
      <c r="L152" s="343">
        <f t="shared" si="11"/>
        <v>0</v>
      </c>
      <c r="N152" s="344">
        <f t="shared" si="13"/>
        <v>0</v>
      </c>
    </row>
    <row r="153" spans="1:14" ht="12.75" customHeight="1">
      <c r="A153" s="326">
        <f t="shared" si="12"/>
        <v>152</v>
      </c>
      <c r="B153" s="387">
        <v>3200</v>
      </c>
      <c r="C153" s="259">
        <v>6171</v>
      </c>
      <c r="D153" s="259" t="s">
        <v>9</v>
      </c>
      <c r="E153" s="259">
        <v>5179</v>
      </c>
      <c r="F153" s="259" t="s">
        <v>386</v>
      </c>
      <c r="G153" s="336"/>
      <c r="H153" s="337">
        <v>30</v>
      </c>
      <c r="I153" s="337">
        <v>42</v>
      </c>
      <c r="J153" s="338">
        <v>42</v>
      </c>
      <c r="K153" s="339">
        <f t="shared" si="10"/>
        <v>0</v>
      </c>
      <c r="L153" s="343">
        <f t="shared" si="11"/>
        <v>100</v>
      </c>
      <c r="N153" s="344">
        <f t="shared" si="13"/>
        <v>0</v>
      </c>
    </row>
    <row r="154" spans="1:14" ht="12.75" customHeight="1">
      <c r="A154" s="326">
        <f t="shared" si="12"/>
        <v>153</v>
      </c>
      <c r="B154" s="387">
        <v>3200</v>
      </c>
      <c r="C154" s="259">
        <v>6171</v>
      </c>
      <c r="D154" s="259" t="s">
        <v>9</v>
      </c>
      <c r="E154" s="259">
        <v>5179</v>
      </c>
      <c r="F154" s="259" t="s">
        <v>386</v>
      </c>
      <c r="G154" s="336" t="s">
        <v>360</v>
      </c>
      <c r="H154" s="337">
        <v>3714</v>
      </c>
      <c r="I154" s="337">
        <v>3590</v>
      </c>
      <c r="J154" s="338">
        <v>3502</v>
      </c>
      <c r="K154" s="339">
        <f t="shared" si="10"/>
        <v>-88</v>
      </c>
      <c r="L154" s="343">
        <f t="shared" si="11"/>
        <v>97.54874651810584</v>
      </c>
      <c r="N154" s="344">
        <f t="shared" si="13"/>
        <v>0</v>
      </c>
    </row>
    <row r="155" spans="1:14" ht="12.75" customHeight="1">
      <c r="A155" s="326">
        <f t="shared" si="12"/>
        <v>154</v>
      </c>
      <c r="B155" s="387">
        <v>3200</v>
      </c>
      <c r="C155" s="259">
        <v>6171</v>
      </c>
      <c r="D155" s="259" t="s">
        <v>9</v>
      </c>
      <c r="E155" s="259">
        <v>5192</v>
      </c>
      <c r="F155" s="259" t="s">
        <v>335</v>
      </c>
      <c r="G155" s="336"/>
      <c r="H155" s="337">
        <v>850</v>
      </c>
      <c r="I155" s="337">
        <v>850</v>
      </c>
      <c r="J155" s="338">
        <v>552</v>
      </c>
      <c r="K155" s="339">
        <f t="shared" si="10"/>
        <v>-298</v>
      </c>
      <c r="L155" s="343">
        <f t="shared" si="11"/>
        <v>64.94117647058823</v>
      </c>
      <c r="N155" s="344">
        <f t="shared" si="13"/>
        <v>0</v>
      </c>
    </row>
    <row r="156" spans="1:14" ht="12.75" customHeight="1">
      <c r="A156" s="326">
        <f t="shared" si="12"/>
        <v>155</v>
      </c>
      <c r="B156" s="387">
        <v>3200</v>
      </c>
      <c r="C156" s="259">
        <v>6171</v>
      </c>
      <c r="D156" s="259" t="s">
        <v>9</v>
      </c>
      <c r="E156" s="259">
        <v>5194</v>
      </c>
      <c r="F156" s="259" t="s">
        <v>343</v>
      </c>
      <c r="G156" s="336"/>
      <c r="H156" s="337">
        <v>374</v>
      </c>
      <c r="I156" s="337">
        <v>784</v>
      </c>
      <c r="J156" s="338">
        <v>756</v>
      </c>
      <c r="K156" s="339">
        <f t="shared" si="10"/>
        <v>-28</v>
      </c>
      <c r="L156" s="343">
        <f t="shared" si="11"/>
        <v>96.42857142857143</v>
      </c>
      <c r="N156" s="344">
        <f t="shared" si="13"/>
        <v>0</v>
      </c>
    </row>
    <row r="157" spans="1:14" ht="12.75" customHeight="1">
      <c r="A157" s="326">
        <f t="shared" si="12"/>
        <v>156</v>
      </c>
      <c r="B157" s="387">
        <v>3200</v>
      </c>
      <c r="C157" s="259">
        <v>6171</v>
      </c>
      <c r="D157" s="259" t="s">
        <v>9</v>
      </c>
      <c r="E157" s="259">
        <v>5229</v>
      </c>
      <c r="F157" s="389" t="s">
        <v>336</v>
      </c>
      <c r="G157" s="420"/>
      <c r="H157" s="337">
        <v>1558</v>
      </c>
      <c r="I157" s="337">
        <v>1558</v>
      </c>
      <c r="J157" s="338">
        <v>1507</v>
      </c>
      <c r="K157" s="339">
        <f t="shared" si="10"/>
        <v>-51</v>
      </c>
      <c r="L157" s="343">
        <f t="shared" si="11"/>
        <v>96.72657252888318</v>
      </c>
      <c r="N157" s="344">
        <f t="shared" si="13"/>
        <v>0</v>
      </c>
    </row>
    <row r="158" spans="1:14" ht="12.75" customHeight="1">
      <c r="A158" s="326">
        <f t="shared" si="12"/>
        <v>157</v>
      </c>
      <c r="B158" s="387">
        <v>3200</v>
      </c>
      <c r="C158" s="259">
        <v>6171</v>
      </c>
      <c r="D158" s="259" t="s">
        <v>9</v>
      </c>
      <c r="E158" s="259">
        <v>5361</v>
      </c>
      <c r="F158" s="259" t="s">
        <v>387</v>
      </c>
      <c r="G158" s="336"/>
      <c r="H158" s="337">
        <v>421</v>
      </c>
      <c r="I158" s="337">
        <v>421</v>
      </c>
      <c r="J158" s="338">
        <v>329</v>
      </c>
      <c r="K158" s="339">
        <f t="shared" si="10"/>
        <v>-92</v>
      </c>
      <c r="L158" s="343">
        <f t="shared" si="11"/>
        <v>78.14726840855107</v>
      </c>
      <c r="N158" s="344">
        <f t="shared" si="13"/>
        <v>0</v>
      </c>
    </row>
    <row r="159" spans="1:14" ht="12.75" customHeight="1">
      <c r="A159" s="326">
        <f t="shared" si="12"/>
        <v>158</v>
      </c>
      <c r="B159" s="387">
        <v>3200</v>
      </c>
      <c r="C159" s="259">
        <v>6171</v>
      </c>
      <c r="D159" s="259" t="s">
        <v>9</v>
      </c>
      <c r="E159" s="259">
        <v>5362</v>
      </c>
      <c r="F159" s="259" t="s">
        <v>325</v>
      </c>
      <c r="G159" s="336"/>
      <c r="H159" s="337">
        <v>111</v>
      </c>
      <c r="I159" s="337">
        <v>111</v>
      </c>
      <c r="J159" s="338">
        <v>41</v>
      </c>
      <c r="K159" s="339">
        <f t="shared" si="10"/>
        <v>-70</v>
      </c>
      <c r="L159" s="343">
        <f t="shared" si="11"/>
        <v>36.93693693693694</v>
      </c>
      <c r="N159" s="344">
        <f t="shared" si="13"/>
        <v>0</v>
      </c>
    </row>
    <row r="160" spans="1:14" ht="12.75" customHeight="1">
      <c r="A160" s="326">
        <f t="shared" si="12"/>
        <v>159</v>
      </c>
      <c r="B160" s="387">
        <v>3200</v>
      </c>
      <c r="C160" s="259">
        <v>6171</v>
      </c>
      <c r="D160" s="259" t="s">
        <v>9</v>
      </c>
      <c r="E160" s="259">
        <v>5365</v>
      </c>
      <c r="F160" s="259" t="s">
        <v>388</v>
      </c>
      <c r="G160" s="336" t="s">
        <v>360</v>
      </c>
      <c r="H160" s="337">
        <v>21</v>
      </c>
      <c r="I160" s="337">
        <v>21</v>
      </c>
      <c r="J160" s="338">
        <v>9</v>
      </c>
      <c r="K160" s="339">
        <f t="shared" si="10"/>
        <v>-12</v>
      </c>
      <c r="L160" s="343">
        <f t="shared" si="11"/>
        <v>42.857142857142854</v>
      </c>
      <c r="N160" s="344">
        <f t="shared" si="13"/>
        <v>0</v>
      </c>
    </row>
    <row r="161" spans="1:14" ht="12.75" customHeight="1">
      <c r="A161" s="326">
        <f t="shared" si="12"/>
        <v>160</v>
      </c>
      <c r="B161" s="387">
        <v>3200</v>
      </c>
      <c r="C161" s="259">
        <v>6171</v>
      </c>
      <c r="D161" s="259" t="s">
        <v>9</v>
      </c>
      <c r="E161" s="259">
        <v>5424</v>
      </c>
      <c r="F161" s="259" t="s">
        <v>389</v>
      </c>
      <c r="G161" s="336"/>
      <c r="H161" s="337">
        <v>2517</v>
      </c>
      <c r="I161" s="337">
        <v>2517</v>
      </c>
      <c r="J161" s="338">
        <v>1563</v>
      </c>
      <c r="K161" s="339">
        <f t="shared" si="10"/>
        <v>-954</v>
      </c>
      <c r="L161" s="343">
        <f t="shared" si="11"/>
        <v>62.09773539928486</v>
      </c>
      <c r="N161" s="344">
        <f t="shared" si="13"/>
        <v>0</v>
      </c>
    </row>
    <row r="162" spans="1:14" ht="12.75" customHeight="1">
      <c r="A162" s="326">
        <f t="shared" si="12"/>
        <v>161</v>
      </c>
      <c r="B162" s="387">
        <v>3200</v>
      </c>
      <c r="C162" s="259">
        <v>6171</v>
      </c>
      <c r="D162" s="259" t="s">
        <v>9</v>
      </c>
      <c r="E162" s="259">
        <v>5492</v>
      </c>
      <c r="F162" s="259" t="s">
        <v>390</v>
      </c>
      <c r="G162" s="336"/>
      <c r="H162" s="337">
        <v>295</v>
      </c>
      <c r="I162" s="337">
        <v>295</v>
      </c>
      <c r="J162" s="338">
        <v>282</v>
      </c>
      <c r="K162" s="339">
        <f t="shared" si="10"/>
        <v>-13</v>
      </c>
      <c r="L162" s="343">
        <f t="shared" si="11"/>
        <v>95.59322033898306</v>
      </c>
      <c r="N162" s="344">
        <f t="shared" si="13"/>
        <v>0</v>
      </c>
    </row>
    <row r="163" spans="1:14" ht="12.75" customHeight="1">
      <c r="A163" s="326">
        <f t="shared" si="12"/>
        <v>162</v>
      </c>
      <c r="B163" s="387">
        <v>3200</v>
      </c>
      <c r="C163" s="259">
        <v>6171</v>
      </c>
      <c r="D163" s="259" t="s">
        <v>9</v>
      </c>
      <c r="E163" s="259">
        <v>5499</v>
      </c>
      <c r="F163" s="259" t="s">
        <v>391</v>
      </c>
      <c r="G163" s="336" t="s">
        <v>360</v>
      </c>
      <c r="H163" s="337">
        <v>4878</v>
      </c>
      <c r="I163" s="337">
        <v>4820</v>
      </c>
      <c r="J163" s="338">
        <v>4486</v>
      </c>
      <c r="K163" s="339">
        <f t="shared" si="10"/>
        <v>-334</v>
      </c>
      <c r="L163" s="343">
        <f t="shared" si="11"/>
        <v>93.07053941908714</v>
      </c>
      <c r="N163" s="344">
        <f t="shared" si="13"/>
        <v>0</v>
      </c>
    </row>
    <row r="164" spans="1:14" ht="12.75" customHeight="1">
      <c r="A164" s="326">
        <f t="shared" si="12"/>
        <v>163</v>
      </c>
      <c r="B164" s="391"/>
      <c r="C164" s="347" t="s">
        <v>319</v>
      </c>
      <c r="D164" s="347"/>
      <c r="E164" s="347"/>
      <c r="F164" s="347"/>
      <c r="G164" s="348"/>
      <c r="H164" s="349">
        <f>SUBTOTAL(9,H110:H163)</f>
        <v>570431</v>
      </c>
      <c r="I164" s="349">
        <f>SUBTOTAL(9,I110:I163)</f>
        <v>583000.49</v>
      </c>
      <c r="J164" s="349">
        <f>SUBTOTAL(9,J110:J163)</f>
        <v>558575</v>
      </c>
      <c r="K164" s="412">
        <f t="shared" si="10"/>
        <v>-24425.48999999999</v>
      </c>
      <c r="L164" s="413">
        <f t="shared" si="11"/>
        <v>95.81038259504722</v>
      </c>
      <c r="N164" s="344">
        <f t="shared" si="13"/>
        <v>0</v>
      </c>
    </row>
    <row r="165" spans="1:14" ht="12.75" customHeight="1">
      <c r="A165" s="326">
        <f t="shared" si="12"/>
        <v>164</v>
      </c>
      <c r="B165" s="387">
        <v>3200</v>
      </c>
      <c r="C165" s="259">
        <v>6223</v>
      </c>
      <c r="D165" s="259" t="s">
        <v>238</v>
      </c>
      <c r="E165" s="259">
        <v>5139</v>
      </c>
      <c r="F165" s="259" t="s">
        <v>342</v>
      </c>
      <c r="G165" s="336"/>
      <c r="H165" s="337">
        <v>80</v>
      </c>
      <c r="I165" s="337">
        <v>80</v>
      </c>
      <c r="J165" s="338">
        <v>42</v>
      </c>
      <c r="K165" s="339">
        <f t="shared" si="10"/>
        <v>-38</v>
      </c>
      <c r="L165" s="343">
        <f t="shared" si="11"/>
        <v>52.5</v>
      </c>
      <c r="N165" s="344">
        <f t="shared" si="13"/>
        <v>0</v>
      </c>
    </row>
    <row r="166" spans="1:14" ht="12.75" customHeight="1">
      <c r="A166" s="326">
        <f t="shared" si="12"/>
        <v>165</v>
      </c>
      <c r="B166" s="387">
        <v>3200</v>
      </c>
      <c r="C166" s="259">
        <v>6223</v>
      </c>
      <c r="D166" s="259" t="s">
        <v>238</v>
      </c>
      <c r="E166" s="259">
        <v>5163</v>
      </c>
      <c r="F166" s="259" t="s">
        <v>323</v>
      </c>
      <c r="G166" s="336"/>
      <c r="H166" s="337">
        <v>20</v>
      </c>
      <c r="I166" s="337">
        <v>20</v>
      </c>
      <c r="J166" s="338">
        <v>15</v>
      </c>
      <c r="K166" s="339">
        <f t="shared" si="10"/>
        <v>-5</v>
      </c>
      <c r="L166" s="343">
        <f t="shared" si="11"/>
        <v>75</v>
      </c>
      <c r="N166" s="344">
        <f t="shared" si="13"/>
        <v>0</v>
      </c>
    </row>
    <row r="167" spans="1:14" ht="12.75" customHeight="1">
      <c r="A167" s="326">
        <f t="shared" si="12"/>
        <v>166</v>
      </c>
      <c r="B167" s="387">
        <v>3200</v>
      </c>
      <c r="C167" s="259">
        <v>6223</v>
      </c>
      <c r="D167" s="259" t="s">
        <v>238</v>
      </c>
      <c r="E167" s="259">
        <v>5164</v>
      </c>
      <c r="F167" s="259" t="s">
        <v>348</v>
      </c>
      <c r="G167" s="336"/>
      <c r="H167" s="337">
        <v>160</v>
      </c>
      <c r="I167" s="337">
        <v>160</v>
      </c>
      <c r="J167" s="338">
        <v>80</v>
      </c>
      <c r="K167" s="339">
        <f t="shared" si="10"/>
        <v>-80</v>
      </c>
      <c r="L167" s="343">
        <f t="shared" si="11"/>
        <v>50</v>
      </c>
      <c r="N167" s="344">
        <f t="shared" si="13"/>
        <v>0</v>
      </c>
    </row>
    <row r="168" spans="1:14" ht="12.75" customHeight="1">
      <c r="A168" s="326">
        <f t="shared" si="12"/>
        <v>167</v>
      </c>
      <c r="B168" s="387">
        <v>3200</v>
      </c>
      <c r="C168" s="259">
        <v>6223</v>
      </c>
      <c r="D168" s="259" t="s">
        <v>238</v>
      </c>
      <c r="E168" s="259">
        <v>5169</v>
      </c>
      <c r="F168" s="259" t="s">
        <v>316</v>
      </c>
      <c r="G168" s="336"/>
      <c r="H168" s="337">
        <v>1938</v>
      </c>
      <c r="I168" s="337">
        <v>2254</v>
      </c>
      <c r="J168" s="338">
        <v>2025</v>
      </c>
      <c r="K168" s="339">
        <f t="shared" si="10"/>
        <v>-229</v>
      </c>
      <c r="L168" s="343">
        <f t="shared" si="11"/>
        <v>89.84028393966283</v>
      </c>
      <c r="N168" s="344">
        <f t="shared" si="13"/>
        <v>0</v>
      </c>
    </row>
    <row r="169" spans="1:14" ht="12.75" customHeight="1">
      <c r="A169" s="326">
        <f t="shared" si="12"/>
        <v>168</v>
      </c>
      <c r="B169" s="387">
        <v>3200</v>
      </c>
      <c r="C169" s="259">
        <v>6223</v>
      </c>
      <c r="D169" s="259" t="s">
        <v>238</v>
      </c>
      <c r="E169" s="259">
        <v>5173</v>
      </c>
      <c r="F169" s="259" t="s">
        <v>355</v>
      </c>
      <c r="G169" s="336"/>
      <c r="H169" s="337">
        <v>4080</v>
      </c>
      <c r="I169" s="337">
        <v>3880</v>
      </c>
      <c r="J169" s="338">
        <v>3625</v>
      </c>
      <c r="K169" s="339">
        <f t="shared" si="10"/>
        <v>-255</v>
      </c>
      <c r="L169" s="343">
        <f t="shared" si="11"/>
        <v>93.4278350515464</v>
      </c>
      <c r="N169" s="344">
        <f t="shared" si="13"/>
        <v>0</v>
      </c>
    </row>
    <row r="170" spans="1:14" ht="12.75" customHeight="1">
      <c r="A170" s="326">
        <f t="shared" si="12"/>
        <v>169</v>
      </c>
      <c r="B170" s="387">
        <v>3200</v>
      </c>
      <c r="C170" s="259">
        <v>6223</v>
      </c>
      <c r="D170" s="259" t="s">
        <v>238</v>
      </c>
      <c r="E170" s="259">
        <v>5175</v>
      </c>
      <c r="F170" s="259" t="s">
        <v>334</v>
      </c>
      <c r="G170" s="336"/>
      <c r="H170" s="337">
        <v>1071</v>
      </c>
      <c r="I170" s="337">
        <v>1118</v>
      </c>
      <c r="J170" s="338">
        <v>1042</v>
      </c>
      <c r="K170" s="339">
        <f t="shared" si="10"/>
        <v>-76</v>
      </c>
      <c r="L170" s="343">
        <f t="shared" si="11"/>
        <v>93.20214669051879</v>
      </c>
      <c r="N170" s="344">
        <f t="shared" si="13"/>
        <v>0</v>
      </c>
    </row>
    <row r="171" spans="1:14" ht="12.75" customHeight="1">
      <c r="A171" s="326">
        <f t="shared" si="12"/>
        <v>170</v>
      </c>
      <c r="B171" s="387">
        <v>3200</v>
      </c>
      <c r="C171" s="259">
        <v>6223</v>
      </c>
      <c r="D171" s="259" t="s">
        <v>238</v>
      </c>
      <c r="E171" s="259">
        <v>5176</v>
      </c>
      <c r="F171" s="259" t="s">
        <v>385</v>
      </c>
      <c r="G171" s="336"/>
      <c r="H171" s="337">
        <v>100</v>
      </c>
      <c r="I171" s="337">
        <v>100</v>
      </c>
      <c r="J171" s="338">
        <v>65</v>
      </c>
      <c r="K171" s="339">
        <f t="shared" si="10"/>
        <v>-35</v>
      </c>
      <c r="L171" s="343">
        <f t="shared" si="11"/>
        <v>65</v>
      </c>
      <c r="N171" s="344">
        <f t="shared" si="13"/>
        <v>0</v>
      </c>
    </row>
    <row r="172" spans="1:14" ht="12.75" customHeight="1">
      <c r="A172" s="326">
        <f t="shared" si="12"/>
        <v>171</v>
      </c>
      <c r="B172" s="387">
        <v>3200</v>
      </c>
      <c r="C172" s="259">
        <v>6223</v>
      </c>
      <c r="D172" s="259" t="s">
        <v>238</v>
      </c>
      <c r="E172" s="259">
        <v>5179</v>
      </c>
      <c r="F172" s="259" t="s">
        <v>386</v>
      </c>
      <c r="G172" s="336"/>
      <c r="H172" s="337">
        <v>42</v>
      </c>
      <c r="I172" s="337">
        <v>42</v>
      </c>
      <c r="J172" s="338"/>
      <c r="K172" s="339">
        <f t="shared" si="10"/>
        <v>-42</v>
      </c>
      <c r="L172" s="343">
        <f t="shared" si="11"/>
        <v>0</v>
      </c>
      <c r="N172" s="344">
        <f t="shared" si="13"/>
        <v>0</v>
      </c>
    </row>
    <row r="173" spans="1:14" ht="12.75" customHeight="1">
      <c r="A173" s="326">
        <f t="shared" si="12"/>
        <v>172</v>
      </c>
      <c r="B173" s="387">
        <v>3200</v>
      </c>
      <c r="C173" s="259">
        <v>6223</v>
      </c>
      <c r="D173" s="259" t="s">
        <v>238</v>
      </c>
      <c r="E173" s="259">
        <v>5194</v>
      </c>
      <c r="F173" s="259" t="s">
        <v>343</v>
      </c>
      <c r="G173" s="336"/>
      <c r="H173" s="337">
        <v>80</v>
      </c>
      <c r="I173" s="337">
        <v>80</v>
      </c>
      <c r="J173" s="338">
        <v>49</v>
      </c>
      <c r="K173" s="339">
        <f t="shared" si="10"/>
        <v>-31</v>
      </c>
      <c r="L173" s="343">
        <f t="shared" si="11"/>
        <v>61.25000000000001</v>
      </c>
      <c r="N173" s="344">
        <f t="shared" si="13"/>
        <v>0</v>
      </c>
    </row>
    <row r="174" spans="1:14" ht="12.75" customHeight="1">
      <c r="A174" s="326">
        <f t="shared" si="12"/>
        <v>173</v>
      </c>
      <c r="B174" s="387">
        <v>3200</v>
      </c>
      <c r="C174" s="259">
        <v>6223</v>
      </c>
      <c r="D174" s="259" t="s">
        <v>238</v>
      </c>
      <c r="E174" s="259">
        <v>5229</v>
      </c>
      <c r="F174" s="389" t="s">
        <v>336</v>
      </c>
      <c r="G174" s="336"/>
      <c r="H174" s="337">
        <v>839</v>
      </c>
      <c r="I174" s="337">
        <v>839</v>
      </c>
      <c r="J174" s="338">
        <v>768</v>
      </c>
      <c r="K174" s="339">
        <f t="shared" si="10"/>
        <v>-71</v>
      </c>
      <c r="L174" s="343">
        <f t="shared" si="11"/>
        <v>91.53754469606675</v>
      </c>
      <c r="N174" s="344">
        <f t="shared" si="13"/>
        <v>0</v>
      </c>
    </row>
    <row r="175" spans="1:14" ht="12.75" customHeight="1">
      <c r="A175" s="326">
        <f t="shared" si="12"/>
        <v>174</v>
      </c>
      <c r="B175" s="391"/>
      <c r="C175" s="347" t="s">
        <v>392</v>
      </c>
      <c r="D175" s="347"/>
      <c r="E175" s="347"/>
      <c r="F175" s="421"/>
      <c r="G175" s="422"/>
      <c r="H175" s="349">
        <f>SUBTOTAL(9,H165:H174)</f>
        <v>8410</v>
      </c>
      <c r="I175" s="349">
        <f>SUBTOTAL(9,I165:I174)</f>
        <v>8573</v>
      </c>
      <c r="J175" s="349">
        <f>SUBTOTAL(9,J165:J174)</f>
        <v>7711</v>
      </c>
      <c r="K175" s="412">
        <f t="shared" si="10"/>
        <v>-862</v>
      </c>
      <c r="L175" s="413">
        <f t="shared" si="11"/>
        <v>89.94517671760177</v>
      </c>
      <c r="N175" s="344">
        <f t="shared" si="13"/>
        <v>0</v>
      </c>
    </row>
    <row r="176" spans="1:14" ht="12.75" customHeight="1">
      <c r="A176" s="326">
        <f t="shared" si="12"/>
        <v>175</v>
      </c>
      <c r="B176" s="423">
        <v>3200</v>
      </c>
      <c r="C176" s="424">
        <v>6399</v>
      </c>
      <c r="D176" s="356" t="s">
        <v>81</v>
      </c>
      <c r="E176" s="424">
        <v>5909</v>
      </c>
      <c r="F176" s="259" t="s">
        <v>318</v>
      </c>
      <c r="G176" s="425"/>
      <c r="H176" s="426"/>
      <c r="I176" s="426"/>
      <c r="J176" s="427">
        <v>4408</v>
      </c>
      <c r="K176" s="339">
        <f t="shared" si="10"/>
        <v>4408</v>
      </c>
      <c r="L176" s="343"/>
      <c r="N176" s="344">
        <f t="shared" si="13"/>
        <v>0</v>
      </c>
    </row>
    <row r="177" spans="1:14" ht="12.75" customHeight="1">
      <c r="A177" s="326">
        <f t="shared" si="12"/>
        <v>176</v>
      </c>
      <c r="B177" s="423"/>
      <c r="C177" s="428" t="s">
        <v>326</v>
      </c>
      <c r="D177" s="424"/>
      <c r="E177" s="424"/>
      <c r="F177" s="424"/>
      <c r="G177" s="425"/>
      <c r="H177" s="426"/>
      <c r="I177" s="426"/>
      <c r="J177" s="429">
        <f>SUBTOTAL(9,J176)</f>
        <v>4408</v>
      </c>
      <c r="K177" s="430">
        <f t="shared" si="10"/>
        <v>4408</v>
      </c>
      <c r="L177" s="431"/>
      <c r="N177" s="344">
        <f t="shared" si="13"/>
        <v>0</v>
      </c>
    </row>
    <row r="178" spans="1:14" ht="13.5" customHeight="1" thickBot="1">
      <c r="A178" s="326">
        <f t="shared" si="12"/>
        <v>177</v>
      </c>
      <c r="B178" s="366" t="s">
        <v>33</v>
      </c>
      <c r="C178" s="367"/>
      <c r="D178" s="367"/>
      <c r="E178" s="367"/>
      <c r="F178" s="367"/>
      <c r="G178" s="368"/>
      <c r="H178" s="432">
        <f>SUBTOTAL(9,H55:H175)</f>
        <v>610846</v>
      </c>
      <c r="I178" s="432">
        <f>SUBTOTAL(9,I55:I175)</f>
        <v>641232.99</v>
      </c>
      <c r="J178" s="432">
        <f>SUBTOTAL(9,J55:J177)</f>
        <v>610996</v>
      </c>
      <c r="K178" s="433">
        <f t="shared" si="10"/>
        <v>-30236.98999999999</v>
      </c>
      <c r="L178" s="434">
        <f t="shared" si="11"/>
        <v>95.28455483863986</v>
      </c>
      <c r="N178" s="344">
        <f t="shared" si="13"/>
        <v>0</v>
      </c>
    </row>
    <row r="179" spans="1:14" ht="14.25" customHeight="1">
      <c r="A179" s="326">
        <f t="shared" si="12"/>
        <v>178</v>
      </c>
      <c r="B179" s="435"/>
      <c r="C179" s="436"/>
      <c r="D179" s="436"/>
      <c r="E179" s="436"/>
      <c r="F179" s="436"/>
      <c r="G179" s="437"/>
      <c r="H179" s="438">
        <v>0</v>
      </c>
      <c r="I179" s="438"/>
      <c r="J179" s="439"/>
      <c r="K179" s="440"/>
      <c r="L179" s="441"/>
      <c r="N179" s="344">
        <f t="shared" si="13"/>
        <v>0</v>
      </c>
    </row>
    <row r="180" spans="1:14" ht="14.25" customHeight="1">
      <c r="A180" s="326">
        <f t="shared" si="12"/>
        <v>179</v>
      </c>
      <c r="B180" s="380" t="s">
        <v>60</v>
      </c>
      <c r="C180" s="381"/>
      <c r="D180" s="381"/>
      <c r="E180" s="381"/>
      <c r="F180" s="381"/>
      <c r="G180" s="406"/>
      <c r="H180" s="442">
        <v>0</v>
      </c>
      <c r="I180" s="442"/>
      <c r="J180" s="443"/>
      <c r="K180" s="395"/>
      <c r="L180" s="396"/>
      <c r="N180" s="344">
        <f t="shared" si="13"/>
        <v>0</v>
      </c>
    </row>
    <row r="181" spans="1:14" s="394" customFormat="1" ht="12.75" customHeight="1">
      <c r="A181" s="326">
        <f t="shared" si="12"/>
        <v>180</v>
      </c>
      <c r="B181" s="387">
        <v>3600</v>
      </c>
      <c r="C181" s="259">
        <v>5212</v>
      </c>
      <c r="D181" s="259" t="s">
        <v>224</v>
      </c>
      <c r="E181" s="259">
        <v>5137</v>
      </c>
      <c r="F181" s="356" t="s">
        <v>346</v>
      </c>
      <c r="G181" s="419"/>
      <c r="H181" s="337">
        <v>100</v>
      </c>
      <c r="I181" s="337">
        <v>100</v>
      </c>
      <c r="J181" s="338">
        <v>0</v>
      </c>
      <c r="K181" s="339">
        <f aca="true" t="shared" si="14" ref="K181:K244">J181-I181</f>
        <v>-100</v>
      </c>
      <c r="L181" s="343">
        <f aca="true" t="shared" si="15" ref="L181:L238">J181/I181*100</f>
        <v>0</v>
      </c>
      <c r="N181" s="344">
        <f t="shared" si="13"/>
        <v>0</v>
      </c>
    </row>
    <row r="182" spans="1:14" s="394" customFormat="1" ht="12.75" customHeight="1">
      <c r="A182" s="326">
        <f t="shared" si="12"/>
        <v>181</v>
      </c>
      <c r="B182" s="387">
        <v>3600</v>
      </c>
      <c r="C182" s="259">
        <v>5212</v>
      </c>
      <c r="D182" s="259" t="s">
        <v>224</v>
      </c>
      <c r="E182" s="259">
        <v>5139</v>
      </c>
      <c r="F182" s="259" t="s">
        <v>342</v>
      </c>
      <c r="G182" s="419"/>
      <c r="H182" s="337">
        <v>100</v>
      </c>
      <c r="I182" s="337">
        <v>100</v>
      </c>
      <c r="J182" s="338">
        <v>0</v>
      </c>
      <c r="K182" s="339">
        <f t="shared" si="14"/>
        <v>-100</v>
      </c>
      <c r="L182" s="343">
        <f t="shared" si="15"/>
        <v>0</v>
      </c>
      <c r="N182" s="344">
        <f t="shared" si="13"/>
        <v>0</v>
      </c>
    </row>
    <row r="183" spans="1:14" s="394" customFormat="1" ht="12.75" customHeight="1">
      <c r="A183" s="326">
        <f t="shared" si="12"/>
        <v>182</v>
      </c>
      <c r="B183" s="387">
        <v>3600</v>
      </c>
      <c r="C183" s="259">
        <v>5212</v>
      </c>
      <c r="D183" s="259" t="s">
        <v>224</v>
      </c>
      <c r="E183" s="259">
        <v>5169</v>
      </c>
      <c r="F183" s="259" t="s">
        <v>393</v>
      </c>
      <c r="G183" s="336"/>
      <c r="H183" s="337">
        <v>100</v>
      </c>
      <c r="I183" s="337">
        <v>100</v>
      </c>
      <c r="J183" s="338">
        <v>5</v>
      </c>
      <c r="K183" s="339">
        <f t="shared" si="14"/>
        <v>-95</v>
      </c>
      <c r="L183" s="343">
        <f t="shared" si="15"/>
        <v>5</v>
      </c>
      <c r="N183" s="344">
        <f t="shared" si="13"/>
        <v>0</v>
      </c>
    </row>
    <row r="184" spans="1:14" s="394" customFormat="1" ht="12.75" customHeight="1">
      <c r="A184" s="326">
        <f t="shared" si="12"/>
        <v>183</v>
      </c>
      <c r="B184" s="387">
        <v>3600</v>
      </c>
      <c r="C184" s="259">
        <v>5212</v>
      </c>
      <c r="D184" s="259" t="s">
        <v>224</v>
      </c>
      <c r="E184" s="259">
        <v>5192</v>
      </c>
      <c r="F184" s="259" t="s">
        <v>335</v>
      </c>
      <c r="G184" s="419"/>
      <c r="H184" s="337">
        <v>100</v>
      </c>
      <c r="I184" s="337">
        <v>100</v>
      </c>
      <c r="J184" s="338">
        <v>0</v>
      </c>
      <c r="K184" s="339">
        <f t="shared" si="14"/>
        <v>-100</v>
      </c>
      <c r="L184" s="343">
        <f t="shared" si="15"/>
        <v>0</v>
      </c>
      <c r="N184" s="344">
        <f t="shared" si="13"/>
        <v>0</v>
      </c>
    </row>
    <row r="185" spans="1:14" s="394" customFormat="1" ht="12.75" customHeight="1">
      <c r="A185" s="326">
        <f t="shared" si="12"/>
        <v>184</v>
      </c>
      <c r="B185" s="387">
        <v>3600</v>
      </c>
      <c r="C185" s="259">
        <v>5212</v>
      </c>
      <c r="D185" s="259" t="s">
        <v>224</v>
      </c>
      <c r="E185" s="259">
        <v>5429</v>
      </c>
      <c r="F185" s="259" t="s">
        <v>313</v>
      </c>
      <c r="G185" s="419"/>
      <c r="H185" s="337">
        <v>100</v>
      </c>
      <c r="I185" s="337">
        <v>100</v>
      </c>
      <c r="J185" s="338">
        <v>0</v>
      </c>
      <c r="K185" s="339">
        <f t="shared" si="14"/>
        <v>-100</v>
      </c>
      <c r="L185" s="343">
        <f t="shared" si="15"/>
        <v>0</v>
      </c>
      <c r="N185" s="344">
        <f t="shared" si="13"/>
        <v>0</v>
      </c>
    </row>
    <row r="186" spans="1:14" ht="12.75" customHeight="1">
      <c r="A186" s="326">
        <f t="shared" si="12"/>
        <v>185</v>
      </c>
      <c r="B186" s="387"/>
      <c r="C186" s="617" t="s">
        <v>394</v>
      </c>
      <c r="D186" s="618"/>
      <c r="E186" s="259"/>
      <c r="F186" s="259"/>
      <c r="G186" s="406"/>
      <c r="H186" s="349">
        <f>SUBTOTAL(9,H181:H185)</f>
        <v>500</v>
      </c>
      <c r="I186" s="349">
        <f>SUBTOTAL(9,I181:I185)</f>
        <v>500</v>
      </c>
      <c r="J186" s="349">
        <f>SUBTOTAL(9,J181:J185)</f>
        <v>5</v>
      </c>
      <c r="K186" s="412">
        <f t="shared" si="14"/>
        <v>-495</v>
      </c>
      <c r="L186" s="413">
        <f t="shared" si="15"/>
        <v>1</v>
      </c>
      <c r="N186" s="344">
        <f t="shared" si="13"/>
        <v>0</v>
      </c>
    </row>
    <row r="187" spans="1:14" s="394" customFormat="1" ht="12.75" customHeight="1">
      <c r="A187" s="326">
        <f t="shared" si="12"/>
        <v>186</v>
      </c>
      <c r="B187" s="387">
        <v>3600</v>
      </c>
      <c r="C187" s="259">
        <v>5269</v>
      </c>
      <c r="D187" s="259" t="s">
        <v>249</v>
      </c>
      <c r="E187" s="259">
        <v>5139</v>
      </c>
      <c r="F187" s="259" t="s">
        <v>342</v>
      </c>
      <c r="G187" s="444"/>
      <c r="H187" s="337">
        <v>200</v>
      </c>
      <c r="I187" s="337">
        <v>200</v>
      </c>
      <c r="J187" s="338">
        <v>0</v>
      </c>
      <c r="K187" s="339">
        <f t="shared" si="14"/>
        <v>-200</v>
      </c>
      <c r="L187" s="343">
        <f t="shared" si="15"/>
        <v>0</v>
      </c>
      <c r="N187" s="344">
        <f t="shared" si="13"/>
        <v>0</v>
      </c>
    </row>
    <row r="188" spans="1:14" ht="12.75" customHeight="1">
      <c r="A188" s="326">
        <f t="shared" si="12"/>
        <v>187</v>
      </c>
      <c r="B188" s="387"/>
      <c r="C188" s="617" t="s">
        <v>395</v>
      </c>
      <c r="D188" s="618"/>
      <c r="E188" s="259"/>
      <c r="F188" s="259"/>
      <c r="G188" s="445"/>
      <c r="H188" s="349">
        <f>SUBTOTAL(9,H187:H187)</f>
        <v>200</v>
      </c>
      <c r="I188" s="349">
        <f>SUBTOTAL(9,I187:I187)</f>
        <v>200</v>
      </c>
      <c r="J188" s="349">
        <f>SUBTOTAL(9,J187:J187)</f>
        <v>0</v>
      </c>
      <c r="K188" s="430">
        <f t="shared" si="14"/>
        <v>-200</v>
      </c>
      <c r="L188" s="431">
        <f t="shared" si="15"/>
        <v>0</v>
      </c>
      <c r="N188" s="344">
        <f t="shared" si="13"/>
        <v>0</v>
      </c>
    </row>
    <row r="189" spans="1:14" s="394" customFormat="1" ht="12.75" customHeight="1">
      <c r="A189" s="326">
        <f t="shared" si="12"/>
        <v>188</v>
      </c>
      <c r="B189" s="387">
        <v>3600</v>
      </c>
      <c r="C189" s="259">
        <v>5273</v>
      </c>
      <c r="D189" s="259" t="s">
        <v>225</v>
      </c>
      <c r="E189" s="259">
        <v>5172</v>
      </c>
      <c r="F189" s="259" t="s">
        <v>396</v>
      </c>
      <c r="G189" s="444"/>
      <c r="H189" s="337">
        <v>60</v>
      </c>
      <c r="I189" s="337">
        <v>60</v>
      </c>
      <c r="J189" s="338">
        <v>0</v>
      </c>
      <c r="K189" s="339">
        <f t="shared" si="14"/>
        <v>-60</v>
      </c>
      <c r="L189" s="343">
        <f t="shared" si="15"/>
        <v>0</v>
      </c>
      <c r="N189" s="344">
        <f t="shared" si="13"/>
        <v>0</v>
      </c>
    </row>
    <row r="190" spans="1:14" s="394" customFormat="1" ht="12.75" customHeight="1">
      <c r="A190" s="326">
        <f t="shared" si="12"/>
        <v>189</v>
      </c>
      <c r="B190" s="387">
        <v>3600</v>
      </c>
      <c r="C190" s="259">
        <v>5273</v>
      </c>
      <c r="D190" s="259" t="s">
        <v>225</v>
      </c>
      <c r="E190" s="259">
        <v>5139</v>
      </c>
      <c r="F190" s="259" t="s">
        <v>342</v>
      </c>
      <c r="G190" s="444"/>
      <c r="H190" s="337">
        <v>240</v>
      </c>
      <c r="I190" s="337">
        <v>240</v>
      </c>
      <c r="J190" s="338">
        <v>0</v>
      </c>
      <c r="K190" s="339">
        <f t="shared" si="14"/>
        <v>-240</v>
      </c>
      <c r="L190" s="343">
        <f t="shared" si="15"/>
        <v>0</v>
      </c>
      <c r="N190" s="344">
        <f t="shared" si="13"/>
        <v>0</v>
      </c>
    </row>
    <row r="191" spans="1:14" ht="12.75" customHeight="1">
      <c r="A191" s="326">
        <f t="shared" si="12"/>
        <v>190</v>
      </c>
      <c r="B191" s="391"/>
      <c r="C191" s="617" t="s">
        <v>397</v>
      </c>
      <c r="D191" s="618"/>
      <c r="E191" s="347"/>
      <c r="F191" s="347"/>
      <c r="G191" s="445"/>
      <c r="H191" s="349">
        <f>SUBTOTAL(9,H189:H190)</f>
        <v>300</v>
      </c>
      <c r="I191" s="349">
        <f>SUBTOTAL(9,I189:I190)</f>
        <v>300</v>
      </c>
      <c r="J191" s="349">
        <f>SUBTOTAL(9,J189:J190)</f>
        <v>0</v>
      </c>
      <c r="K191" s="430">
        <f t="shared" si="14"/>
        <v>-300</v>
      </c>
      <c r="L191" s="431">
        <f t="shared" si="15"/>
        <v>0</v>
      </c>
      <c r="N191" s="344">
        <f t="shared" si="13"/>
        <v>0</v>
      </c>
    </row>
    <row r="192" spans="1:14" ht="13.5" customHeight="1" thickBot="1">
      <c r="A192" s="326">
        <f t="shared" si="12"/>
        <v>191</v>
      </c>
      <c r="B192" s="366" t="s">
        <v>61</v>
      </c>
      <c r="C192" s="367"/>
      <c r="D192" s="367"/>
      <c r="E192" s="367"/>
      <c r="F192" s="367"/>
      <c r="G192" s="368"/>
      <c r="H192" s="432">
        <f>SUBTOTAL(9,H181:H191)</f>
        <v>1000</v>
      </c>
      <c r="I192" s="432">
        <f>SUBTOTAL(9,I181:I191)</f>
        <v>1000</v>
      </c>
      <c r="J192" s="432">
        <f>SUBTOTAL(9,J181:J191)</f>
        <v>5</v>
      </c>
      <c r="K192" s="433">
        <f t="shared" si="14"/>
        <v>-995</v>
      </c>
      <c r="L192" s="434">
        <f t="shared" si="15"/>
        <v>0.5</v>
      </c>
      <c r="N192" s="344">
        <f t="shared" si="13"/>
        <v>0</v>
      </c>
    </row>
    <row r="193" spans="1:14" ht="14.25" customHeight="1">
      <c r="A193" s="326">
        <f t="shared" si="12"/>
        <v>192</v>
      </c>
      <c r="B193" s="446"/>
      <c r="C193" s="447"/>
      <c r="D193" s="447"/>
      <c r="E193" s="447"/>
      <c r="F193" s="421"/>
      <c r="G193" s="422"/>
      <c r="H193" s="448">
        <v>0</v>
      </c>
      <c r="I193" s="448"/>
      <c r="J193" s="449"/>
      <c r="K193" s="450"/>
      <c r="L193" s="451"/>
      <c r="N193" s="344">
        <f t="shared" si="13"/>
        <v>0</v>
      </c>
    </row>
    <row r="194" spans="1:14" ht="14.25" customHeight="1">
      <c r="A194" s="326">
        <f t="shared" si="12"/>
        <v>193</v>
      </c>
      <c r="B194" s="380" t="s">
        <v>55</v>
      </c>
      <c r="C194" s="356"/>
      <c r="D194" s="356"/>
      <c r="E194" s="356"/>
      <c r="F194" s="356"/>
      <c r="G194" s="419"/>
      <c r="H194" s="452">
        <v>0</v>
      </c>
      <c r="I194" s="452"/>
      <c r="J194" s="453"/>
      <c r="K194" s="454"/>
      <c r="L194" s="455"/>
      <c r="N194" s="344">
        <f t="shared" si="13"/>
        <v>0</v>
      </c>
    </row>
    <row r="195" spans="1:14" ht="12.75" customHeight="1">
      <c r="A195" s="326">
        <f t="shared" si="12"/>
        <v>194</v>
      </c>
      <c r="B195" s="387">
        <v>3900</v>
      </c>
      <c r="C195" s="259">
        <v>6211</v>
      </c>
      <c r="D195" s="259" t="s">
        <v>56</v>
      </c>
      <c r="E195" s="259">
        <v>5136</v>
      </c>
      <c r="F195" s="259" t="s">
        <v>341</v>
      </c>
      <c r="G195" s="336"/>
      <c r="H195" s="337">
        <v>74</v>
      </c>
      <c r="I195" s="337">
        <v>74</v>
      </c>
      <c r="J195" s="338">
        <v>71</v>
      </c>
      <c r="K195" s="339">
        <f t="shared" si="14"/>
        <v>-3</v>
      </c>
      <c r="L195" s="343">
        <f t="shared" si="15"/>
        <v>95.94594594594594</v>
      </c>
      <c r="N195" s="344">
        <f t="shared" si="13"/>
        <v>0</v>
      </c>
    </row>
    <row r="196" spans="1:14" ht="12.75" customHeight="1">
      <c r="A196" s="326">
        <f aca="true" t="shared" si="16" ref="A196:A259">A195+1</f>
        <v>195</v>
      </c>
      <c r="B196" s="387">
        <v>3900</v>
      </c>
      <c r="C196" s="259">
        <v>6211</v>
      </c>
      <c r="D196" s="259" t="s">
        <v>56</v>
      </c>
      <c r="E196" s="259">
        <v>5137</v>
      </c>
      <c r="F196" s="259" t="s">
        <v>346</v>
      </c>
      <c r="G196" s="419"/>
      <c r="H196" s="337">
        <v>119</v>
      </c>
      <c r="I196" s="337">
        <v>119</v>
      </c>
      <c r="J196" s="338">
        <v>97</v>
      </c>
      <c r="K196" s="339">
        <f t="shared" si="14"/>
        <v>-22</v>
      </c>
      <c r="L196" s="343">
        <f t="shared" si="15"/>
        <v>81.5126050420168</v>
      </c>
      <c r="N196" s="344">
        <f aca="true" t="shared" si="17" ref="N196:N259">I196-J196+K196</f>
        <v>0</v>
      </c>
    </row>
    <row r="197" spans="1:14" ht="12.75" customHeight="1">
      <c r="A197" s="326">
        <f t="shared" si="16"/>
        <v>196</v>
      </c>
      <c r="B197" s="387">
        <v>3900</v>
      </c>
      <c r="C197" s="259">
        <v>6211</v>
      </c>
      <c r="D197" s="259" t="s">
        <v>56</v>
      </c>
      <c r="E197" s="259">
        <v>5139</v>
      </c>
      <c r="F197" s="259" t="s">
        <v>342</v>
      </c>
      <c r="G197" s="336"/>
      <c r="H197" s="337">
        <v>109</v>
      </c>
      <c r="I197" s="337">
        <v>149</v>
      </c>
      <c r="J197" s="338">
        <v>131</v>
      </c>
      <c r="K197" s="339">
        <f t="shared" si="14"/>
        <v>-18</v>
      </c>
      <c r="L197" s="343">
        <f t="shared" si="15"/>
        <v>87.91946308724832</v>
      </c>
      <c r="N197" s="344">
        <f t="shared" si="17"/>
        <v>0</v>
      </c>
    </row>
    <row r="198" spans="1:14" ht="12.75" customHeight="1">
      <c r="A198" s="326">
        <f t="shared" si="16"/>
        <v>197</v>
      </c>
      <c r="B198" s="387">
        <v>3900</v>
      </c>
      <c r="C198" s="259">
        <v>6211</v>
      </c>
      <c r="D198" s="259" t="s">
        <v>56</v>
      </c>
      <c r="E198" s="259">
        <v>5161</v>
      </c>
      <c r="F198" s="259" t="s">
        <v>381</v>
      </c>
      <c r="G198" s="336"/>
      <c r="H198" s="337">
        <v>4</v>
      </c>
      <c r="I198" s="337">
        <v>4</v>
      </c>
      <c r="J198" s="338">
        <v>0</v>
      </c>
      <c r="K198" s="339">
        <f t="shared" si="14"/>
        <v>-4</v>
      </c>
      <c r="L198" s="343">
        <f t="shared" si="15"/>
        <v>0</v>
      </c>
      <c r="N198" s="344">
        <f t="shared" si="17"/>
        <v>0</v>
      </c>
    </row>
    <row r="199" spans="1:14" ht="12.75" customHeight="1">
      <c r="A199" s="326">
        <f t="shared" si="16"/>
        <v>198</v>
      </c>
      <c r="B199" s="387">
        <v>3900</v>
      </c>
      <c r="C199" s="259">
        <v>6211</v>
      </c>
      <c r="D199" s="259" t="s">
        <v>56</v>
      </c>
      <c r="E199" s="259">
        <v>5163</v>
      </c>
      <c r="F199" s="259" t="s">
        <v>323</v>
      </c>
      <c r="G199" s="336"/>
      <c r="H199" s="337">
        <v>5</v>
      </c>
      <c r="I199" s="337">
        <v>5</v>
      </c>
      <c r="J199" s="338">
        <v>5</v>
      </c>
      <c r="K199" s="339">
        <f t="shared" si="14"/>
        <v>0</v>
      </c>
      <c r="L199" s="343">
        <f t="shared" si="15"/>
        <v>100</v>
      </c>
      <c r="N199" s="344">
        <f t="shared" si="17"/>
        <v>0</v>
      </c>
    </row>
    <row r="200" spans="1:14" ht="12.75" customHeight="1">
      <c r="A200" s="326">
        <f t="shared" si="16"/>
        <v>199</v>
      </c>
      <c r="B200" s="387">
        <v>3900</v>
      </c>
      <c r="C200" s="259">
        <v>6211</v>
      </c>
      <c r="D200" s="259" t="s">
        <v>56</v>
      </c>
      <c r="E200" s="259">
        <v>5164</v>
      </c>
      <c r="F200" s="259" t="s">
        <v>348</v>
      </c>
      <c r="G200" s="336"/>
      <c r="H200" s="337">
        <v>2</v>
      </c>
      <c r="I200" s="337">
        <v>2</v>
      </c>
      <c r="J200" s="338">
        <v>2</v>
      </c>
      <c r="K200" s="339">
        <f t="shared" si="14"/>
        <v>0</v>
      </c>
      <c r="L200" s="343">
        <f t="shared" si="15"/>
        <v>100</v>
      </c>
      <c r="N200" s="344">
        <f t="shared" si="17"/>
        <v>0</v>
      </c>
    </row>
    <row r="201" spans="1:14" ht="12.75" customHeight="1">
      <c r="A201" s="326">
        <f t="shared" si="16"/>
        <v>200</v>
      </c>
      <c r="B201" s="387">
        <v>3900</v>
      </c>
      <c r="C201" s="259">
        <v>6211</v>
      </c>
      <c r="D201" s="259" t="s">
        <v>56</v>
      </c>
      <c r="E201" s="259">
        <v>5169</v>
      </c>
      <c r="F201" s="259" t="s">
        <v>316</v>
      </c>
      <c r="G201" s="336"/>
      <c r="H201" s="337">
        <v>1518</v>
      </c>
      <c r="I201" s="337">
        <v>1418</v>
      </c>
      <c r="J201" s="338">
        <v>1352</v>
      </c>
      <c r="K201" s="339">
        <f t="shared" si="14"/>
        <v>-66</v>
      </c>
      <c r="L201" s="343">
        <f t="shared" si="15"/>
        <v>95.34555712270803</v>
      </c>
      <c r="N201" s="344">
        <f t="shared" si="17"/>
        <v>0</v>
      </c>
    </row>
    <row r="202" spans="1:14" ht="12.75" customHeight="1">
      <c r="A202" s="326">
        <f t="shared" si="16"/>
        <v>201</v>
      </c>
      <c r="B202" s="387">
        <v>3900</v>
      </c>
      <c r="C202" s="259">
        <v>6211</v>
      </c>
      <c r="D202" s="259" t="s">
        <v>56</v>
      </c>
      <c r="E202" s="259">
        <v>5171</v>
      </c>
      <c r="F202" s="259" t="s">
        <v>384</v>
      </c>
      <c r="G202" s="336"/>
      <c r="H202" s="337">
        <v>40</v>
      </c>
      <c r="I202" s="337">
        <v>40</v>
      </c>
      <c r="J202" s="338">
        <v>11</v>
      </c>
      <c r="K202" s="339">
        <f t="shared" si="14"/>
        <v>-29</v>
      </c>
      <c r="L202" s="343">
        <f t="shared" si="15"/>
        <v>27.500000000000004</v>
      </c>
      <c r="N202" s="344">
        <f t="shared" si="17"/>
        <v>0</v>
      </c>
    </row>
    <row r="203" spans="1:14" ht="12.75" customHeight="1">
      <c r="A203" s="326">
        <f t="shared" si="16"/>
        <v>202</v>
      </c>
      <c r="B203" s="387">
        <v>3900</v>
      </c>
      <c r="C203" s="259">
        <v>6211</v>
      </c>
      <c r="D203" s="259" t="s">
        <v>56</v>
      </c>
      <c r="E203" s="259">
        <v>5175</v>
      </c>
      <c r="F203" s="259" t="s">
        <v>334</v>
      </c>
      <c r="G203" s="336"/>
      <c r="H203" s="337"/>
      <c r="I203" s="337">
        <v>60</v>
      </c>
      <c r="J203" s="338">
        <v>59</v>
      </c>
      <c r="K203" s="339">
        <f t="shared" si="14"/>
        <v>-1</v>
      </c>
      <c r="L203" s="343">
        <f t="shared" si="15"/>
        <v>98.33333333333333</v>
      </c>
      <c r="N203" s="344">
        <f t="shared" si="17"/>
        <v>0</v>
      </c>
    </row>
    <row r="204" spans="1:14" ht="12.75" customHeight="1">
      <c r="A204" s="326">
        <f t="shared" si="16"/>
        <v>203</v>
      </c>
      <c r="B204" s="387">
        <v>3900</v>
      </c>
      <c r="C204" s="259">
        <v>6211</v>
      </c>
      <c r="D204" s="259" t="s">
        <v>56</v>
      </c>
      <c r="E204" s="259">
        <v>5229</v>
      </c>
      <c r="F204" s="389" t="s">
        <v>336</v>
      </c>
      <c r="G204" s="336"/>
      <c r="H204" s="337">
        <v>1</v>
      </c>
      <c r="I204" s="337">
        <v>1</v>
      </c>
      <c r="J204" s="338">
        <v>1</v>
      </c>
      <c r="K204" s="339">
        <f t="shared" si="14"/>
        <v>0</v>
      </c>
      <c r="L204" s="343">
        <f t="shared" si="15"/>
        <v>100</v>
      </c>
      <c r="N204" s="344">
        <f t="shared" si="17"/>
        <v>0</v>
      </c>
    </row>
    <row r="205" spans="1:14" ht="12.75" customHeight="1">
      <c r="A205" s="326">
        <f t="shared" si="16"/>
        <v>204</v>
      </c>
      <c r="B205" s="391"/>
      <c r="C205" s="347" t="s">
        <v>398</v>
      </c>
      <c r="D205" s="347"/>
      <c r="E205" s="347"/>
      <c r="F205" s="347"/>
      <c r="G205" s="348"/>
      <c r="H205" s="349">
        <f>SUBTOTAL(9,H195:H204)</f>
        <v>1872</v>
      </c>
      <c r="I205" s="349">
        <f>SUBTOTAL(9,I195:I204)</f>
        <v>1872</v>
      </c>
      <c r="J205" s="349">
        <f>SUBTOTAL(9,J195:J204)</f>
        <v>1729</v>
      </c>
      <c r="K205" s="456">
        <f t="shared" si="14"/>
        <v>-143</v>
      </c>
      <c r="L205" s="457">
        <f t="shared" si="15"/>
        <v>92.36111111111111</v>
      </c>
      <c r="N205" s="344">
        <f t="shared" si="17"/>
        <v>0</v>
      </c>
    </row>
    <row r="206" spans="1:14" ht="13.5" customHeight="1" thickBot="1">
      <c r="A206" s="326">
        <f t="shared" si="16"/>
        <v>205</v>
      </c>
      <c r="B206" s="366" t="s">
        <v>196</v>
      </c>
      <c r="C206" s="367"/>
      <c r="D206" s="367"/>
      <c r="E206" s="367"/>
      <c r="F206" s="367"/>
      <c r="G206" s="368"/>
      <c r="H206" s="369">
        <f>SUBTOTAL(9,H195:H205)</f>
        <v>1872</v>
      </c>
      <c r="I206" s="369">
        <f>SUBTOTAL(9,I195:I205)</f>
        <v>1872</v>
      </c>
      <c r="J206" s="369">
        <f>SUBTOTAL(9,J195:J205)</f>
        <v>1729</v>
      </c>
      <c r="K206" s="370">
        <f t="shared" si="14"/>
        <v>-143</v>
      </c>
      <c r="L206" s="371">
        <f t="shared" si="15"/>
        <v>92.36111111111111</v>
      </c>
      <c r="N206" s="344">
        <f t="shared" si="17"/>
        <v>0</v>
      </c>
    </row>
    <row r="207" spans="1:14" ht="14.25" customHeight="1">
      <c r="A207" s="326">
        <f t="shared" si="16"/>
        <v>206</v>
      </c>
      <c r="B207" s="458"/>
      <c r="C207" s="459"/>
      <c r="D207" s="459"/>
      <c r="E207" s="459"/>
      <c r="F207" s="460"/>
      <c r="G207" s="461"/>
      <c r="H207" s="376">
        <v>0</v>
      </c>
      <c r="I207" s="376"/>
      <c r="J207" s="377"/>
      <c r="K207" s="378"/>
      <c r="L207" s="379"/>
      <c r="N207" s="344">
        <f t="shared" si="17"/>
        <v>0</v>
      </c>
    </row>
    <row r="208" spans="1:14" ht="14.25" customHeight="1">
      <c r="A208" s="326">
        <f t="shared" si="16"/>
        <v>207</v>
      </c>
      <c r="B208" s="462" t="s">
        <v>83</v>
      </c>
      <c r="C208" s="359"/>
      <c r="D208" s="359"/>
      <c r="E208" s="359"/>
      <c r="F208" s="259"/>
      <c r="G208" s="336"/>
      <c r="H208" s="463">
        <v>0</v>
      </c>
      <c r="I208" s="463"/>
      <c r="J208" s="464"/>
      <c r="K208" s="465"/>
      <c r="L208" s="466"/>
      <c r="N208" s="344">
        <f t="shared" si="17"/>
        <v>0</v>
      </c>
    </row>
    <row r="209" spans="1:14" ht="12.75" customHeight="1">
      <c r="A209" s="326">
        <f t="shared" si="16"/>
        <v>208</v>
      </c>
      <c r="B209" s="387">
        <v>4100</v>
      </c>
      <c r="C209" s="259">
        <v>2219</v>
      </c>
      <c r="D209" s="359" t="s">
        <v>53</v>
      </c>
      <c r="E209" s="259">
        <v>5166</v>
      </c>
      <c r="F209" s="388" t="s">
        <v>315</v>
      </c>
      <c r="G209" s="336" t="s">
        <v>351</v>
      </c>
      <c r="H209" s="337">
        <v>200</v>
      </c>
      <c r="I209" s="337">
        <v>200</v>
      </c>
      <c r="J209" s="338">
        <v>162</v>
      </c>
      <c r="K209" s="339">
        <f t="shared" si="14"/>
        <v>-38</v>
      </c>
      <c r="L209" s="343">
        <f t="shared" si="15"/>
        <v>81</v>
      </c>
      <c r="N209" s="344">
        <f t="shared" si="17"/>
        <v>0</v>
      </c>
    </row>
    <row r="210" spans="1:14" ht="12.75" customHeight="1">
      <c r="A210" s="326">
        <f t="shared" si="16"/>
        <v>209</v>
      </c>
      <c r="B210" s="391"/>
      <c r="C210" s="347" t="s">
        <v>356</v>
      </c>
      <c r="D210" s="347"/>
      <c r="E210" s="347"/>
      <c r="F210" s="347"/>
      <c r="G210" s="348"/>
      <c r="H210" s="349">
        <f>SUBTOTAL(9,H209:H209)</f>
        <v>200</v>
      </c>
      <c r="I210" s="349">
        <f>SUBTOTAL(9,I209:I209)</f>
        <v>200</v>
      </c>
      <c r="J210" s="349">
        <f>SUBTOTAL(9,J209:J209)</f>
        <v>162</v>
      </c>
      <c r="K210" s="456">
        <f t="shared" si="14"/>
        <v>-38</v>
      </c>
      <c r="L210" s="457">
        <f t="shared" si="15"/>
        <v>81</v>
      </c>
      <c r="N210" s="344">
        <f t="shared" si="17"/>
        <v>0</v>
      </c>
    </row>
    <row r="211" spans="1:14" ht="12.75" customHeight="1">
      <c r="A211" s="326">
        <f t="shared" si="16"/>
        <v>210</v>
      </c>
      <c r="B211" s="387">
        <v>4100</v>
      </c>
      <c r="C211" s="259">
        <v>2229</v>
      </c>
      <c r="D211" s="259" t="s">
        <v>208</v>
      </c>
      <c r="E211" s="259">
        <v>5166</v>
      </c>
      <c r="F211" s="388" t="s">
        <v>315</v>
      </c>
      <c r="G211" s="336" t="s">
        <v>351</v>
      </c>
      <c r="H211" s="337">
        <v>450</v>
      </c>
      <c r="I211" s="337">
        <v>670</v>
      </c>
      <c r="J211" s="338">
        <v>231</v>
      </c>
      <c r="K211" s="339">
        <f t="shared" si="14"/>
        <v>-439</v>
      </c>
      <c r="L211" s="343">
        <f t="shared" si="15"/>
        <v>34.47761194029851</v>
      </c>
      <c r="N211" s="344">
        <f t="shared" si="17"/>
        <v>0</v>
      </c>
    </row>
    <row r="212" spans="1:14" ht="12.75" customHeight="1">
      <c r="A212" s="326">
        <f t="shared" si="16"/>
        <v>211</v>
      </c>
      <c r="B212" s="391"/>
      <c r="C212" s="347" t="s">
        <v>399</v>
      </c>
      <c r="D212" s="347"/>
      <c r="E212" s="347"/>
      <c r="F212" s="347"/>
      <c r="G212" s="348"/>
      <c r="H212" s="349">
        <f>SUBTOTAL(9,H211:H211)</f>
        <v>450</v>
      </c>
      <c r="I212" s="349">
        <f>SUBTOTAL(9,I211:I211)</f>
        <v>670</v>
      </c>
      <c r="J212" s="349">
        <f>SUBTOTAL(9,J211:J211)</f>
        <v>231</v>
      </c>
      <c r="K212" s="456">
        <f t="shared" si="14"/>
        <v>-439</v>
      </c>
      <c r="L212" s="457">
        <f t="shared" si="15"/>
        <v>34.47761194029851</v>
      </c>
      <c r="N212" s="344">
        <f t="shared" si="17"/>
        <v>0</v>
      </c>
    </row>
    <row r="213" spans="1:14" ht="12.75" customHeight="1">
      <c r="A213" s="326">
        <f t="shared" si="16"/>
        <v>212</v>
      </c>
      <c r="B213" s="387">
        <v>4100</v>
      </c>
      <c r="C213" s="259">
        <v>3113</v>
      </c>
      <c r="D213" s="259" t="s">
        <v>23</v>
      </c>
      <c r="E213" s="259">
        <v>5137</v>
      </c>
      <c r="F213" s="259" t="s">
        <v>346</v>
      </c>
      <c r="G213" s="336" t="s">
        <v>351</v>
      </c>
      <c r="H213" s="349"/>
      <c r="I213" s="414">
        <v>300</v>
      </c>
      <c r="J213" s="415">
        <v>217</v>
      </c>
      <c r="K213" s="339">
        <f t="shared" si="14"/>
        <v>-83</v>
      </c>
      <c r="L213" s="343">
        <f t="shared" si="15"/>
        <v>72.33333333333334</v>
      </c>
      <c r="N213" s="344">
        <f t="shared" si="17"/>
        <v>0</v>
      </c>
    </row>
    <row r="214" spans="1:14" ht="12.75" customHeight="1">
      <c r="A214" s="326">
        <f t="shared" si="16"/>
        <v>213</v>
      </c>
      <c r="B214" s="387">
        <v>4100</v>
      </c>
      <c r="C214" s="259">
        <v>3113</v>
      </c>
      <c r="D214" s="259" t="s">
        <v>23</v>
      </c>
      <c r="E214" s="259">
        <v>5162</v>
      </c>
      <c r="F214" s="259" t="s">
        <v>382</v>
      </c>
      <c r="G214" s="336" t="s">
        <v>351</v>
      </c>
      <c r="H214" s="349"/>
      <c r="I214" s="414">
        <v>1</v>
      </c>
      <c r="J214" s="415">
        <v>1</v>
      </c>
      <c r="K214" s="339">
        <f t="shared" si="14"/>
        <v>0</v>
      </c>
      <c r="L214" s="343">
        <f t="shared" si="15"/>
        <v>100</v>
      </c>
      <c r="N214" s="344">
        <f t="shared" si="17"/>
        <v>0</v>
      </c>
    </row>
    <row r="215" spans="1:14" ht="12.75" customHeight="1">
      <c r="A215" s="326">
        <f t="shared" si="16"/>
        <v>214</v>
      </c>
      <c r="B215" s="387">
        <v>4100</v>
      </c>
      <c r="C215" s="259">
        <v>3113</v>
      </c>
      <c r="D215" s="259" t="s">
        <v>23</v>
      </c>
      <c r="E215" s="259">
        <v>5169</v>
      </c>
      <c r="F215" s="259" t="s">
        <v>316</v>
      </c>
      <c r="G215" s="336" t="s">
        <v>351</v>
      </c>
      <c r="H215" s="349"/>
      <c r="I215" s="414">
        <v>240</v>
      </c>
      <c r="J215" s="415"/>
      <c r="K215" s="339">
        <f t="shared" si="14"/>
        <v>-240</v>
      </c>
      <c r="L215" s="343">
        <f t="shared" si="15"/>
        <v>0</v>
      </c>
      <c r="N215" s="344">
        <f t="shared" si="17"/>
        <v>0</v>
      </c>
    </row>
    <row r="216" spans="1:14" ht="12.75" customHeight="1">
      <c r="A216" s="326">
        <f t="shared" si="16"/>
        <v>215</v>
      </c>
      <c r="B216" s="387">
        <v>4100</v>
      </c>
      <c r="C216" s="259">
        <v>3113</v>
      </c>
      <c r="D216" s="259" t="s">
        <v>23</v>
      </c>
      <c r="E216" s="259">
        <v>5175</v>
      </c>
      <c r="F216" s="356" t="s">
        <v>334</v>
      </c>
      <c r="G216" s="336" t="s">
        <v>351</v>
      </c>
      <c r="H216" s="349"/>
      <c r="I216" s="414">
        <v>179</v>
      </c>
      <c r="J216" s="415">
        <v>63</v>
      </c>
      <c r="K216" s="339">
        <f t="shared" si="14"/>
        <v>-116</v>
      </c>
      <c r="L216" s="343">
        <f t="shared" si="15"/>
        <v>35.19553072625698</v>
      </c>
      <c r="N216" s="344">
        <f t="shared" si="17"/>
        <v>0</v>
      </c>
    </row>
    <row r="217" spans="1:14" ht="12.75" customHeight="1">
      <c r="A217" s="326">
        <f t="shared" si="16"/>
        <v>216</v>
      </c>
      <c r="B217" s="387"/>
      <c r="C217" s="347" t="s">
        <v>357</v>
      </c>
      <c r="D217" s="347"/>
      <c r="E217" s="259"/>
      <c r="F217" s="259"/>
      <c r="G217" s="348"/>
      <c r="H217" s="349"/>
      <c r="I217" s="349">
        <f>SUBTOTAL(9,I213:I216)</f>
        <v>720</v>
      </c>
      <c r="J217" s="349">
        <f>SUBTOTAL(9,J213:J216)</f>
        <v>281</v>
      </c>
      <c r="K217" s="395">
        <f t="shared" si="14"/>
        <v>-439</v>
      </c>
      <c r="L217" s="457">
        <f t="shared" si="15"/>
        <v>39.02777777777778</v>
      </c>
      <c r="N217" s="344">
        <f t="shared" si="17"/>
        <v>0</v>
      </c>
    </row>
    <row r="218" spans="1:14" ht="12.75" customHeight="1">
      <c r="A218" s="326">
        <f t="shared" si="16"/>
        <v>217</v>
      </c>
      <c r="B218" s="387">
        <v>4100</v>
      </c>
      <c r="C218" s="259">
        <v>3299</v>
      </c>
      <c r="D218" s="259" t="s">
        <v>232</v>
      </c>
      <c r="E218" s="259">
        <v>5162</v>
      </c>
      <c r="F218" s="259" t="s">
        <v>382</v>
      </c>
      <c r="G218" s="336" t="s">
        <v>351</v>
      </c>
      <c r="H218" s="337">
        <v>1</v>
      </c>
      <c r="I218" s="337">
        <v>1</v>
      </c>
      <c r="J218" s="338"/>
      <c r="K218" s="339">
        <f t="shared" si="14"/>
        <v>-1</v>
      </c>
      <c r="L218" s="343">
        <f t="shared" si="15"/>
        <v>0</v>
      </c>
      <c r="N218" s="344">
        <f t="shared" si="17"/>
        <v>0</v>
      </c>
    </row>
    <row r="219" spans="1:14" ht="12.75" customHeight="1">
      <c r="A219" s="326">
        <f t="shared" si="16"/>
        <v>218</v>
      </c>
      <c r="B219" s="387">
        <v>4100</v>
      </c>
      <c r="C219" s="259">
        <v>3299</v>
      </c>
      <c r="D219" s="259" t="s">
        <v>232</v>
      </c>
      <c r="E219" s="259">
        <v>5166</v>
      </c>
      <c r="F219" s="356" t="s">
        <v>315</v>
      </c>
      <c r="G219" s="336" t="s">
        <v>351</v>
      </c>
      <c r="H219" s="467"/>
      <c r="I219" s="467">
        <v>1400</v>
      </c>
      <c r="J219" s="361">
        <v>1323</v>
      </c>
      <c r="K219" s="339">
        <f t="shared" si="14"/>
        <v>-77</v>
      </c>
      <c r="L219" s="343">
        <f t="shared" si="15"/>
        <v>94.5</v>
      </c>
      <c r="N219" s="344">
        <f t="shared" si="17"/>
        <v>0</v>
      </c>
    </row>
    <row r="220" spans="1:14" s="411" customFormat="1" ht="12.75" customHeight="1">
      <c r="A220" s="326">
        <f t="shared" si="16"/>
        <v>219</v>
      </c>
      <c r="B220" s="391"/>
      <c r="C220" s="347" t="s">
        <v>358</v>
      </c>
      <c r="D220" s="347"/>
      <c r="E220" s="347"/>
      <c r="F220" s="347"/>
      <c r="G220" s="348"/>
      <c r="H220" s="349">
        <f>SUBTOTAL(9,H218:H219)</f>
        <v>1</v>
      </c>
      <c r="I220" s="349">
        <f>SUBTOTAL(9,I218:I219)</f>
        <v>1401</v>
      </c>
      <c r="J220" s="349">
        <f>SUBTOTAL(9,J218:J219)</f>
        <v>1323</v>
      </c>
      <c r="K220" s="456">
        <f t="shared" si="14"/>
        <v>-78</v>
      </c>
      <c r="L220" s="457">
        <f t="shared" si="15"/>
        <v>94.43254817987152</v>
      </c>
      <c r="N220" s="344">
        <f t="shared" si="17"/>
        <v>0</v>
      </c>
    </row>
    <row r="221" spans="1:14" s="411" customFormat="1" ht="12.75" customHeight="1">
      <c r="A221" s="326">
        <f t="shared" si="16"/>
        <v>220</v>
      </c>
      <c r="B221" s="387">
        <v>4100</v>
      </c>
      <c r="C221" s="259">
        <v>3322</v>
      </c>
      <c r="D221" s="259" t="s">
        <v>27</v>
      </c>
      <c r="E221" s="259">
        <v>5166</v>
      </c>
      <c r="F221" s="356" t="s">
        <v>315</v>
      </c>
      <c r="G221" s="336" t="s">
        <v>351</v>
      </c>
      <c r="H221" s="467"/>
      <c r="I221" s="467">
        <v>222</v>
      </c>
      <c r="J221" s="361">
        <v>221</v>
      </c>
      <c r="K221" s="339">
        <f t="shared" si="14"/>
        <v>-1</v>
      </c>
      <c r="L221" s="343">
        <f t="shared" si="15"/>
        <v>99.54954954954955</v>
      </c>
      <c r="N221" s="344">
        <f t="shared" si="17"/>
        <v>0</v>
      </c>
    </row>
    <row r="222" spans="1:14" s="411" customFormat="1" ht="12.75" customHeight="1">
      <c r="A222" s="326">
        <f t="shared" si="16"/>
        <v>221</v>
      </c>
      <c r="B222" s="391"/>
      <c r="C222" s="347" t="s">
        <v>400</v>
      </c>
      <c r="D222" s="347"/>
      <c r="E222" s="347"/>
      <c r="F222" s="347"/>
      <c r="G222" s="348"/>
      <c r="H222" s="349">
        <f>SUBTOTAL(9,H220:H221)</f>
        <v>0</v>
      </c>
      <c r="I222" s="349">
        <f>SUBTOTAL(9,I220:I221)</f>
        <v>222</v>
      </c>
      <c r="J222" s="349">
        <f>SUBTOTAL(9,J220:J221)</f>
        <v>221</v>
      </c>
      <c r="K222" s="456">
        <f t="shared" si="14"/>
        <v>-1</v>
      </c>
      <c r="L222" s="457">
        <f t="shared" si="15"/>
        <v>99.54954954954955</v>
      </c>
      <c r="N222" s="344">
        <f t="shared" si="17"/>
        <v>0</v>
      </c>
    </row>
    <row r="223" spans="1:14" ht="12.75" customHeight="1">
      <c r="A223" s="326">
        <f t="shared" si="16"/>
        <v>222</v>
      </c>
      <c r="B223" s="387">
        <v>4100</v>
      </c>
      <c r="C223" s="259">
        <v>3412</v>
      </c>
      <c r="D223" s="259" t="s">
        <v>200</v>
      </c>
      <c r="E223" s="259">
        <v>5166</v>
      </c>
      <c r="F223" s="388" t="s">
        <v>315</v>
      </c>
      <c r="G223" s="336" t="s">
        <v>351</v>
      </c>
      <c r="H223" s="337">
        <v>120</v>
      </c>
      <c r="I223" s="337">
        <v>240</v>
      </c>
      <c r="J223" s="338">
        <v>239</v>
      </c>
      <c r="K223" s="339">
        <f t="shared" si="14"/>
        <v>-1</v>
      </c>
      <c r="L223" s="343">
        <f t="shared" si="15"/>
        <v>99.58333333333333</v>
      </c>
      <c r="N223" s="344">
        <f t="shared" si="17"/>
        <v>0</v>
      </c>
    </row>
    <row r="224" spans="1:14" ht="12.75" customHeight="1">
      <c r="A224" s="326">
        <f t="shared" si="16"/>
        <v>223</v>
      </c>
      <c r="B224" s="391"/>
      <c r="C224" s="347" t="s">
        <v>401</v>
      </c>
      <c r="D224" s="347"/>
      <c r="E224" s="347"/>
      <c r="F224" s="347"/>
      <c r="G224" s="348"/>
      <c r="H224" s="349">
        <f>SUBTOTAL(9,H223:H223)</f>
        <v>120</v>
      </c>
      <c r="I224" s="349">
        <f>SUBTOTAL(9,I223:I223)</f>
        <v>240</v>
      </c>
      <c r="J224" s="349">
        <f>SUBTOTAL(9,J223:J223)</f>
        <v>239</v>
      </c>
      <c r="K224" s="412">
        <f t="shared" si="14"/>
        <v>-1</v>
      </c>
      <c r="L224" s="413">
        <f t="shared" si="15"/>
        <v>99.58333333333333</v>
      </c>
      <c r="N224" s="344">
        <f t="shared" si="17"/>
        <v>0</v>
      </c>
    </row>
    <row r="225" spans="1:14" ht="12.75" customHeight="1">
      <c r="A225" s="326">
        <f t="shared" si="16"/>
        <v>224</v>
      </c>
      <c r="B225" s="387">
        <v>4100</v>
      </c>
      <c r="C225" s="259">
        <v>3421</v>
      </c>
      <c r="D225" s="259" t="s">
        <v>94</v>
      </c>
      <c r="E225" s="259">
        <v>5166</v>
      </c>
      <c r="F225" s="356" t="s">
        <v>315</v>
      </c>
      <c r="G225" s="336" t="s">
        <v>351</v>
      </c>
      <c r="H225" s="337">
        <v>200</v>
      </c>
      <c r="I225" s="337">
        <v>200</v>
      </c>
      <c r="J225" s="338">
        <v>153</v>
      </c>
      <c r="K225" s="339">
        <f t="shared" si="14"/>
        <v>-47</v>
      </c>
      <c r="L225" s="343">
        <f t="shared" si="15"/>
        <v>76.5</v>
      </c>
      <c r="N225" s="344">
        <f t="shared" si="17"/>
        <v>0</v>
      </c>
    </row>
    <row r="226" spans="1:14" ht="12.75" customHeight="1">
      <c r="A226" s="326">
        <f t="shared" si="16"/>
        <v>225</v>
      </c>
      <c r="B226" s="391"/>
      <c r="C226" s="347" t="s">
        <v>402</v>
      </c>
      <c r="D226" s="347"/>
      <c r="E226" s="347"/>
      <c r="F226" s="347"/>
      <c r="G226" s="348"/>
      <c r="H226" s="349">
        <f>SUBTOTAL(9,H225:H225)</f>
        <v>200</v>
      </c>
      <c r="I226" s="349">
        <f>SUBTOTAL(9,I225:I225)</f>
        <v>200</v>
      </c>
      <c r="J226" s="349">
        <f>SUBTOTAL(9,J225:J225)</f>
        <v>153</v>
      </c>
      <c r="K226" s="456">
        <f t="shared" si="14"/>
        <v>-47</v>
      </c>
      <c r="L226" s="457">
        <f t="shared" si="15"/>
        <v>76.5</v>
      </c>
      <c r="N226" s="344">
        <f t="shared" si="17"/>
        <v>0</v>
      </c>
    </row>
    <row r="227" spans="1:14" ht="12.75" customHeight="1">
      <c r="A227" s="326">
        <f t="shared" si="16"/>
        <v>226</v>
      </c>
      <c r="B227" s="468">
        <v>4100</v>
      </c>
      <c r="C227" s="356">
        <v>3635</v>
      </c>
      <c r="D227" s="356" t="s">
        <v>72</v>
      </c>
      <c r="E227" s="356">
        <v>5021</v>
      </c>
      <c r="F227" s="356" t="s">
        <v>352</v>
      </c>
      <c r="G227" s="419"/>
      <c r="H227" s="337">
        <v>54</v>
      </c>
      <c r="I227" s="337">
        <v>54</v>
      </c>
      <c r="J227" s="338"/>
      <c r="K227" s="339">
        <f t="shared" si="14"/>
        <v>-54</v>
      </c>
      <c r="L227" s="343">
        <f t="shared" si="15"/>
        <v>0</v>
      </c>
      <c r="N227" s="344">
        <f t="shared" si="17"/>
        <v>0</v>
      </c>
    </row>
    <row r="228" spans="1:14" ht="12.75" customHeight="1">
      <c r="A228" s="326">
        <f t="shared" si="16"/>
        <v>227</v>
      </c>
      <c r="B228" s="468">
        <v>4100</v>
      </c>
      <c r="C228" s="356">
        <v>3635</v>
      </c>
      <c r="D228" s="356" t="s">
        <v>72</v>
      </c>
      <c r="E228" s="356">
        <v>5164</v>
      </c>
      <c r="F228" s="356" t="s">
        <v>348</v>
      </c>
      <c r="G228" s="419"/>
      <c r="H228" s="337">
        <v>92</v>
      </c>
      <c r="I228" s="337">
        <v>92</v>
      </c>
      <c r="J228" s="338"/>
      <c r="K228" s="339">
        <f t="shared" si="14"/>
        <v>-92</v>
      </c>
      <c r="L228" s="343">
        <f t="shared" si="15"/>
        <v>0</v>
      </c>
      <c r="N228" s="344">
        <f t="shared" si="17"/>
        <v>0</v>
      </c>
    </row>
    <row r="229" spans="1:14" ht="12.75" customHeight="1">
      <c r="A229" s="326">
        <f t="shared" si="16"/>
        <v>228</v>
      </c>
      <c r="B229" s="468">
        <v>4100</v>
      </c>
      <c r="C229" s="356">
        <v>3635</v>
      </c>
      <c r="D229" s="356" t="s">
        <v>72</v>
      </c>
      <c r="E229" s="356">
        <v>5166</v>
      </c>
      <c r="F229" s="356" t="s">
        <v>315</v>
      </c>
      <c r="G229" s="419"/>
      <c r="H229" s="337">
        <v>7050</v>
      </c>
      <c r="I229" s="337">
        <v>7000</v>
      </c>
      <c r="J229" s="338">
        <v>4306</v>
      </c>
      <c r="K229" s="339">
        <f t="shared" si="14"/>
        <v>-2694</v>
      </c>
      <c r="L229" s="343">
        <f t="shared" si="15"/>
        <v>61.51428571428571</v>
      </c>
      <c r="N229" s="344">
        <f t="shared" si="17"/>
        <v>0</v>
      </c>
    </row>
    <row r="230" spans="1:14" ht="12.75" customHeight="1">
      <c r="A230" s="326">
        <f t="shared" si="16"/>
        <v>229</v>
      </c>
      <c r="B230" s="468">
        <v>4100</v>
      </c>
      <c r="C230" s="356">
        <v>3635</v>
      </c>
      <c r="D230" s="356" t="s">
        <v>72</v>
      </c>
      <c r="E230" s="356">
        <v>5169</v>
      </c>
      <c r="F230" s="259" t="s">
        <v>316</v>
      </c>
      <c r="G230" s="336"/>
      <c r="H230" s="337">
        <v>1140</v>
      </c>
      <c r="I230" s="337">
        <v>1085</v>
      </c>
      <c r="J230" s="338">
        <v>416</v>
      </c>
      <c r="K230" s="339">
        <f t="shared" si="14"/>
        <v>-669</v>
      </c>
      <c r="L230" s="343">
        <f t="shared" si="15"/>
        <v>38.3410138248848</v>
      </c>
      <c r="N230" s="344">
        <f t="shared" si="17"/>
        <v>0</v>
      </c>
    </row>
    <row r="231" spans="1:14" ht="12.75" customHeight="1">
      <c r="A231" s="326">
        <f t="shared" si="16"/>
        <v>230</v>
      </c>
      <c r="B231" s="468">
        <v>4100</v>
      </c>
      <c r="C231" s="356">
        <v>3635</v>
      </c>
      <c r="D231" s="356" t="s">
        <v>72</v>
      </c>
      <c r="E231" s="356">
        <v>5173</v>
      </c>
      <c r="F231" s="389" t="s">
        <v>355</v>
      </c>
      <c r="G231" s="336"/>
      <c r="H231" s="337">
        <v>75</v>
      </c>
      <c r="I231" s="337">
        <v>75</v>
      </c>
      <c r="J231" s="338"/>
      <c r="K231" s="339">
        <f t="shared" si="14"/>
        <v>-75</v>
      </c>
      <c r="L231" s="343">
        <f t="shared" si="15"/>
        <v>0</v>
      </c>
      <c r="N231" s="344">
        <f t="shared" si="17"/>
        <v>0</v>
      </c>
    </row>
    <row r="232" spans="1:14" ht="12.75" customHeight="1">
      <c r="A232" s="326">
        <f t="shared" si="16"/>
        <v>231</v>
      </c>
      <c r="B232" s="468">
        <v>4100</v>
      </c>
      <c r="C232" s="356">
        <v>3635</v>
      </c>
      <c r="D232" s="356" t="s">
        <v>72</v>
      </c>
      <c r="E232" s="356">
        <v>5175</v>
      </c>
      <c r="F232" s="356" t="s">
        <v>334</v>
      </c>
      <c r="G232" s="336"/>
      <c r="H232" s="337">
        <v>43</v>
      </c>
      <c r="I232" s="337">
        <v>43</v>
      </c>
      <c r="J232" s="338"/>
      <c r="K232" s="339">
        <f t="shared" si="14"/>
        <v>-43</v>
      </c>
      <c r="L232" s="343">
        <f t="shared" si="15"/>
        <v>0</v>
      </c>
      <c r="N232" s="344">
        <f t="shared" si="17"/>
        <v>0</v>
      </c>
    </row>
    <row r="233" spans="1:14" ht="12.75" customHeight="1">
      <c r="A233" s="326">
        <f t="shared" si="16"/>
        <v>232</v>
      </c>
      <c r="B233" s="468">
        <v>4100</v>
      </c>
      <c r="C233" s="356">
        <v>3635</v>
      </c>
      <c r="D233" s="356" t="s">
        <v>72</v>
      </c>
      <c r="E233" s="356">
        <v>5192</v>
      </c>
      <c r="F233" s="356" t="s">
        <v>335</v>
      </c>
      <c r="G233" s="336"/>
      <c r="H233" s="337"/>
      <c r="I233" s="337">
        <v>105</v>
      </c>
      <c r="J233" s="338">
        <v>84</v>
      </c>
      <c r="K233" s="339">
        <f t="shared" si="14"/>
        <v>-21</v>
      </c>
      <c r="L233" s="343">
        <f t="shared" si="15"/>
        <v>80</v>
      </c>
      <c r="N233" s="344">
        <f t="shared" si="17"/>
        <v>0</v>
      </c>
    </row>
    <row r="234" spans="1:14" ht="12.75" customHeight="1">
      <c r="A234" s="326">
        <f t="shared" si="16"/>
        <v>233</v>
      </c>
      <c r="B234" s="469"/>
      <c r="C234" s="381" t="s">
        <v>403</v>
      </c>
      <c r="D234" s="381"/>
      <c r="E234" s="381"/>
      <c r="F234" s="381"/>
      <c r="G234" s="406"/>
      <c r="H234" s="349">
        <f>SUBTOTAL(9,H227:H232)</f>
        <v>8454</v>
      </c>
      <c r="I234" s="349">
        <f>SUBTOTAL(9,I227:I233)</f>
        <v>8454</v>
      </c>
      <c r="J234" s="349">
        <f>SUBTOTAL(9,J227:J233)</f>
        <v>4806</v>
      </c>
      <c r="K234" s="470">
        <f t="shared" si="14"/>
        <v>-3648</v>
      </c>
      <c r="L234" s="471">
        <f t="shared" si="15"/>
        <v>56.84882895670689</v>
      </c>
      <c r="N234" s="344">
        <f t="shared" si="17"/>
        <v>0</v>
      </c>
    </row>
    <row r="235" spans="1:14" ht="12.75" customHeight="1">
      <c r="A235" s="326">
        <f t="shared" si="16"/>
        <v>234</v>
      </c>
      <c r="B235" s="387">
        <v>4100</v>
      </c>
      <c r="C235" s="259">
        <v>3636</v>
      </c>
      <c r="D235" s="359" t="s">
        <v>165</v>
      </c>
      <c r="E235" s="259">
        <v>5139</v>
      </c>
      <c r="F235" s="259" t="s">
        <v>342</v>
      </c>
      <c r="G235" s="336"/>
      <c r="H235" s="337">
        <v>300</v>
      </c>
      <c r="I235" s="337">
        <v>230</v>
      </c>
      <c r="J235" s="338"/>
      <c r="K235" s="339">
        <f t="shared" si="14"/>
        <v>-230</v>
      </c>
      <c r="L235" s="343">
        <f t="shared" si="15"/>
        <v>0</v>
      </c>
      <c r="N235" s="344">
        <f t="shared" si="17"/>
        <v>0</v>
      </c>
    </row>
    <row r="236" spans="1:14" ht="12.75" customHeight="1">
      <c r="A236" s="326">
        <f t="shared" si="16"/>
        <v>235</v>
      </c>
      <c r="B236" s="387">
        <v>4100</v>
      </c>
      <c r="C236" s="259">
        <v>3636</v>
      </c>
      <c r="D236" s="359" t="s">
        <v>165</v>
      </c>
      <c r="E236" s="259">
        <v>5166</v>
      </c>
      <c r="F236" s="388" t="s">
        <v>315</v>
      </c>
      <c r="G236" s="336"/>
      <c r="H236" s="337">
        <v>2900</v>
      </c>
      <c r="I236" s="337">
        <v>2737</v>
      </c>
      <c r="J236" s="338">
        <v>1821</v>
      </c>
      <c r="K236" s="339">
        <f t="shared" si="14"/>
        <v>-916</v>
      </c>
      <c r="L236" s="343">
        <f t="shared" si="15"/>
        <v>66.53270003653635</v>
      </c>
      <c r="N236" s="344">
        <f t="shared" si="17"/>
        <v>0</v>
      </c>
    </row>
    <row r="237" spans="1:14" ht="12.75" customHeight="1">
      <c r="A237" s="326">
        <f t="shared" si="16"/>
        <v>236</v>
      </c>
      <c r="B237" s="387">
        <v>4100</v>
      </c>
      <c r="C237" s="259">
        <v>3636</v>
      </c>
      <c r="D237" s="359" t="s">
        <v>165</v>
      </c>
      <c r="E237" s="259">
        <v>5169</v>
      </c>
      <c r="F237" s="259" t="s">
        <v>316</v>
      </c>
      <c r="G237" s="336"/>
      <c r="H237" s="337">
        <v>430</v>
      </c>
      <c r="I237" s="337">
        <v>330</v>
      </c>
      <c r="J237" s="338">
        <v>220</v>
      </c>
      <c r="K237" s="339">
        <f t="shared" si="14"/>
        <v>-110</v>
      </c>
      <c r="L237" s="343">
        <f t="shared" si="15"/>
        <v>66.66666666666666</v>
      </c>
      <c r="N237" s="344">
        <f t="shared" si="17"/>
        <v>0</v>
      </c>
    </row>
    <row r="238" spans="1:14" ht="12.75" customHeight="1">
      <c r="A238" s="326">
        <f t="shared" si="16"/>
        <v>237</v>
      </c>
      <c r="B238" s="387">
        <v>4100</v>
      </c>
      <c r="C238" s="259">
        <v>3636</v>
      </c>
      <c r="D238" s="359" t="s">
        <v>165</v>
      </c>
      <c r="E238" s="259">
        <v>5175</v>
      </c>
      <c r="F238" s="259" t="s">
        <v>334</v>
      </c>
      <c r="G238" s="336"/>
      <c r="H238" s="337">
        <v>100</v>
      </c>
      <c r="I238" s="337">
        <v>370</v>
      </c>
      <c r="J238" s="338">
        <v>354</v>
      </c>
      <c r="K238" s="339">
        <f t="shared" si="14"/>
        <v>-16</v>
      </c>
      <c r="L238" s="343">
        <f t="shared" si="15"/>
        <v>95.67567567567568</v>
      </c>
      <c r="N238" s="344">
        <f t="shared" si="17"/>
        <v>0</v>
      </c>
    </row>
    <row r="239" spans="1:14" ht="12.75" customHeight="1">
      <c r="A239" s="326">
        <f t="shared" si="16"/>
        <v>238</v>
      </c>
      <c r="B239" s="387">
        <v>4100</v>
      </c>
      <c r="C239" s="259">
        <v>3636</v>
      </c>
      <c r="D239" s="359" t="s">
        <v>165</v>
      </c>
      <c r="E239" s="259">
        <v>5229</v>
      </c>
      <c r="F239" s="389" t="s">
        <v>336</v>
      </c>
      <c r="G239" s="336"/>
      <c r="H239" s="337">
        <v>2000</v>
      </c>
      <c r="I239" s="337"/>
      <c r="J239" s="338"/>
      <c r="K239" s="339">
        <f t="shared" si="14"/>
        <v>0</v>
      </c>
      <c r="L239" s="343"/>
      <c r="N239" s="344">
        <f t="shared" si="17"/>
        <v>0</v>
      </c>
    </row>
    <row r="240" spans="1:14" ht="12.75" customHeight="1">
      <c r="A240" s="326">
        <f t="shared" si="16"/>
        <v>239</v>
      </c>
      <c r="B240" s="387">
        <v>4100</v>
      </c>
      <c r="C240" s="259">
        <v>3636</v>
      </c>
      <c r="D240" s="359" t="s">
        <v>165</v>
      </c>
      <c r="E240" s="259">
        <v>5520</v>
      </c>
      <c r="F240" s="389" t="s">
        <v>404</v>
      </c>
      <c r="G240" s="336" t="s">
        <v>351</v>
      </c>
      <c r="H240" s="337"/>
      <c r="I240" s="337">
        <v>70</v>
      </c>
      <c r="J240" s="338">
        <v>62</v>
      </c>
      <c r="K240" s="339">
        <f t="shared" si="14"/>
        <v>-8</v>
      </c>
      <c r="L240" s="343"/>
      <c r="N240" s="344">
        <f t="shared" si="17"/>
        <v>0</v>
      </c>
    </row>
    <row r="241" spans="1:14" ht="12.75" customHeight="1">
      <c r="A241" s="326">
        <f t="shared" si="16"/>
        <v>240</v>
      </c>
      <c r="B241" s="391"/>
      <c r="C241" s="347" t="s">
        <v>349</v>
      </c>
      <c r="D241" s="347"/>
      <c r="E241" s="347"/>
      <c r="F241" s="347"/>
      <c r="G241" s="348"/>
      <c r="H241" s="349">
        <f>SUBTOTAL(9,H235:H239)</f>
        <v>5730</v>
      </c>
      <c r="I241" s="349">
        <f>SUBTOTAL(9,I235:I240)</f>
        <v>3737</v>
      </c>
      <c r="J241" s="349">
        <f>SUBTOTAL(9,J235:J240)</f>
        <v>2457</v>
      </c>
      <c r="K241" s="412">
        <f t="shared" si="14"/>
        <v>-1280</v>
      </c>
      <c r="L241" s="413">
        <f aca="true" t="shared" si="18" ref="L241:L317">J241/I241*100</f>
        <v>65.74792614396576</v>
      </c>
      <c r="N241" s="344">
        <f t="shared" si="17"/>
        <v>0</v>
      </c>
    </row>
    <row r="242" spans="1:14" ht="12.75" customHeight="1">
      <c r="A242" s="326">
        <f t="shared" si="16"/>
        <v>241</v>
      </c>
      <c r="B242" s="387">
        <v>4100</v>
      </c>
      <c r="C242" s="259">
        <v>3639</v>
      </c>
      <c r="D242" s="359" t="s">
        <v>41</v>
      </c>
      <c r="E242" s="259">
        <v>5163</v>
      </c>
      <c r="F242" s="388" t="s">
        <v>323</v>
      </c>
      <c r="G242" s="336" t="s">
        <v>351</v>
      </c>
      <c r="H242" s="337">
        <v>10</v>
      </c>
      <c r="I242" s="337">
        <v>10</v>
      </c>
      <c r="J242" s="338">
        <v>5</v>
      </c>
      <c r="K242" s="339">
        <f t="shared" si="14"/>
        <v>-5</v>
      </c>
      <c r="L242" s="343">
        <f t="shared" si="18"/>
        <v>50</v>
      </c>
      <c r="N242" s="344">
        <f t="shared" si="17"/>
        <v>0</v>
      </c>
    </row>
    <row r="243" spans="1:14" ht="12.75" customHeight="1">
      <c r="A243" s="326">
        <f t="shared" si="16"/>
        <v>242</v>
      </c>
      <c r="B243" s="387">
        <v>4100</v>
      </c>
      <c r="C243" s="259">
        <v>3639</v>
      </c>
      <c r="D243" s="359" t="s">
        <v>41</v>
      </c>
      <c r="E243" s="259">
        <v>5166</v>
      </c>
      <c r="F243" s="388" t="s">
        <v>315</v>
      </c>
      <c r="G243" s="336" t="s">
        <v>351</v>
      </c>
      <c r="H243" s="337">
        <v>5828</v>
      </c>
      <c r="I243" s="337">
        <v>1336</v>
      </c>
      <c r="J243" s="338">
        <v>89</v>
      </c>
      <c r="K243" s="339">
        <f t="shared" si="14"/>
        <v>-1247</v>
      </c>
      <c r="L243" s="343">
        <f t="shared" si="18"/>
        <v>6.661676646706587</v>
      </c>
      <c r="N243" s="344">
        <f t="shared" si="17"/>
        <v>0</v>
      </c>
    </row>
    <row r="244" spans="1:14" ht="12.75" customHeight="1">
      <c r="A244" s="326">
        <f t="shared" si="16"/>
        <v>243</v>
      </c>
      <c r="B244" s="387">
        <v>4100</v>
      </c>
      <c r="C244" s="259">
        <v>3639</v>
      </c>
      <c r="D244" s="359" t="s">
        <v>41</v>
      </c>
      <c r="E244" s="259">
        <v>5169</v>
      </c>
      <c r="F244" s="259" t="s">
        <v>316</v>
      </c>
      <c r="G244" s="336" t="s">
        <v>351</v>
      </c>
      <c r="H244" s="337"/>
      <c r="I244" s="337">
        <v>52</v>
      </c>
      <c r="J244" s="338">
        <v>52</v>
      </c>
      <c r="K244" s="339">
        <f t="shared" si="14"/>
        <v>0</v>
      </c>
      <c r="L244" s="343">
        <f t="shared" si="18"/>
        <v>100</v>
      </c>
      <c r="N244" s="344">
        <f t="shared" si="17"/>
        <v>0</v>
      </c>
    </row>
    <row r="245" spans="1:14" ht="12.75" customHeight="1">
      <c r="A245" s="326">
        <f t="shared" si="16"/>
        <v>244</v>
      </c>
      <c r="B245" s="387">
        <v>4100</v>
      </c>
      <c r="C245" s="259">
        <v>3639</v>
      </c>
      <c r="D245" s="359" t="s">
        <v>41</v>
      </c>
      <c r="E245" s="259">
        <v>5171</v>
      </c>
      <c r="F245" s="259" t="s">
        <v>384</v>
      </c>
      <c r="G245" s="336" t="s">
        <v>351</v>
      </c>
      <c r="H245" s="337">
        <v>7000</v>
      </c>
      <c r="I245" s="337">
        <v>1500</v>
      </c>
      <c r="J245" s="338">
        <v>199</v>
      </c>
      <c r="K245" s="339">
        <f aca="true" t="shared" si="19" ref="K245:K317">J245-I245</f>
        <v>-1301</v>
      </c>
      <c r="L245" s="343">
        <f t="shared" si="18"/>
        <v>13.266666666666666</v>
      </c>
      <c r="N245" s="344">
        <f t="shared" si="17"/>
        <v>0</v>
      </c>
    </row>
    <row r="246" spans="1:14" ht="12.75" customHeight="1">
      <c r="A246" s="326">
        <f t="shared" si="16"/>
        <v>245</v>
      </c>
      <c r="B246" s="391"/>
      <c r="C246" s="347" t="s">
        <v>405</v>
      </c>
      <c r="D246" s="347"/>
      <c r="E246" s="347"/>
      <c r="F246" s="347"/>
      <c r="G246" s="348"/>
      <c r="H246" s="349">
        <f>SUBTOTAL(9,H242:H245)</f>
        <v>12838</v>
      </c>
      <c r="I246" s="349">
        <f>SUBTOTAL(9,I242:I245)</f>
        <v>2898</v>
      </c>
      <c r="J246" s="349">
        <f>SUBTOTAL(9,J242:J245)</f>
        <v>345</v>
      </c>
      <c r="K246" s="412">
        <f t="shared" si="19"/>
        <v>-2553</v>
      </c>
      <c r="L246" s="413">
        <f t="shared" si="18"/>
        <v>11.904761904761903</v>
      </c>
      <c r="N246" s="344">
        <f t="shared" si="17"/>
        <v>0</v>
      </c>
    </row>
    <row r="247" spans="1:14" ht="12.75" customHeight="1">
      <c r="A247" s="326">
        <f t="shared" si="16"/>
        <v>246</v>
      </c>
      <c r="B247" s="387">
        <v>4100</v>
      </c>
      <c r="C247" s="259">
        <v>3745</v>
      </c>
      <c r="D247" s="359" t="s">
        <v>2</v>
      </c>
      <c r="E247" s="259">
        <v>5166</v>
      </c>
      <c r="F247" s="388" t="s">
        <v>315</v>
      </c>
      <c r="G247" s="336" t="s">
        <v>351</v>
      </c>
      <c r="H247" s="337">
        <v>50</v>
      </c>
      <c r="I247" s="337">
        <v>50</v>
      </c>
      <c r="J247" s="338">
        <v>48</v>
      </c>
      <c r="K247" s="339">
        <f t="shared" si="19"/>
        <v>-2</v>
      </c>
      <c r="L247" s="343">
        <f t="shared" si="18"/>
        <v>96</v>
      </c>
      <c r="N247" s="344">
        <f t="shared" si="17"/>
        <v>0</v>
      </c>
    </row>
    <row r="248" spans="1:14" ht="12.75" customHeight="1">
      <c r="A248" s="326">
        <f t="shared" si="16"/>
        <v>247</v>
      </c>
      <c r="B248" s="387">
        <v>4100</v>
      </c>
      <c r="C248" s="259">
        <v>3745</v>
      </c>
      <c r="D248" s="359" t="s">
        <v>2</v>
      </c>
      <c r="E248" s="259">
        <v>5169</v>
      </c>
      <c r="F248" s="259" t="s">
        <v>316</v>
      </c>
      <c r="G248" s="336"/>
      <c r="H248" s="337">
        <v>12135</v>
      </c>
      <c r="I248" s="337"/>
      <c r="J248" s="338"/>
      <c r="K248" s="339">
        <f t="shared" si="19"/>
        <v>0</v>
      </c>
      <c r="L248" s="343"/>
      <c r="N248" s="344">
        <f t="shared" si="17"/>
        <v>0</v>
      </c>
    </row>
    <row r="249" spans="1:14" ht="12.75" customHeight="1">
      <c r="A249" s="326">
        <f t="shared" si="16"/>
        <v>248</v>
      </c>
      <c r="B249" s="387">
        <v>4100</v>
      </c>
      <c r="C249" s="259">
        <v>3745</v>
      </c>
      <c r="D249" s="359" t="s">
        <v>2</v>
      </c>
      <c r="E249" s="259">
        <v>5169</v>
      </c>
      <c r="F249" s="259" t="s">
        <v>316</v>
      </c>
      <c r="G249" s="336" t="s">
        <v>351</v>
      </c>
      <c r="H249" s="337"/>
      <c r="I249" s="337">
        <v>13490</v>
      </c>
      <c r="J249" s="338">
        <v>10666</v>
      </c>
      <c r="K249" s="339">
        <f t="shared" si="19"/>
        <v>-2824</v>
      </c>
      <c r="L249" s="343">
        <f t="shared" si="18"/>
        <v>79.06597479614528</v>
      </c>
      <c r="N249" s="344">
        <f t="shared" si="17"/>
        <v>0</v>
      </c>
    </row>
    <row r="250" spans="1:14" ht="12.75" customHeight="1">
      <c r="A250" s="326">
        <f t="shared" si="16"/>
        <v>249</v>
      </c>
      <c r="B250" s="387">
        <v>4100</v>
      </c>
      <c r="C250" s="259">
        <v>3745</v>
      </c>
      <c r="D250" s="359" t="s">
        <v>2</v>
      </c>
      <c r="E250" s="259">
        <v>5909</v>
      </c>
      <c r="F250" s="259" t="s">
        <v>318</v>
      </c>
      <c r="G250" s="336" t="s">
        <v>351</v>
      </c>
      <c r="H250" s="337"/>
      <c r="I250" s="337">
        <v>1563</v>
      </c>
      <c r="J250" s="338">
        <v>1563</v>
      </c>
      <c r="K250" s="339">
        <f t="shared" si="19"/>
        <v>0</v>
      </c>
      <c r="L250" s="343">
        <f t="shared" si="18"/>
        <v>100</v>
      </c>
      <c r="N250" s="344">
        <f t="shared" si="17"/>
        <v>0</v>
      </c>
    </row>
    <row r="251" spans="1:14" ht="12.75" customHeight="1">
      <c r="A251" s="326">
        <f t="shared" si="16"/>
        <v>250</v>
      </c>
      <c r="B251" s="391"/>
      <c r="C251" s="347" t="s">
        <v>406</v>
      </c>
      <c r="D251" s="347"/>
      <c r="E251" s="347"/>
      <c r="F251" s="347"/>
      <c r="G251" s="348"/>
      <c r="H251" s="349">
        <f>SUBTOTAL(9,H247:H248)</f>
        <v>12185</v>
      </c>
      <c r="I251" s="349">
        <f>SUBTOTAL(9,I247:I250)</f>
        <v>15103</v>
      </c>
      <c r="J251" s="349">
        <f>SUBTOTAL(9,J247:J250)</f>
        <v>12277</v>
      </c>
      <c r="K251" s="456">
        <f t="shared" si="19"/>
        <v>-2826</v>
      </c>
      <c r="L251" s="457">
        <f t="shared" si="18"/>
        <v>81.28848573131165</v>
      </c>
      <c r="N251" s="344">
        <f t="shared" si="17"/>
        <v>0</v>
      </c>
    </row>
    <row r="252" spans="1:14" ht="12.75" customHeight="1">
      <c r="A252" s="326">
        <f t="shared" si="16"/>
        <v>251</v>
      </c>
      <c r="B252" s="387">
        <v>4100</v>
      </c>
      <c r="C252" s="259">
        <v>3809</v>
      </c>
      <c r="D252" s="472" t="s">
        <v>239</v>
      </c>
      <c r="E252" s="259">
        <v>5222</v>
      </c>
      <c r="F252" s="359" t="s">
        <v>407</v>
      </c>
      <c r="G252" s="336"/>
      <c r="H252" s="337">
        <v>1500</v>
      </c>
      <c r="I252" s="337">
        <v>1500</v>
      </c>
      <c r="J252" s="338">
        <v>1500</v>
      </c>
      <c r="K252" s="339">
        <f t="shared" si="19"/>
        <v>0</v>
      </c>
      <c r="L252" s="343">
        <f t="shared" si="18"/>
        <v>100</v>
      </c>
      <c r="N252" s="344">
        <f t="shared" si="17"/>
        <v>0</v>
      </c>
    </row>
    <row r="253" spans="1:14" ht="12.75" customHeight="1">
      <c r="A253" s="326">
        <f t="shared" si="16"/>
        <v>252</v>
      </c>
      <c r="B253" s="387">
        <v>4100</v>
      </c>
      <c r="C253" s="259">
        <v>3809</v>
      </c>
      <c r="D253" s="472" t="s">
        <v>239</v>
      </c>
      <c r="E253" s="259">
        <v>5229</v>
      </c>
      <c r="F253" s="389" t="s">
        <v>336</v>
      </c>
      <c r="G253" s="336"/>
      <c r="H253" s="337">
        <v>8000</v>
      </c>
      <c r="I253" s="337">
        <v>12000</v>
      </c>
      <c r="J253" s="338">
        <v>12000</v>
      </c>
      <c r="K253" s="339">
        <f t="shared" si="19"/>
        <v>0</v>
      </c>
      <c r="L253" s="343">
        <f t="shared" si="18"/>
        <v>100</v>
      </c>
      <c r="N253" s="344">
        <f t="shared" si="17"/>
        <v>0</v>
      </c>
    </row>
    <row r="254" spans="1:14" ht="12.75" customHeight="1">
      <c r="A254" s="326">
        <f t="shared" si="16"/>
        <v>253</v>
      </c>
      <c r="B254" s="391"/>
      <c r="C254" s="347" t="s">
        <v>408</v>
      </c>
      <c r="D254" s="347"/>
      <c r="E254" s="347"/>
      <c r="F254" s="347"/>
      <c r="G254" s="348"/>
      <c r="H254" s="349">
        <f>SUBTOTAL(9,H252:H253)</f>
        <v>9500</v>
      </c>
      <c r="I254" s="349">
        <f>SUBTOTAL(9,I252:I253)</f>
        <v>13500</v>
      </c>
      <c r="J254" s="349">
        <f>SUBTOTAL(9,J252:J253)</f>
        <v>13500</v>
      </c>
      <c r="K254" s="456">
        <f t="shared" si="19"/>
        <v>0</v>
      </c>
      <c r="L254" s="457">
        <f t="shared" si="18"/>
        <v>100</v>
      </c>
      <c r="N254" s="344">
        <f t="shared" si="17"/>
        <v>0</v>
      </c>
    </row>
    <row r="255" spans="1:14" ht="12.75" customHeight="1">
      <c r="A255" s="326">
        <f t="shared" si="16"/>
        <v>254</v>
      </c>
      <c r="B255" s="387">
        <v>4100</v>
      </c>
      <c r="C255" s="259">
        <v>6171</v>
      </c>
      <c r="D255" s="259" t="s">
        <v>9</v>
      </c>
      <c r="E255" s="259">
        <v>5139</v>
      </c>
      <c r="F255" s="259" t="s">
        <v>342</v>
      </c>
      <c r="G255" s="336" t="s">
        <v>351</v>
      </c>
      <c r="H255" s="414"/>
      <c r="I255" s="414">
        <v>5</v>
      </c>
      <c r="J255" s="338">
        <v>2</v>
      </c>
      <c r="K255" s="339">
        <f t="shared" si="19"/>
        <v>-3</v>
      </c>
      <c r="L255" s="343">
        <f t="shared" si="18"/>
        <v>40</v>
      </c>
      <c r="N255" s="344">
        <f t="shared" si="17"/>
        <v>0</v>
      </c>
    </row>
    <row r="256" spans="1:14" ht="12.75" customHeight="1">
      <c r="A256" s="326">
        <f t="shared" si="16"/>
        <v>255</v>
      </c>
      <c r="B256" s="387">
        <v>4100</v>
      </c>
      <c r="C256" s="259">
        <v>6171</v>
      </c>
      <c r="D256" s="259" t="s">
        <v>9</v>
      </c>
      <c r="E256" s="259">
        <v>5164</v>
      </c>
      <c r="F256" s="356" t="s">
        <v>348</v>
      </c>
      <c r="G256" s="336" t="s">
        <v>351</v>
      </c>
      <c r="H256" s="337">
        <v>20</v>
      </c>
      <c r="I256" s="337">
        <v>20</v>
      </c>
      <c r="J256" s="338"/>
      <c r="K256" s="339">
        <f t="shared" si="19"/>
        <v>-20</v>
      </c>
      <c r="L256" s="343">
        <f t="shared" si="18"/>
        <v>0</v>
      </c>
      <c r="N256" s="344">
        <f t="shared" si="17"/>
        <v>0</v>
      </c>
    </row>
    <row r="257" spans="1:14" ht="12.75" customHeight="1">
      <c r="A257" s="326">
        <f t="shared" si="16"/>
        <v>256</v>
      </c>
      <c r="B257" s="387">
        <v>4100</v>
      </c>
      <c r="C257" s="259">
        <v>6171</v>
      </c>
      <c r="D257" s="259" t="s">
        <v>9</v>
      </c>
      <c r="E257" s="259">
        <v>5166</v>
      </c>
      <c r="F257" s="388" t="s">
        <v>315</v>
      </c>
      <c r="G257" s="336" t="s">
        <v>351</v>
      </c>
      <c r="H257" s="337">
        <v>1815</v>
      </c>
      <c r="I257" s="337">
        <v>1815</v>
      </c>
      <c r="J257" s="338">
        <v>1815</v>
      </c>
      <c r="K257" s="339">
        <f t="shared" si="19"/>
        <v>0</v>
      </c>
      <c r="L257" s="343">
        <f t="shared" si="18"/>
        <v>100</v>
      </c>
      <c r="N257" s="344">
        <f t="shared" si="17"/>
        <v>0</v>
      </c>
    </row>
    <row r="258" spans="1:14" ht="12.75" customHeight="1">
      <c r="A258" s="326">
        <f t="shared" si="16"/>
        <v>257</v>
      </c>
      <c r="B258" s="387">
        <v>4100</v>
      </c>
      <c r="C258" s="259">
        <v>6171</v>
      </c>
      <c r="D258" s="259" t="s">
        <v>9</v>
      </c>
      <c r="E258" s="259">
        <v>5169</v>
      </c>
      <c r="F258" s="259" t="s">
        <v>316</v>
      </c>
      <c r="G258" s="336" t="s">
        <v>351</v>
      </c>
      <c r="H258" s="337">
        <v>3750</v>
      </c>
      <c r="I258" s="337">
        <v>3750</v>
      </c>
      <c r="J258" s="338">
        <v>3223</v>
      </c>
      <c r="K258" s="339">
        <f t="shared" si="19"/>
        <v>-527</v>
      </c>
      <c r="L258" s="343">
        <f t="shared" si="18"/>
        <v>85.94666666666667</v>
      </c>
      <c r="N258" s="344">
        <f t="shared" si="17"/>
        <v>0</v>
      </c>
    </row>
    <row r="259" spans="1:14" ht="12.75" customHeight="1">
      <c r="A259" s="326">
        <f t="shared" si="16"/>
        <v>258</v>
      </c>
      <c r="B259" s="387">
        <v>4100</v>
      </c>
      <c r="C259" s="259">
        <v>6171</v>
      </c>
      <c r="D259" s="259" t="s">
        <v>9</v>
      </c>
      <c r="E259" s="259">
        <v>5175</v>
      </c>
      <c r="F259" s="259" t="s">
        <v>334</v>
      </c>
      <c r="G259" s="336" t="s">
        <v>351</v>
      </c>
      <c r="H259" s="337">
        <v>80</v>
      </c>
      <c r="I259" s="337">
        <v>80</v>
      </c>
      <c r="J259" s="338"/>
      <c r="K259" s="339">
        <f t="shared" si="19"/>
        <v>-80</v>
      </c>
      <c r="L259" s="343">
        <f t="shared" si="18"/>
        <v>0</v>
      </c>
      <c r="N259" s="344">
        <f t="shared" si="17"/>
        <v>0</v>
      </c>
    </row>
    <row r="260" spans="1:14" ht="12.75" customHeight="1">
      <c r="A260" s="326">
        <f aca="true" t="shared" si="20" ref="A260:A323">A259+1</f>
        <v>259</v>
      </c>
      <c r="B260" s="387">
        <v>4100</v>
      </c>
      <c r="C260" s="259">
        <v>6171</v>
      </c>
      <c r="D260" s="259" t="s">
        <v>9</v>
      </c>
      <c r="E260" s="259">
        <v>5366</v>
      </c>
      <c r="F260" s="259" t="s">
        <v>409</v>
      </c>
      <c r="G260" s="336"/>
      <c r="H260" s="337"/>
      <c r="I260" s="337">
        <v>128</v>
      </c>
      <c r="J260" s="338">
        <v>128</v>
      </c>
      <c r="K260" s="339"/>
      <c r="L260" s="343">
        <f t="shared" si="18"/>
        <v>100</v>
      </c>
      <c r="N260" s="344">
        <f aca="true" t="shared" si="21" ref="N260:N323">I260-J260+K260</f>
        <v>0</v>
      </c>
    </row>
    <row r="261" spans="1:14" ht="12.75" customHeight="1">
      <c r="A261" s="326">
        <f t="shared" si="20"/>
        <v>260</v>
      </c>
      <c r="B261" s="391"/>
      <c r="C261" s="347" t="s">
        <v>319</v>
      </c>
      <c r="D261" s="347"/>
      <c r="E261" s="347"/>
      <c r="F261" s="347"/>
      <c r="G261" s="348"/>
      <c r="H261" s="349">
        <f>SUBTOTAL(9,H256:H259)</f>
        <v>5665</v>
      </c>
      <c r="I261" s="349">
        <f>SUBTOTAL(9,I255:I260)</f>
        <v>5798</v>
      </c>
      <c r="J261" s="349">
        <f>SUBTOTAL(9,J255:J260)</f>
        <v>5168</v>
      </c>
      <c r="K261" s="412">
        <f t="shared" si="19"/>
        <v>-630</v>
      </c>
      <c r="L261" s="457">
        <f t="shared" si="18"/>
        <v>89.13418420144878</v>
      </c>
      <c r="N261" s="344">
        <f t="shared" si="21"/>
        <v>0</v>
      </c>
    </row>
    <row r="262" spans="1:14" ht="13.5" customHeight="1" thickBot="1">
      <c r="A262" s="326">
        <f t="shared" si="20"/>
        <v>261</v>
      </c>
      <c r="B262" s="366" t="s">
        <v>191</v>
      </c>
      <c r="C262" s="367"/>
      <c r="D262" s="367"/>
      <c r="E262" s="367"/>
      <c r="F262" s="367"/>
      <c r="G262" s="368"/>
      <c r="H262" s="369">
        <f>SUBTOTAL(9,H209:H261)</f>
        <v>55343</v>
      </c>
      <c r="I262" s="369">
        <f>SUBTOTAL(9,I209:I261)</f>
        <v>53143</v>
      </c>
      <c r="J262" s="369">
        <f>SUBTOTAL(9,J209:J261)</f>
        <v>41163</v>
      </c>
      <c r="K262" s="370">
        <f t="shared" si="19"/>
        <v>-11980</v>
      </c>
      <c r="L262" s="371">
        <f t="shared" si="18"/>
        <v>77.4570498466402</v>
      </c>
      <c r="N262" s="344">
        <f t="shared" si="21"/>
        <v>0</v>
      </c>
    </row>
    <row r="263" spans="1:14" ht="9.75" customHeight="1">
      <c r="A263" s="326">
        <f t="shared" si="20"/>
        <v>262</v>
      </c>
      <c r="B263" s="446"/>
      <c r="C263" s="447"/>
      <c r="D263" s="447"/>
      <c r="E263" s="447"/>
      <c r="F263" s="421"/>
      <c r="G263" s="422"/>
      <c r="H263" s="448">
        <v>0</v>
      </c>
      <c r="I263" s="448"/>
      <c r="J263" s="449"/>
      <c r="K263" s="450"/>
      <c r="L263" s="451"/>
      <c r="N263" s="344">
        <f t="shared" si="21"/>
        <v>0</v>
      </c>
    </row>
    <row r="264" spans="1:14" ht="15.75">
      <c r="A264" s="326">
        <f t="shared" si="20"/>
        <v>263</v>
      </c>
      <c r="B264" s="473" t="s">
        <v>4</v>
      </c>
      <c r="C264" s="259"/>
      <c r="D264" s="259"/>
      <c r="E264" s="259"/>
      <c r="F264" s="259"/>
      <c r="G264" s="336"/>
      <c r="H264" s="337">
        <v>0</v>
      </c>
      <c r="I264" s="337"/>
      <c r="J264" s="338"/>
      <c r="K264" s="339"/>
      <c r="L264" s="343"/>
      <c r="N264" s="344">
        <f t="shared" si="21"/>
        <v>0</v>
      </c>
    </row>
    <row r="265" spans="1:14" ht="12.75" customHeight="1">
      <c r="A265" s="326">
        <f t="shared" si="20"/>
        <v>264</v>
      </c>
      <c r="B265" s="474">
        <v>4200</v>
      </c>
      <c r="C265" s="475">
        <v>1014</v>
      </c>
      <c r="D265" s="476" t="s">
        <v>410</v>
      </c>
      <c r="E265" s="475">
        <v>5166</v>
      </c>
      <c r="F265" s="476" t="s">
        <v>315</v>
      </c>
      <c r="G265" s="477"/>
      <c r="H265" s="337">
        <v>50</v>
      </c>
      <c r="I265" s="337">
        <v>50</v>
      </c>
      <c r="J265" s="338"/>
      <c r="K265" s="339">
        <f t="shared" si="19"/>
        <v>-50</v>
      </c>
      <c r="L265" s="343">
        <f t="shared" si="18"/>
        <v>0</v>
      </c>
      <c r="N265" s="344">
        <f t="shared" si="21"/>
        <v>0</v>
      </c>
    </row>
    <row r="266" spans="1:14" ht="12.75" customHeight="1">
      <c r="A266" s="326">
        <f t="shared" si="20"/>
        <v>265</v>
      </c>
      <c r="B266" s="387">
        <v>4200</v>
      </c>
      <c r="C266" s="259">
        <v>1014</v>
      </c>
      <c r="D266" s="475" t="s">
        <v>410</v>
      </c>
      <c r="E266" s="259">
        <v>5169</v>
      </c>
      <c r="F266" s="259" t="s">
        <v>316</v>
      </c>
      <c r="G266" s="336"/>
      <c r="H266" s="337">
        <v>100</v>
      </c>
      <c r="I266" s="337">
        <v>100</v>
      </c>
      <c r="J266" s="338"/>
      <c r="K266" s="339">
        <f t="shared" si="19"/>
        <v>-100</v>
      </c>
      <c r="L266" s="343">
        <f t="shared" si="18"/>
        <v>0</v>
      </c>
      <c r="N266" s="344">
        <f t="shared" si="21"/>
        <v>0</v>
      </c>
    </row>
    <row r="267" spans="1:14" ht="12.75" customHeight="1">
      <c r="A267" s="326">
        <f t="shared" si="20"/>
        <v>266</v>
      </c>
      <c r="B267" s="391"/>
      <c r="C267" s="347" t="s">
        <v>411</v>
      </c>
      <c r="D267" s="347"/>
      <c r="E267" s="347"/>
      <c r="F267" s="347"/>
      <c r="G267" s="348"/>
      <c r="H267" s="349">
        <f>SUBTOTAL(9,H265:H266)</f>
        <v>150</v>
      </c>
      <c r="I267" s="349">
        <f>SUBTOTAL(9,I265:I266)</f>
        <v>150</v>
      </c>
      <c r="J267" s="349">
        <f>SUBTOTAL(9,J265:J266)</f>
        <v>0</v>
      </c>
      <c r="K267" s="456">
        <f t="shared" si="19"/>
        <v>-150</v>
      </c>
      <c r="L267" s="457">
        <f t="shared" si="18"/>
        <v>0</v>
      </c>
      <c r="N267" s="344">
        <f t="shared" si="21"/>
        <v>0</v>
      </c>
    </row>
    <row r="268" spans="1:14" ht="12.75" customHeight="1">
      <c r="A268" s="326">
        <f t="shared" si="20"/>
        <v>267</v>
      </c>
      <c r="B268" s="387">
        <v>4200</v>
      </c>
      <c r="C268" s="259">
        <v>3632</v>
      </c>
      <c r="D268" s="259" t="s">
        <v>1</v>
      </c>
      <c r="E268" s="259">
        <v>5166</v>
      </c>
      <c r="F268" s="259" t="s">
        <v>315</v>
      </c>
      <c r="G268" s="336"/>
      <c r="H268" s="337">
        <v>576</v>
      </c>
      <c r="I268" s="337">
        <v>560</v>
      </c>
      <c r="J268" s="338">
        <v>75</v>
      </c>
      <c r="K268" s="339">
        <f t="shared" si="19"/>
        <v>-485</v>
      </c>
      <c r="L268" s="343">
        <f t="shared" si="18"/>
        <v>13.392857142857142</v>
      </c>
      <c r="N268" s="344">
        <f t="shared" si="21"/>
        <v>0</v>
      </c>
    </row>
    <row r="269" spans="1:14" ht="12.75" customHeight="1">
      <c r="A269" s="326">
        <f t="shared" si="20"/>
        <v>268</v>
      </c>
      <c r="B269" s="387">
        <v>4200</v>
      </c>
      <c r="C269" s="259">
        <v>3632</v>
      </c>
      <c r="D269" s="259" t="s">
        <v>1</v>
      </c>
      <c r="E269" s="259">
        <v>5169</v>
      </c>
      <c r="F269" s="259" t="s">
        <v>316</v>
      </c>
      <c r="G269" s="336"/>
      <c r="H269" s="337">
        <v>230</v>
      </c>
      <c r="I269" s="337">
        <v>230</v>
      </c>
      <c r="J269" s="338">
        <v>122</v>
      </c>
      <c r="K269" s="339">
        <f t="shared" si="19"/>
        <v>-108</v>
      </c>
      <c r="L269" s="343">
        <f t="shared" si="18"/>
        <v>53.04347826086957</v>
      </c>
      <c r="N269" s="344">
        <f t="shared" si="21"/>
        <v>0</v>
      </c>
    </row>
    <row r="270" spans="1:14" ht="12.75" customHeight="1">
      <c r="A270" s="326">
        <f t="shared" si="20"/>
        <v>269</v>
      </c>
      <c r="B270" s="387">
        <v>4200</v>
      </c>
      <c r="C270" s="259">
        <v>3632</v>
      </c>
      <c r="D270" s="259" t="s">
        <v>1</v>
      </c>
      <c r="E270" s="259">
        <v>5171</v>
      </c>
      <c r="F270" s="259" t="s">
        <v>384</v>
      </c>
      <c r="G270" s="336"/>
      <c r="H270" s="337">
        <v>620</v>
      </c>
      <c r="I270" s="337">
        <v>620</v>
      </c>
      <c r="J270" s="338">
        <v>209</v>
      </c>
      <c r="K270" s="339">
        <f t="shared" si="19"/>
        <v>-411</v>
      </c>
      <c r="L270" s="343">
        <f t="shared" si="18"/>
        <v>33.70967741935484</v>
      </c>
      <c r="N270" s="344">
        <f t="shared" si="21"/>
        <v>0</v>
      </c>
    </row>
    <row r="271" spans="1:14" ht="12.75" customHeight="1">
      <c r="A271" s="326">
        <f t="shared" si="20"/>
        <v>270</v>
      </c>
      <c r="B271" s="387">
        <v>4200</v>
      </c>
      <c r="C271" s="259">
        <v>3632</v>
      </c>
      <c r="D271" s="259" t="s">
        <v>1</v>
      </c>
      <c r="E271" s="259">
        <v>5192</v>
      </c>
      <c r="F271" s="259" t="s">
        <v>335</v>
      </c>
      <c r="G271" s="336"/>
      <c r="H271" s="337">
        <v>1</v>
      </c>
      <c r="I271" s="337">
        <v>17</v>
      </c>
      <c r="J271" s="338">
        <v>16</v>
      </c>
      <c r="K271" s="339">
        <f t="shared" si="19"/>
        <v>-1</v>
      </c>
      <c r="L271" s="343">
        <f t="shared" si="18"/>
        <v>94.11764705882352</v>
      </c>
      <c r="N271" s="344">
        <f t="shared" si="21"/>
        <v>0</v>
      </c>
    </row>
    <row r="272" spans="1:14" ht="12.75" customHeight="1">
      <c r="A272" s="326">
        <f t="shared" si="20"/>
        <v>271</v>
      </c>
      <c r="B272" s="387">
        <v>4200</v>
      </c>
      <c r="C272" s="259">
        <v>3632</v>
      </c>
      <c r="D272" s="259" t="s">
        <v>1</v>
      </c>
      <c r="E272" s="259">
        <v>5331</v>
      </c>
      <c r="F272" s="389" t="s">
        <v>337</v>
      </c>
      <c r="G272" s="336" t="s">
        <v>412</v>
      </c>
      <c r="H272" s="337">
        <v>27204</v>
      </c>
      <c r="I272" s="337">
        <v>27501</v>
      </c>
      <c r="J272" s="338">
        <v>27501</v>
      </c>
      <c r="K272" s="339">
        <f t="shared" si="19"/>
        <v>0</v>
      </c>
      <c r="L272" s="343">
        <f t="shared" si="18"/>
        <v>100</v>
      </c>
      <c r="N272" s="344">
        <f t="shared" si="21"/>
        <v>0</v>
      </c>
    </row>
    <row r="273" spans="1:14" ht="12.75" customHeight="1">
      <c r="A273" s="326">
        <f t="shared" si="20"/>
        <v>272</v>
      </c>
      <c r="B273" s="391"/>
      <c r="C273" s="347" t="s">
        <v>413</v>
      </c>
      <c r="D273" s="347"/>
      <c r="E273" s="347"/>
      <c r="F273" s="347"/>
      <c r="G273" s="348"/>
      <c r="H273" s="349">
        <f>SUBTOTAL(9,H268:H272)</f>
        <v>28631</v>
      </c>
      <c r="I273" s="349">
        <f>SUBTOTAL(9,I268:I272)</f>
        <v>28928</v>
      </c>
      <c r="J273" s="349">
        <f>SUBTOTAL(9,J268:J272)</f>
        <v>27923</v>
      </c>
      <c r="K273" s="456">
        <f t="shared" si="19"/>
        <v>-1005</v>
      </c>
      <c r="L273" s="396">
        <f t="shared" si="18"/>
        <v>96.52585730088495</v>
      </c>
      <c r="N273" s="344">
        <f t="shared" si="21"/>
        <v>0</v>
      </c>
    </row>
    <row r="274" spans="1:14" ht="12.75" customHeight="1">
      <c r="A274" s="326">
        <f t="shared" si="20"/>
        <v>273</v>
      </c>
      <c r="B274" s="387">
        <v>4200</v>
      </c>
      <c r="C274" s="259">
        <v>3716</v>
      </c>
      <c r="D274" s="259" t="s">
        <v>64</v>
      </c>
      <c r="E274" s="259">
        <v>5154</v>
      </c>
      <c r="F274" s="259" t="s">
        <v>347</v>
      </c>
      <c r="G274" s="336"/>
      <c r="H274" s="337">
        <v>30</v>
      </c>
      <c r="I274" s="337">
        <v>30</v>
      </c>
      <c r="J274" s="338">
        <v>15</v>
      </c>
      <c r="K274" s="339">
        <f t="shared" si="19"/>
        <v>-15</v>
      </c>
      <c r="L274" s="343">
        <f t="shared" si="18"/>
        <v>50</v>
      </c>
      <c r="N274" s="344">
        <f t="shared" si="21"/>
        <v>0</v>
      </c>
    </row>
    <row r="275" spans="1:14" ht="12.75" customHeight="1">
      <c r="A275" s="326">
        <f t="shared" si="20"/>
        <v>274</v>
      </c>
      <c r="B275" s="387">
        <v>4200</v>
      </c>
      <c r="C275" s="259">
        <v>3716</v>
      </c>
      <c r="D275" s="259" t="s">
        <v>64</v>
      </c>
      <c r="E275" s="259">
        <v>5163</v>
      </c>
      <c r="F275" s="259" t="s">
        <v>323</v>
      </c>
      <c r="G275" s="336"/>
      <c r="H275" s="337">
        <v>14</v>
      </c>
      <c r="I275" s="337">
        <v>14</v>
      </c>
      <c r="J275" s="338">
        <v>11</v>
      </c>
      <c r="K275" s="339">
        <f t="shared" si="19"/>
        <v>-3</v>
      </c>
      <c r="L275" s="343">
        <f t="shared" si="18"/>
        <v>78.57142857142857</v>
      </c>
      <c r="N275" s="344">
        <f t="shared" si="21"/>
        <v>0</v>
      </c>
    </row>
    <row r="276" spans="1:14" ht="12.75" customHeight="1">
      <c r="A276" s="326">
        <f t="shared" si="20"/>
        <v>275</v>
      </c>
      <c r="B276" s="387">
        <v>4200</v>
      </c>
      <c r="C276" s="259">
        <v>3716</v>
      </c>
      <c r="D276" s="259" t="s">
        <v>64</v>
      </c>
      <c r="E276" s="259">
        <v>5164</v>
      </c>
      <c r="F276" s="259" t="s">
        <v>348</v>
      </c>
      <c r="G276" s="336"/>
      <c r="H276" s="337">
        <v>11</v>
      </c>
      <c r="I276" s="337">
        <v>11</v>
      </c>
      <c r="J276" s="338">
        <v>9</v>
      </c>
      <c r="K276" s="339">
        <f t="shared" si="19"/>
        <v>-2</v>
      </c>
      <c r="L276" s="343">
        <f t="shared" si="18"/>
        <v>81.81818181818183</v>
      </c>
      <c r="N276" s="344">
        <f t="shared" si="21"/>
        <v>0</v>
      </c>
    </row>
    <row r="277" spans="1:14" ht="12.75" customHeight="1">
      <c r="A277" s="326">
        <f t="shared" si="20"/>
        <v>276</v>
      </c>
      <c r="B277" s="387">
        <v>4200</v>
      </c>
      <c r="C277" s="259">
        <v>3716</v>
      </c>
      <c r="D277" s="259" t="s">
        <v>64</v>
      </c>
      <c r="E277" s="259">
        <v>5166</v>
      </c>
      <c r="F277" s="259" t="s">
        <v>315</v>
      </c>
      <c r="G277" s="336"/>
      <c r="H277" s="337">
        <v>550</v>
      </c>
      <c r="I277" s="337">
        <v>550</v>
      </c>
      <c r="J277" s="338">
        <v>14</v>
      </c>
      <c r="K277" s="339">
        <f t="shared" si="19"/>
        <v>-536</v>
      </c>
      <c r="L277" s="343">
        <f t="shared" si="18"/>
        <v>2.5454545454545454</v>
      </c>
      <c r="N277" s="344">
        <f t="shared" si="21"/>
        <v>0</v>
      </c>
    </row>
    <row r="278" spans="1:14" ht="12.75" customHeight="1">
      <c r="A278" s="326">
        <f t="shared" si="20"/>
        <v>277</v>
      </c>
      <c r="B278" s="387">
        <v>4200</v>
      </c>
      <c r="C278" s="259">
        <v>3716</v>
      </c>
      <c r="D278" s="259" t="s">
        <v>64</v>
      </c>
      <c r="E278" s="259">
        <v>5169</v>
      </c>
      <c r="F278" s="259" t="s">
        <v>316</v>
      </c>
      <c r="G278" s="336"/>
      <c r="H278" s="337">
        <v>2220</v>
      </c>
      <c r="I278" s="337">
        <v>2220</v>
      </c>
      <c r="J278" s="338">
        <v>2137</v>
      </c>
      <c r="K278" s="339">
        <f t="shared" si="19"/>
        <v>-83</v>
      </c>
      <c r="L278" s="343">
        <f t="shared" si="18"/>
        <v>96.26126126126127</v>
      </c>
      <c r="N278" s="344">
        <f t="shared" si="21"/>
        <v>0</v>
      </c>
    </row>
    <row r="279" spans="1:14" ht="12.75" customHeight="1">
      <c r="A279" s="326">
        <f t="shared" si="20"/>
        <v>278</v>
      </c>
      <c r="B279" s="391"/>
      <c r="C279" s="347" t="s">
        <v>414</v>
      </c>
      <c r="D279" s="347"/>
      <c r="E279" s="347"/>
      <c r="F279" s="347"/>
      <c r="G279" s="348"/>
      <c r="H279" s="349">
        <f>SUBTOTAL(9,H274:H278)</f>
        <v>2825</v>
      </c>
      <c r="I279" s="349">
        <f>SUBTOTAL(9,I274:I278)</f>
        <v>2825</v>
      </c>
      <c r="J279" s="349">
        <f>SUBTOTAL(9,J274:J278)</f>
        <v>2186</v>
      </c>
      <c r="K279" s="456">
        <f t="shared" si="19"/>
        <v>-639</v>
      </c>
      <c r="L279" s="457">
        <f t="shared" si="18"/>
        <v>77.38053097345133</v>
      </c>
      <c r="N279" s="344">
        <f t="shared" si="21"/>
        <v>0</v>
      </c>
    </row>
    <row r="280" spans="1:14" ht="12.75" customHeight="1">
      <c r="A280" s="326">
        <f t="shared" si="20"/>
        <v>279</v>
      </c>
      <c r="B280" s="387">
        <v>4200</v>
      </c>
      <c r="C280" s="259">
        <v>3722</v>
      </c>
      <c r="D280" s="259" t="s">
        <v>65</v>
      </c>
      <c r="E280" s="259">
        <v>5169</v>
      </c>
      <c r="F280" s="259" t="s">
        <v>316</v>
      </c>
      <c r="G280" s="336"/>
      <c r="H280" s="337">
        <v>191700</v>
      </c>
      <c r="I280" s="337">
        <v>191700</v>
      </c>
      <c r="J280" s="338">
        <v>185656</v>
      </c>
      <c r="K280" s="339">
        <f t="shared" si="19"/>
        <v>-6044</v>
      </c>
      <c r="L280" s="343">
        <f t="shared" si="18"/>
        <v>96.84715701617111</v>
      </c>
      <c r="N280" s="344">
        <f t="shared" si="21"/>
        <v>0</v>
      </c>
    </row>
    <row r="281" spans="1:14" ht="12.75" customHeight="1">
      <c r="A281" s="326">
        <f t="shared" si="20"/>
        <v>280</v>
      </c>
      <c r="B281" s="391"/>
      <c r="C281" s="347" t="s">
        <v>415</v>
      </c>
      <c r="D281" s="347"/>
      <c r="E281" s="347"/>
      <c r="F281" s="347"/>
      <c r="G281" s="348"/>
      <c r="H281" s="349">
        <f>SUBTOTAL(9,H280:H280)</f>
        <v>191700</v>
      </c>
      <c r="I281" s="349">
        <f>SUBTOTAL(9,I280:I280)</f>
        <v>191700</v>
      </c>
      <c r="J281" s="349">
        <f>SUBTOTAL(9,J280:J280)</f>
        <v>185656</v>
      </c>
      <c r="K281" s="456">
        <f t="shared" si="19"/>
        <v>-6044</v>
      </c>
      <c r="L281" s="457">
        <f t="shared" si="18"/>
        <v>96.84715701617111</v>
      </c>
      <c r="N281" s="344">
        <f t="shared" si="21"/>
        <v>0</v>
      </c>
    </row>
    <row r="282" spans="1:14" ht="12.75" customHeight="1">
      <c r="A282" s="326">
        <f t="shared" si="20"/>
        <v>281</v>
      </c>
      <c r="B282" s="474">
        <v>4200</v>
      </c>
      <c r="C282" s="475">
        <v>3725</v>
      </c>
      <c r="D282" s="476" t="s">
        <v>416</v>
      </c>
      <c r="E282" s="475">
        <v>5164</v>
      </c>
      <c r="F282" s="476" t="s">
        <v>348</v>
      </c>
      <c r="G282" s="477"/>
      <c r="H282" s="337">
        <v>220</v>
      </c>
      <c r="I282" s="337">
        <v>220</v>
      </c>
      <c r="J282" s="338">
        <v>21</v>
      </c>
      <c r="K282" s="339">
        <f t="shared" si="19"/>
        <v>-199</v>
      </c>
      <c r="L282" s="343">
        <f t="shared" si="18"/>
        <v>9.545454545454547</v>
      </c>
      <c r="N282" s="344">
        <f t="shared" si="21"/>
        <v>0</v>
      </c>
    </row>
    <row r="283" spans="1:14" ht="12.75" customHeight="1">
      <c r="A283" s="326">
        <f t="shared" si="20"/>
        <v>282</v>
      </c>
      <c r="B283" s="474">
        <v>4200</v>
      </c>
      <c r="C283" s="475">
        <v>3725</v>
      </c>
      <c r="D283" s="476" t="s">
        <v>416</v>
      </c>
      <c r="E283" s="475">
        <v>5166</v>
      </c>
      <c r="F283" s="259" t="s">
        <v>315</v>
      </c>
      <c r="G283" s="477"/>
      <c r="H283" s="337">
        <v>500</v>
      </c>
      <c r="I283" s="337">
        <v>500</v>
      </c>
      <c r="J283" s="338">
        <v>18</v>
      </c>
      <c r="K283" s="339">
        <f t="shared" si="19"/>
        <v>-482</v>
      </c>
      <c r="L283" s="343">
        <f t="shared" si="18"/>
        <v>3.5999999999999996</v>
      </c>
      <c r="N283" s="344">
        <f t="shared" si="21"/>
        <v>0</v>
      </c>
    </row>
    <row r="284" spans="1:14" ht="12.75" customHeight="1">
      <c r="A284" s="326">
        <f t="shared" si="20"/>
        <v>283</v>
      </c>
      <c r="B284" s="387">
        <v>4200</v>
      </c>
      <c r="C284" s="259">
        <v>3725</v>
      </c>
      <c r="D284" s="476" t="s">
        <v>416</v>
      </c>
      <c r="E284" s="259">
        <v>5169</v>
      </c>
      <c r="F284" s="259" t="s">
        <v>316</v>
      </c>
      <c r="G284" s="336"/>
      <c r="H284" s="337">
        <v>125975</v>
      </c>
      <c r="I284" s="337">
        <v>125824</v>
      </c>
      <c r="J284" s="338">
        <v>115513</v>
      </c>
      <c r="K284" s="339">
        <f t="shared" si="19"/>
        <v>-10311</v>
      </c>
      <c r="L284" s="343">
        <f t="shared" si="18"/>
        <v>91.80521998982705</v>
      </c>
      <c r="N284" s="344">
        <f t="shared" si="21"/>
        <v>0</v>
      </c>
    </row>
    <row r="285" spans="1:14" ht="12.75" customHeight="1">
      <c r="A285" s="326">
        <f t="shared" si="20"/>
        <v>284</v>
      </c>
      <c r="B285" s="387">
        <v>4200</v>
      </c>
      <c r="C285" s="259">
        <v>3725</v>
      </c>
      <c r="D285" s="476" t="s">
        <v>416</v>
      </c>
      <c r="E285" s="259">
        <v>5192</v>
      </c>
      <c r="F285" s="259" t="s">
        <v>335</v>
      </c>
      <c r="G285" s="336"/>
      <c r="H285" s="337"/>
      <c r="I285" s="337">
        <v>150</v>
      </c>
      <c r="J285" s="338">
        <v>81</v>
      </c>
      <c r="K285" s="339">
        <f t="shared" si="19"/>
        <v>-69</v>
      </c>
      <c r="L285" s="343">
        <f t="shared" si="18"/>
        <v>54</v>
      </c>
      <c r="N285" s="344">
        <f t="shared" si="21"/>
        <v>0</v>
      </c>
    </row>
    <row r="286" spans="1:14" ht="12.75" customHeight="1">
      <c r="A286" s="326">
        <f t="shared" si="20"/>
        <v>285</v>
      </c>
      <c r="B286" s="387">
        <v>4200</v>
      </c>
      <c r="C286" s="259">
        <v>3725</v>
      </c>
      <c r="D286" s="476" t="s">
        <v>416</v>
      </c>
      <c r="E286" s="259">
        <v>5362</v>
      </c>
      <c r="F286" s="259" t="s">
        <v>325</v>
      </c>
      <c r="G286" s="336"/>
      <c r="H286" s="337"/>
      <c r="I286" s="337">
        <v>1</v>
      </c>
      <c r="J286" s="338">
        <v>0</v>
      </c>
      <c r="K286" s="339">
        <f t="shared" si="19"/>
        <v>-1</v>
      </c>
      <c r="L286" s="343">
        <f t="shared" si="18"/>
        <v>0</v>
      </c>
      <c r="N286" s="344">
        <f t="shared" si="21"/>
        <v>0</v>
      </c>
    </row>
    <row r="287" spans="1:14" ht="12.75" customHeight="1">
      <c r="A287" s="326">
        <f t="shared" si="20"/>
        <v>286</v>
      </c>
      <c r="B287" s="387">
        <v>4200</v>
      </c>
      <c r="C287" s="259">
        <v>3725</v>
      </c>
      <c r="D287" s="476" t="s">
        <v>416</v>
      </c>
      <c r="E287" s="259">
        <v>5365</v>
      </c>
      <c r="F287" s="259" t="s">
        <v>388</v>
      </c>
      <c r="G287" s="336"/>
      <c r="H287" s="337">
        <v>5</v>
      </c>
      <c r="I287" s="337">
        <v>5</v>
      </c>
      <c r="J287" s="338"/>
      <c r="K287" s="339">
        <f t="shared" si="19"/>
        <v>-5</v>
      </c>
      <c r="L287" s="343">
        <f t="shared" si="18"/>
        <v>0</v>
      </c>
      <c r="N287" s="344">
        <f t="shared" si="21"/>
        <v>0</v>
      </c>
    </row>
    <row r="288" spans="1:14" ht="12.75" customHeight="1">
      <c r="A288" s="326">
        <f t="shared" si="20"/>
        <v>287</v>
      </c>
      <c r="B288" s="391"/>
      <c r="C288" s="347" t="s">
        <v>417</v>
      </c>
      <c r="D288" s="347"/>
      <c r="E288" s="347"/>
      <c r="F288" s="347"/>
      <c r="G288" s="348"/>
      <c r="H288" s="349">
        <f>SUBTOTAL(9,H282:H287)</f>
        <v>126700</v>
      </c>
      <c r="I288" s="349">
        <f>SUBTOTAL(9,I282:I287)</f>
        <v>126700</v>
      </c>
      <c r="J288" s="349">
        <f>SUBTOTAL(9,J282:J287)</f>
        <v>115633</v>
      </c>
      <c r="K288" s="456">
        <f t="shared" si="19"/>
        <v>-11067</v>
      </c>
      <c r="L288" s="457">
        <f t="shared" si="18"/>
        <v>91.26519337016575</v>
      </c>
      <c r="N288" s="344">
        <f t="shared" si="21"/>
        <v>0</v>
      </c>
    </row>
    <row r="289" spans="1:14" ht="12.75" customHeight="1">
      <c r="A289" s="326">
        <f t="shared" si="20"/>
        <v>288</v>
      </c>
      <c r="B289" s="387">
        <v>4200</v>
      </c>
      <c r="C289" s="259">
        <v>3729</v>
      </c>
      <c r="D289" s="259" t="s">
        <v>67</v>
      </c>
      <c r="E289" s="259">
        <v>5169</v>
      </c>
      <c r="F289" s="259" t="s">
        <v>316</v>
      </c>
      <c r="G289" s="336"/>
      <c r="H289" s="337">
        <v>2000</v>
      </c>
      <c r="I289" s="337">
        <v>2000</v>
      </c>
      <c r="J289" s="338">
        <v>573</v>
      </c>
      <c r="K289" s="339">
        <f t="shared" si="19"/>
        <v>-1427</v>
      </c>
      <c r="L289" s="343">
        <f t="shared" si="18"/>
        <v>28.65</v>
      </c>
      <c r="N289" s="344">
        <f t="shared" si="21"/>
        <v>0</v>
      </c>
    </row>
    <row r="290" spans="1:14" ht="12.75" customHeight="1">
      <c r="A290" s="326">
        <f t="shared" si="20"/>
        <v>289</v>
      </c>
      <c r="B290" s="391"/>
      <c r="C290" s="347" t="s">
        <v>418</v>
      </c>
      <c r="D290" s="347"/>
      <c r="E290" s="347"/>
      <c r="F290" s="347"/>
      <c r="G290" s="348"/>
      <c r="H290" s="349">
        <f>SUBTOTAL(9,H289:H289)</f>
        <v>2000</v>
      </c>
      <c r="I290" s="349">
        <f>SUBTOTAL(9,I289:I289)</f>
        <v>2000</v>
      </c>
      <c r="J290" s="349">
        <f>SUBTOTAL(9,J289:J289)</f>
        <v>573</v>
      </c>
      <c r="K290" s="456">
        <f t="shared" si="19"/>
        <v>-1427</v>
      </c>
      <c r="L290" s="457">
        <f t="shared" si="18"/>
        <v>28.65</v>
      </c>
      <c r="N290" s="344">
        <f t="shared" si="21"/>
        <v>0</v>
      </c>
    </row>
    <row r="291" spans="1:14" ht="12.75" customHeight="1">
      <c r="A291" s="326">
        <f t="shared" si="20"/>
        <v>290</v>
      </c>
      <c r="B291" s="387">
        <v>4200</v>
      </c>
      <c r="C291" s="259">
        <v>3733</v>
      </c>
      <c r="D291" s="259" t="s">
        <v>68</v>
      </c>
      <c r="E291" s="259">
        <v>5166</v>
      </c>
      <c r="F291" s="259" t="s">
        <v>315</v>
      </c>
      <c r="G291" s="336"/>
      <c r="H291" s="337">
        <v>642</v>
      </c>
      <c r="I291" s="337">
        <v>642</v>
      </c>
      <c r="J291" s="338">
        <v>405</v>
      </c>
      <c r="K291" s="339">
        <f t="shared" si="19"/>
        <v>-237</v>
      </c>
      <c r="L291" s="343">
        <f t="shared" si="18"/>
        <v>63.084112149532714</v>
      </c>
      <c r="N291" s="344">
        <f t="shared" si="21"/>
        <v>0</v>
      </c>
    </row>
    <row r="292" spans="1:14" ht="12.75" customHeight="1">
      <c r="A292" s="326">
        <f t="shared" si="20"/>
        <v>291</v>
      </c>
      <c r="B292" s="391"/>
      <c r="C292" s="347" t="s">
        <v>419</v>
      </c>
      <c r="D292" s="347"/>
      <c r="E292" s="347"/>
      <c r="F292" s="347"/>
      <c r="G292" s="348"/>
      <c r="H292" s="349">
        <f>SUBTOTAL(9,H291:H291)</f>
        <v>642</v>
      </c>
      <c r="I292" s="349">
        <f>SUBTOTAL(9,I291:I291)</f>
        <v>642</v>
      </c>
      <c r="J292" s="349">
        <f>SUBTOTAL(9,J291:J291)</f>
        <v>405</v>
      </c>
      <c r="K292" s="456">
        <f t="shared" si="19"/>
        <v>-237</v>
      </c>
      <c r="L292" s="457">
        <f t="shared" si="18"/>
        <v>63.084112149532714</v>
      </c>
      <c r="N292" s="344">
        <f t="shared" si="21"/>
        <v>0</v>
      </c>
    </row>
    <row r="293" spans="1:14" ht="12.75" customHeight="1">
      <c r="A293" s="326">
        <f t="shared" si="20"/>
        <v>292</v>
      </c>
      <c r="B293" s="387">
        <v>4200</v>
      </c>
      <c r="C293" s="259">
        <v>3739</v>
      </c>
      <c r="D293" s="259" t="s">
        <v>69</v>
      </c>
      <c r="E293" s="259">
        <v>5166</v>
      </c>
      <c r="F293" s="259" t="s">
        <v>315</v>
      </c>
      <c r="G293" s="336"/>
      <c r="H293" s="337">
        <v>650</v>
      </c>
      <c r="I293" s="337">
        <v>650</v>
      </c>
      <c r="J293" s="338">
        <v>611</v>
      </c>
      <c r="K293" s="339">
        <f t="shared" si="19"/>
        <v>-39</v>
      </c>
      <c r="L293" s="343">
        <f t="shared" si="18"/>
        <v>94</v>
      </c>
      <c r="N293" s="344">
        <f t="shared" si="21"/>
        <v>0</v>
      </c>
    </row>
    <row r="294" spans="1:14" ht="12.75" customHeight="1">
      <c r="A294" s="326">
        <f t="shared" si="20"/>
        <v>293</v>
      </c>
      <c r="B294" s="387">
        <v>4200</v>
      </c>
      <c r="C294" s="259">
        <v>3739</v>
      </c>
      <c r="D294" s="259" t="s">
        <v>69</v>
      </c>
      <c r="E294" s="259">
        <v>5169</v>
      </c>
      <c r="F294" s="259" t="s">
        <v>316</v>
      </c>
      <c r="G294" s="336"/>
      <c r="H294" s="337">
        <v>250</v>
      </c>
      <c r="I294" s="337">
        <v>250</v>
      </c>
      <c r="J294" s="338"/>
      <c r="K294" s="339">
        <f t="shared" si="19"/>
        <v>-250</v>
      </c>
      <c r="L294" s="343">
        <f t="shared" si="18"/>
        <v>0</v>
      </c>
      <c r="N294" s="344">
        <f t="shared" si="21"/>
        <v>0</v>
      </c>
    </row>
    <row r="295" spans="1:14" ht="12.75" customHeight="1">
      <c r="A295" s="326">
        <f t="shared" si="20"/>
        <v>294</v>
      </c>
      <c r="B295" s="387">
        <v>4200</v>
      </c>
      <c r="C295" s="259">
        <v>3739</v>
      </c>
      <c r="D295" s="259" t="s">
        <v>69</v>
      </c>
      <c r="E295" s="259">
        <v>5171</v>
      </c>
      <c r="F295" s="259" t="s">
        <v>384</v>
      </c>
      <c r="G295" s="336"/>
      <c r="H295" s="337">
        <v>10</v>
      </c>
      <c r="I295" s="337">
        <v>10</v>
      </c>
      <c r="J295" s="338"/>
      <c r="K295" s="339">
        <f t="shared" si="19"/>
        <v>-10</v>
      </c>
      <c r="L295" s="343">
        <f t="shared" si="18"/>
        <v>0</v>
      </c>
      <c r="N295" s="344">
        <f t="shared" si="21"/>
        <v>0</v>
      </c>
    </row>
    <row r="296" spans="1:14" ht="12.75" customHeight="1">
      <c r="A296" s="326">
        <f t="shared" si="20"/>
        <v>295</v>
      </c>
      <c r="B296" s="391"/>
      <c r="C296" s="347" t="s">
        <v>420</v>
      </c>
      <c r="D296" s="347"/>
      <c r="E296" s="347"/>
      <c r="F296" s="347"/>
      <c r="G296" s="348"/>
      <c r="H296" s="349">
        <f>SUBTOTAL(9,H293:H295)</f>
        <v>910</v>
      </c>
      <c r="I296" s="349">
        <f>SUBTOTAL(9,I293:I295)</f>
        <v>910</v>
      </c>
      <c r="J296" s="349">
        <f>SUBTOTAL(9,J293:J295)</f>
        <v>611</v>
      </c>
      <c r="K296" s="456">
        <f t="shared" si="19"/>
        <v>-299</v>
      </c>
      <c r="L296" s="457">
        <f t="shared" si="18"/>
        <v>67.14285714285714</v>
      </c>
      <c r="N296" s="344">
        <f t="shared" si="21"/>
        <v>0</v>
      </c>
    </row>
    <row r="297" spans="1:14" ht="12.75" customHeight="1">
      <c r="A297" s="326">
        <f t="shared" si="20"/>
        <v>296</v>
      </c>
      <c r="B297" s="387">
        <v>4200</v>
      </c>
      <c r="C297" s="259">
        <v>3741</v>
      </c>
      <c r="D297" s="259" t="s">
        <v>6</v>
      </c>
      <c r="E297" s="259">
        <v>5169</v>
      </c>
      <c r="F297" s="259" t="s">
        <v>316</v>
      </c>
      <c r="G297" s="336"/>
      <c r="H297" s="337">
        <v>1120</v>
      </c>
      <c r="I297" s="337">
        <v>1120</v>
      </c>
      <c r="J297" s="338">
        <v>752</v>
      </c>
      <c r="K297" s="339">
        <f t="shared" si="19"/>
        <v>-368</v>
      </c>
      <c r="L297" s="343">
        <f t="shared" si="18"/>
        <v>67.14285714285714</v>
      </c>
      <c r="N297" s="344">
        <f t="shared" si="21"/>
        <v>0</v>
      </c>
    </row>
    <row r="298" spans="1:14" ht="12.75" customHeight="1">
      <c r="A298" s="326">
        <f t="shared" si="20"/>
        <v>297</v>
      </c>
      <c r="B298" s="387">
        <v>4200</v>
      </c>
      <c r="C298" s="259">
        <v>3741</v>
      </c>
      <c r="D298" s="259" t="s">
        <v>6</v>
      </c>
      <c r="E298" s="259">
        <v>5331</v>
      </c>
      <c r="F298" s="389" t="s">
        <v>337</v>
      </c>
      <c r="G298" s="336" t="s">
        <v>421</v>
      </c>
      <c r="H298" s="337">
        <v>41886</v>
      </c>
      <c r="I298" s="337">
        <v>48986</v>
      </c>
      <c r="J298" s="338">
        <v>47986</v>
      </c>
      <c r="K298" s="339">
        <f t="shared" si="19"/>
        <v>-1000</v>
      </c>
      <c r="L298" s="343">
        <f t="shared" si="18"/>
        <v>97.95860041644552</v>
      </c>
      <c r="N298" s="344">
        <f t="shared" si="21"/>
        <v>0</v>
      </c>
    </row>
    <row r="299" spans="1:14" ht="12.75" customHeight="1">
      <c r="A299" s="326">
        <f t="shared" si="20"/>
        <v>298</v>
      </c>
      <c r="B299" s="387">
        <v>4200</v>
      </c>
      <c r="C299" s="259">
        <v>3741</v>
      </c>
      <c r="D299" s="259" t="s">
        <v>6</v>
      </c>
      <c r="E299" s="259">
        <v>5336</v>
      </c>
      <c r="F299" s="389" t="s">
        <v>339</v>
      </c>
      <c r="G299" s="336" t="s">
        <v>421</v>
      </c>
      <c r="H299" s="337"/>
      <c r="I299" s="337">
        <v>822</v>
      </c>
      <c r="J299" s="338">
        <v>822</v>
      </c>
      <c r="K299" s="339"/>
      <c r="L299" s="343">
        <f t="shared" si="18"/>
        <v>100</v>
      </c>
      <c r="N299" s="344">
        <f t="shared" si="21"/>
        <v>0</v>
      </c>
    </row>
    <row r="300" spans="1:14" ht="12.75" customHeight="1">
      <c r="A300" s="326">
        <f t="shared" si="20"/>
        <v>299</v>
      </c>
      <c r="B300" s="387">
        <v>4200</v>
      </c>
      <c r="C300" s="259">
        <v>3741</v>
      </c>
      <c r="D300" s="259" t="s">
        <v>6</v>
      </c>
      <c r="E300" s="259">
        <v>5901</v>
      </c>
      <c r="F300" s="259" t="s">
        <v>422</v>
      </c>
      <c r="G300" s="336"/>
      <c r="H300" s="337">
        <v>3800</v>
      </c>
      <c r="I300" s="337">
        <v>0</v>
      </c>
      <c r="J300" s="338">
        <v>0</v>
      </c>
      <c r="K300" s="339">
        <f t="shared" si="19"/>
        <v>0</v>
      </c>
      <c r="L300" s="343"/>
      <c r="N300" s="344">
        <f t="shared" si="21"/>
        <v>0</v>
      </c>
    </row>
    <row r="301" spans="1:14" ht="12.75" customHeight="1">
      <c r="A301" s="326">
        <f t="shared" si="20"/>
        <v>300</v>
      </c>
      <c r="B301" s="391"/>
      <c r="C301" s="347" t="s">
        <v>423</v>
      </c>
      <c r="D301" s="347"/>
      <c r="E301" s="347"/>
      <c r="F301" s="347"/>
      <c r="G301" s="348"/>
      <c r="H301" s="349">
        <f>SUBTOTAL(9,H297:H300)</f>
        <v>46806</v>
      </c>
      <c r="I301" s="349">
        <f>SUBTOTAL(9,I297:I300)</f>
        <v>50928</v>
      </c>
      <c r="J301" s="349">
        <f>SUBTOTAL(9,J297:J300)</f>
        <v>49560</v>
      </c>
      <c r="K301" s="456">
        <f t="shared" si="19"/>
        <v>-1368</v>
      </c>
      <c r="L301" s="457">
        <f t="shared" si="18"/>
        <v>97.31385485391141</v>
      </c>
      <c r="N301" s="344">
        <f t="shared" si="21"/>
        <v>0</v>
      </c>
    </row>
    <row r="302" spans="1:14" ht="12.75" customHeight="1">
      <c r="A302" s="326">
        <f t="shared" si="20"/>
        <v>301</v>
      </c>
      <c r="B302" s="387">
        <v>4200</v>
      </c>
      <c r="C302" s="259">
        <v>3742</v>
      </c>
      <c r="D302" s="259" t="s">
        <v>7</v>
      </c>
      <c r="E302" s="259">
        <v>5166</v>
      </c>
      <c r="F302" s="259" t="s">
        <v>315</v>
      </c>
      <c r="G302" s="336"/>
      <c r="H302" s="337">
        <v>190</v>
      </c>
      <c r="I302" s="337">
        <v>178</v>
      </c>
      <c r="J302" s="338">
        <v>74</v>
      </c>
      <c r="K302" s="339">
        <f t="shared" si="19"/>
        <v>-104</v>
      </c>
      <c r="L302" s="343">
        <f t="shared" si="18"/>
        <v>41.57303370786517</v>
      </c>
      <c r="N302" s="344">
        <f t="shared" si="21"/>
        <v>0</v>
      </c>
    </row>
    <row r="303" spans="1:14" ht="12.75" customHeight="1">
      <c r="A303" s="326">
        <f t="shared" si="20"/>
        <v>302</v>
      </c>
      <c r="B303" s="387">
        <v>4200</v>
      </c>
      <c r="C303" s="259">
        <v>3742</v>
      </c>
      <c r="D303" s="259" t="s">
        <v>7</v>
      </c>
      <c r="E303" s="259">
        <v>5168</v>
      </c>
      <c r="F303" s="259" t="s">
        <v>424</v>
      </c>
      <c r="G303" s="336"/>
      <c r="H303" s="337">
        <v>80</v>
      </c>
      <c r="I303" s="337">
        <v>80</v>
      </c>
      <c r="J303" s="338">
        <v>23</v>
      </c>
      <c r="K303" s="339">
        <f t="shared" si="19"/>
        <v>-57</v>
      </c>
      <c r="L303" s="343">
        <f t="shared" si="18"/>
        <v>28.749999999999996</v>
      </c>
      <c r="N303" s="344">
        <f t="shared" si="21"/>
        <v>0</v>
      </c>
    </row>
    <row r="304" spans="1:14" ht="12.75" customHeight="1">
      <c r="A304" s="326">
        <f t="shared" si="20"/>
        <v>303</v>
      </c>
      <c r="B304" s="387">
        <v>4200</v>
      </c>
      <c r="C304" s="259">
        <v>3742</v>
      </c>
      <c r="D304" s="259" t="s">
        <v>7</v>
      </c>
      <c r="E304" s="259">
        <v>5169</v>
      </c>
      <c r="F304" s="259" t="s">
        <v>316</v>
      </c>
      <c r="G304" s="336"/>
      <c r="H304" s="337">
        <v>550</v>
      </c>
      <c r="I304" s="337">
        <v>550</v>
      </c>
      <c r="J304" s="338">
        <v>379</v>
      </c>
      <c r="K304" s="339">
        <f t="shared" si="19"/>
        <v>-171</v>
      </c>
      <c r="L304" s="343">
        <f t="shared" si="18"/>
        <v>68.9090909090909</v>
      </c>
      <c r="N304" s="344">
        <f t="shared" si="21"/>
        <v>0</v>
      </c>
    </row>
    <row r="305" spans="1:14" ht="12.75" customHeight="1">
      <c r="A305" s="326">
        <f t="shared" si="20"/>
        <v>304</v>
      </c>
      <c r="B305" s="387">
        <v>4200</v>
      </c>
      <c r="C305" s="259">
        <v>3742</v>
      </c>
      <c r="D305" s="259" t="s">
        <v>7</v>
      </c>
      <c r="E305" s="259">
        <v>5192</v>
      </c>
      <c r="F305" s="259" t="s">
        <v>335</v>
      </c>
      <c r="G305" s="336"/>
      <c r="H305" s="337"/>
      <c r="I305" s="337">
        <v>12</v>
      </c>
      <c r="J305" s="338">
        <v>12</v>
      </c>
      <c r="K305" s="339">
        <f t="shared" si="19"/>
        <v>0</v>
      </c>
      <c r="L305" s="343">
        <f t="shared" si="18"/>
        <v>100</v>
      </c>
      <c r="N305" s="344">
        <f t="shared" si="21"/>
        <v>0</v>
      </c>
    </row>
    <row r="306" spans="1:14" ht="12.75" customHeight="1">
      <c r="A306" s="326">
        <f t="shared" si="20"/>
        <v>305</v>
      </c>
      <c r="B306" s="391"/>
      <c r="C306" s="347" t="s">
        <v>425</v>
      </c>
      <c r="D306" s="347"/>
      <c r="E306" s="347"/>
      <c r="F306" s="347"/>
      <c r="G306" s="348"/>
      <c r="H306" s="349">
        <f>SUBTOTAL(9,H302:H304)</f>
        <v>820</v>
      </c>
      <c r="I306" s="349">
        <f>SUBTOTAL(9,I302:I305)</f>
        <v>820</v>
      </c>
      <c r="J306" s="349">
        <f>SUBTOTAL(9,J302:J305)</f>
        <v>488</v>
      </c>
      <c r="K306" s="456">
        <f t="shared" si="19"/>
        <v>-332</v>
      </c>
      <c r="L306" s="457">
        <f t="shared" si="18"/>
        <v>59.512195121951216</v>
      </c>
      <c r="N306" s="344">
        <f t="shared" si="21"/>
        <v>0</v>
      </c>
    </row>
    <row r="307" spans="1:14" ht="12.75" customHeight="1">
      <c r="A307" s="326">
        <f t="shared" si="20"/>
        <v>306</v>
      </c>
      <c r="B307" s="387">
        <v>4200</v>
      </c>
      <c r="C307" s="259">
        <v>3745</v>
      </c>
      <c r="D307" s="259" t="s">
        <v>2</v>
      </c>
      <c r="E307" s="259">
        <v>5166</v>
      </c>
      <c r="F307" s="259" t="s">
        <v>315</v>
      </c>
      <c r="G307" s="336"/>
      <c r="H307" s="337">
        <v>290</v>
      </c>
      <c r="I307" s="337">
        <v>290</v>
      </c>
      <c r="J307" s="338">
        <v>130</v>
      </c>
      <c r="K307" s="339">
        <f t="shared" si="19"/>
        <v>-160</v>
      </c>
      <c r="L307" s="343">
        <f t="shared" si="18"/>
        <v>44.827586206896555</v>
      </c>
      <c r="N307" s="344">
        <f t="shared" si="21"/>
        <v>0</v>
      </c>
    </row>
    <row r="308" spans="1:14" ht="12.75" customHeight="1">
      <c r="A308" s="326">
        <f t="shared" si="20"/>
        <v>307</v>
      </c>
      <c r="B308" s="387">
        <v>4200</v>
      </c>
      <c r="C308" s="259">
        <v>3745</v>
      </c>
      <c r="D308" s="259" t="s">
        <v>2</v>
      </c>
      <c r="E308" s="259">
        <v>5169</v>
      </c>
      <c r="F308" s="259" t="s">
        <v>316</v>
      </c>
      <c r="G308" s="336"/>
      <c r="H308" s="337">
        <v>2010</v>
      </c>
      <c r="I308" s="337">
        <v>2010</v>
      </c>
      <c r="J308" s="338">
        <v>1892</v>
      </c>
      <c r="K308" s="339">
        <f t="shared" si="19"/>
        <v>-118</v>
      </c>
      <c r="L308" s="343">
        <f t="shared" si="18"/>
        <v>94.12935323383084</v>
      </c>
      <c r="N308" s="344">
        <f t="shared" si="21"/>
        <v>0</v>
      </c>
    </row>
    <row r="309" spans="1:14" ht="12.75" customHeight="1">
      <c r="A309" s="326">
        <f t="shared" si="20"/>
        <v>308</v>
      </c>
      <c r="B309" s="387">
        <v>4200</v>
      </c>
      <c r="C309" s="259">
        <v>3745</v>
      </c>
      <c r="D309" s="259" t="s">
        <v>2</v>
      </c>
      <c r="E309" s="259">
        <v>5331</v>
      </c>
      <c r="F309" s="389" t="s">
        <v>337</v>
      </c>
      <c r="G309" s="336" t="s">
        <v>426</v>
      </c>
      <c r="H309" s="337">
        <v>28839</v>
      </c>
      <c r="I309" s="337">
        <v>28998</v>
      </c>
      <c r="J309" s="338">
        <v>28998</v>
      </c>
      <c r="K309" s="339">
        <f t="shared" si="19"/>
        <v>0</v>
      </c>
      <c r="L309" s="343">
        <f t="shared" si="18"/>
        <v>100</v>
      </c>
      <c r="N309" s="344">
        <f t="shared" si="21"/>
        <v>0</v>
      </c>
    </row>
    <row r="310" spans="1:14" ht="12.75" customHeight="1">
      <c r="A310" s="326">
        <f t="shared" si="20"/>
        <v>309</v>
      </c>
      <c r="B310" s="391"/>
      <c r="C310" s="347" t="s">
        <v>406</v>
      </c>
      <c r="D310" s="347"/>
      <c r="E310" s="347"/>
      <c r="F310" s="347"/>
      <c r="G310" s="348"/>
      <c r="H310" s="349">
        <f>SUBTOTAL(9,H307:H309)</f>
        <v>31139</v>
      </c>
      <c r="I310" s="349">
        <f>SUBTOTAL(9,I307:I309)</f>
        <v>31298</v>
      </c>
      <c r="J310" s="349">
        <f>SUBTOTAL(9,J307:J309)</f>
        <v>31020</v>
      </c>
      <c r="K310" s="456">
        <f t="shared" si="19"/>
        <v>-278</v>
      </c>
      <c r="L310" s="457">
        <f t="shared" si="18"/>
        <v>99.11176432998914</v>
      </c>
      <c r="N310" s="344">
        <f t="shared" si="21"/>
        <v>0</v>
      </c>
    </row>
    <row r="311" spans="1:14" ht="12.75" customHeight="1">
      <c r="A311" s="326">
        <f t="shared" si="20"/>
        <v>310</v>
      </c>
      <c r="B311" s="387">
        <v>4200</v>
      </c>
      <c r="C311" s="259">
        <v>3792</v>
      </c>
      <c r="D311" s="259" t="s">
        <v>8</v>
      </c>
      <c r="E311" s="259">
        <v>5169</v>
      </c>
      <c r="F311" s="259" t="s">
        <v>316</v>
      </c>
      <c r="G311" s="336"/>
      <c r="H311" s="337">
        <v>1218</v>
      </c>
      <c r="I311" s="337">
        <v>1218</v>
      </c>
      <c r="J311" s="338">
        <v>1093</v>
      </c>
      <c r="K311" s="339">
        <f t="shared" si="19"/>
        <v>-125</v>
      </c>
      <c r="L311" s="343">
        <f t="shared" si="18"/>
        <v>89.73727422003283</v>
      </c>
      <c r="N311" s="344">
        <f t="shared" si="21"/>
        <v>0</v>
      </c>
    </row>
    <row r="312" spans="1:14" ht="12.75" customHeight="1">
      <c r="A312" s="326">
        <f t="shared" si="20"/>
        <v>311</v>
      </c>
      <c r="B312" s="387">
        <v>4200</v>
      </c>
      <c r="C312" s="259">
        <v>3792</v>
      </c>
      <c r="D312" s="259" t="s">
        <v>8</v>
      </c>
      <c r="E312" s="259">
        <v>5221</v>
      </c>
      <c r="F312" s="259" t="s">
        <v>427</v>
      </c>
      <c r="G312" s="336"/>
      <c r="H312" s="337"/>
      <c r="I312" s="337">
        <v>66</v>
      </c>
      <c r="J312" s="338">
        <v>66</v>
      </c>
      <c r="K312" s="339">
        <f t="shared" si="19"/>
        <v>0</v>
      </c>
      <c r="L312" s="343">
        <f t="shared" si="18"/>
        <v>100</v>
      </c>
      <c r="N312" s="344">
        <f t="shared" si="21"/>
        <v>0</v>
      </c>
    </row>
    <row r="313" spans="1:14" ht="12.75" customHeight="1">
      <c r="A313" s="326">
        <f t="shared" si="20"/>
        <v>312</v>
      </c>
      <c r="B313" s="387">
        <v>4200</v>
      </c>
      <c r="C313" s="259">
        <v>3792</v>
      </c>
      <c r="D313" s="259" t="s">
        <v>8</v>
      </c>
      <c r="E313" s="259">
        <v>5222</v>
      </c>
      <c r="F313" s="359" t="s">
        <v>407</v>
      </c>
      <c r="G313" s="360"/>
      <c r="H313" s="337">
        <v>800</v>
      </c>
      <c r="I313" s="337">
        <v>539</v>
      </c>
      <c r="J313" s="338">
        <v>539</v>
      </c>
      <c r="K313" s="339">
        <f t="shared" si="19"/>
        <v>0</v>
      </c>
      <c r="L313" s="343">
        <f t="shared" si="18"/>
        <v>100</v>
      </c>
      <c r="N313" s="344">
        <f t="shared" si="21"/>
        <v>0</v>
      </c>
    </row>
    <row r="314" spans="1:14" ht="12.75" customHeight="1">
      <c r="A314" s="326">
        <f t="shared" si="20"/>
        <v>313</v>
      </c>
      <c r="B314" s="387">
        <v>4200</v>
      </c>
      <c r="C314" s="259">
        <v>3792</v>
      </c>
      <c r="D314" s="259" t="s">
        <v>8</v>
      </c>
      <c r="E314" s="259">
        <v>5229</v>
      </c>
      <c r="F314" s="389" t="s">
        <v>336</v>
      </c>
      <c r="G314" s="360"/>
      <c r="H314" s="337"/>
      <c r="I314" s="337">
        <v>25</v>
      </c>
      <c r="J314" s="338">
        <v>25</v>
      </c>
      <c r="K314" s="339">
        <f t="shared" si="19"/>
        <v>0</v>
      </c>
      <c r="L314" s="343">
        <f t="shared" si="18"/>
        <v>100</v>
      </c>
      <c r="N314" s="344">
        <f t="shared" si="21"/>
        <v>0</v>
      </c>
    </row>
    <row r="315" spans="1:14" ht="12.75" customHeight="1">
      <c r="A315" s="326">
        <f t="shared" si="20"/>
        <v>314</v>
      </c>
      <c r="B315" s="387">
        <v>4200</v>
      </c>
      <c r="C315" s="259">
        <v>3792</v>
      </c>
      <c r="D315" s="259" t="s">
        <v>8</v>
      </c>
      <c r="E315" s="259">
        <v>5339</v>
      </c>
      <c r="F315" s="356" t="s">
        <v>428</v>
      </c>
      <c r="G315" s="360"/>
      <c r="H315" s="337"/>
      <c r="I315" s="337">
        <v>150</v>
      </c>
      <c r="J315" s="338">
        <v>150</v>
      </c>
      <c r="K315" s="339">
        <f t="shared" si="19"/>
        <v>0</v>
      </c>
      <c r="L315" s="343">
        <f t="shared" si="18"/>
        <v>100</v>
      </c>
      <c r="N315" s="344">
        <f t="shared" si="21"/>
        <v>0</v>
      </c>
    </row>
    <row r="316" spans="1:14" ht="12.75" customHeight="1">
      <c r="A316" s="326">
        <f t="shared" si="20"/>
        <v>315</v>
      </c>
      <c r="B316" s="391"/>
      <c r="C316" s="347" t="s">
        <v>429</v>
      </c>
      <c r="D316" s="347"/>
      <c r="E316" s="347"/>
      <c r="F316" s="478"/>
      <c r="G316" s="479"/>
      <c r="H316" s="349">
        <f>SUBTOTAL(9,H311:H314)</f>
        <v>2018</v>
      </c>
      <c r="I316" s="349">
        <f>SUBTOTAL(9,I311:I315)</f>
        <v>1998</v>
      </c>
      <c r="J316" s="349">
        <f>SUBTOTAL(9,J311:J315)</f>
        <v>1873</v>
      </c>
      <c r="K316" s="456">
        <f t="shared" si="19"/>
        <v>-125</v>
      </c>
      <c r="L316" s="457">
        <f t="shared" si="18"/>
        <v>93.74374374374375</v>
      </c>
      <c r="N316" s="344">
        <f t="shared" si="21"/>
        <v>0</v>
      </c>
    </row>
    <row r="317" spans="1:14" ht="13.5" customHeight="1" thickBot="1">
      <c r="A317" s="326">
        <f t="shared" si="20"/>
        <v>316</v>
      </c>
      <c r="B317" s="366" t="s">
        <v>190</v>
      </c>
      <c r="C317" s="367"/>
      <c r="D317" s="367"/>
      <c r="E317" s="367"/>
      <c r="F317" s="367"/>
      <c r="G317" s="368"/>
      <c r="H317" s="369">
        <f>SUBTOTAL(9,H265:H316)</f>
        <v>434341</v>
      </c>
      <c r="I317" s="369">
        <f>SUBTOTAL(9,I265:I316)</f>
        <v>438899</v>
      </c>
      <c r="J317" s="369">
        <f>SUBTOTAL(9,J265:J316)</f>
        <v>415928</v>
      </c>
      <c r="K317" s="370">
        <f t="shared" si="19"/>
        <v>-22971</v>
      </c>
      <c r="L317" s="371">
        <f t="shared" si="18"/>
        <v>94.76622184147149</v>
      </c>
      <c r="N317" s="344">
        <f t="shared" si="21"/>
        <v>0</v>
      </c>
    </row>
    <row r="318" spans="1:14" ht="9.75" customHeight="1">
      <c r="A318" s="326">
        <f t="shared" si="20"/>
        <v>317</v>
      </c>
      <c r="B318" s="391"/>
      <c r="C318" s="347"/>
      <c r="D318" s="347"/>
      <c r="E318" s="347"/>
      <c r="F318" s="478"/>
      <c r="G318" s="479"/>
      <c r="H318" s="480">
        <v>0</v>
      </c>
      <c r="I318" s="480"/>
      <c r="J318" s="481"/>
      <c r="K318" s="456"/>
      <c r="L318" s="457"/>
      <c r="N318" s="344">
        <f t="shared" si="21"/>
        <v>0</v>
      </c>
    </row>
    <row r="319" spans="1:14" ht="15.75">
      <c r="A319" s="326">
        <f t="shared" si="20"/>
        <v>318</v>
      </c>
      <c r="B319" s="380" t="s">
        <v>44</v>
      </c>
      <c r="C319" s="356"/>
      <c r="D319" s="356"/>
      <c r="E319" s="356"/>
      <c r="F319" s="356"/>
      <c r="G319" s="419"/>
      <c r="H319" s="482">
        <v>0</v>
      </c>
      <c r="I319" s="482"/>
      <c r="J319" s="483"/>
      <c r="K319" s="484"/>
      <c r="L319" s="485"/>
      <c r="N319" s="344">
        <f t="shared" si="21"/>
        <v>0</v>
      </c>
    </row>
    <row r="320" spans="1:14" ht="12.75" customHeight="1">
      <c r="A320" s="326">
        <f t="shared" si="20"/>
        <v>319</v>
      </c>
      <c r="B320" s="486">
        <v>4300</v>
      </c>
      <c r="C320" s="356">
        <v>1014</v>
      </c>
      <c r="D320" s="356" t="s">
        <v>410</v>
      </c>
      <c r="E320" s="356">
        <v>5169</v>
      </c>
      <c r="F320" s="259" t="s">
        <v>316</v>
      </c>
      <c r="G320" s="336"/>
      <c r="H320" s="337">
        <v>50</v>
      </c>
      <c r="I320" s="337">
        <v>50</v>
      </c>
      <c r="J320" s="338"/>
      <c r="K320" s="339">
        <f aca="true" t="shared" si="22" ref="K320:K389">J320-I320</f>
        <v>-50</v>
      </c>
      <c r="L320" s="343">
        <f aca="true" t="shared" si="23" ref="L320:L389">J320/I320*100</f>
        <v>0</v>
      </c>
      <c r="N320" s="344">
        <f t="shared" si="21"/>
        <v>0</v>
      </c>
    </row>
    <row r="321" spans="1:14" ht="12.75" customHeight="1">
      <c r="A321" s="326">
        <f t="shared" si="20"/>
        <v>320</v>
      </c>
      <c r="B321" s="487"/>
      <c r="C321" s="381" t="s">
        <v>411</v>
      </c>
      <c r="D321" s="381"/>
      <c r="E321" s="381"/>
      <c r="F321" s="347"/>
      <c r="G321" s="348"/>
      <c r="H321" s="349">
        <f>SUBTOTAL(9,H320:H320)</f>
        <v>50</v>
      </c>
      <c r="I321" s="349">
        <f>SUBTOTAL(9,I320:I320)</f>
        <v>50</v>
      </c>
      <c r="J321" s="349">
        <f>SUBTOTAL(9,J320:J320)</f>
        <v>0</v>
      </c>
      <c r="K321" s="465">
        <f t="shared" si="22"/>
        <v>-50</v>
      </c>
      <c r="L321" s="466">
        <f t="shared" si="23"/>
        <v>0</v>
      </c>
      <c r="N321" s="344">
        <f t="shared" si="21"/>
        <v>0</v>
      </c>
    </row>
    <row r="322" spans="1:14" ht="12.75" customHeight="1">
      <c r="A322" s="326">
        <f t="shared" si="20"/>
        <v>321</v>
      </c>
      <c r="B322" s="486">
        <v>4300</v>
      </c>
      <c r="C322" s="356">
        <v>1037</v>
      </c>
      <c r="D322" s="356" t="s">
        <v>430</v>
      </c>
      <c r="E322" s="356">
        <v>5169</v>
      </c>
      <c r="F322" s="259" t="s">
        <v>316</v>
      </c>
      <c r="G322" s="336"/>
      <c r="H322" s="337">
        <v>10</v>
      </c>
      <c r="I322" s="337">
        <v>10</v>
      </c>
      <c r="J322" s="338">
        <v>10</v>
      </c>
      <c r="K322" s="339">
        <f t="shared" si="22"/>
        <v>0</v>
      </c>
      <c r="L322" s="343">
        <f t="shared" si="23"/>
        <v>100</v>
      </c>
      <c r="N322" s="344">
        <f t="shared" si="21"/>
        <v>0</v>
      </c>
    </row>
    <row r="323" spans="1:14" ht="12.75" customHeight="1">
      <c r="A323" s="326">
        <f t="shared" si="20"/>
        <v>322</v>
      </c>
      <c r="B323" s="486">
        <v>4300</v>
      </c>
      <c r="C323" s="356">
        <v>1037</v>
      </c>
      <c r="D323" s="356" t="s">
        <v>430</v>
      </c>
      <c r="E323" s="356">
        <v>5192</v>
      </c>
      <c r="F323" s="259" t="s">
        <v>335</v>
      </c>
      <c r="G323" s="336"/>
      <c r="H323" s="337">
        <v>60</v>
      </c>
      <c r="I323" s="337">
        <v>59</v>
      </c>
      <c r="J323" s="338">
        <v>54</v>
      </c>
      <c r="K323" s="339">
        <f t="shared" si="22"/>
        <v>-5</v>
      </c>
      <c r="L323" s="343">
        <f t="shared" si="23"/>
        <v>91.52542372881356</v>
      </c>
      <c r="N323" s="344">
        <f t="shared" si="21"/>
        <v>0</v>
      </c>
    </row>
    <row r="324" spans="1:14" ht="12.75" customHeight="1">
      <c r="A324" s="326">
        <f aca="true" t="shared" si="24" ref="A324:A387">A323+1</f>
        <v>323</v>
      </c>
      <c r="B324" s="486">
        <v>4300</v>
      </c>
      <c r="C324" s="356">
        <v>1037</v>
      </c>
      <c r="D324" s="356" t="s">
        <v>430</v>
      </c>
      <c r="E324" s="356">
        <v>5213</v>
      </c>
      <c r="F324" s="488" t="s">
        <v>431</v>
      </c>
      <c r="G324" s="336"/>
      <c r="H324" s="337"/>
      <c r="I324" s="337">
        <v>44</v>
      </c>
      <c r="J324" s="338">
        <v>44</v>
      </c>
      <c r="K324" s="339"/>
      <c r="L324" s="343"/>
      <c r="N324" s="344">
        <f aca="true" t="shared" si="25" ref="N324:N387">I324-J324+K324</f>
        <v>0</v>
      </c>
    </row>
    <row r="325" spans="1:14" ht="12.75" customHeight="1">
      <c r="A325" s="326">
        <f t="shared" si="24"/>
        <v>324</v>
      </c>
      <c r="B325" s="486">
        <v>4300</v>
      </c>
      <c r="C325" s="356">
        <v>1037</v>
      </c>
      <c r="D325" s="356" t="s">
        <v>430</v>
      </c>
      <c r="E325" s="356">
        <v>5341</v>
      </c>
      <c r="F325" s="488" t="s">
        <v>432</v>
      </c>
      <c r="G325" s="336"/>
      <c r="H325" s="337"/>
      <c r="I325" s="337">
        <v>1</v>
      </c>
      <c r="J325" s="338"/>
      <c r="K325" s="339">
        <f>J325-I325</f>
        <v>-1</v>
      </c>
      <c r="L325" s="343"/>
      <c r="N325" s="344">
        <f t="shared" si="25"/>
        <v>0</v>
      </c>
    </row>
    <row r="326" spans="1:14" ht="12.75" customHeight="1">
      <c r="A326" s="326">
        <f t="shared" si="24"/>
        <v>325</v>
      </c>
      <c r="B326" s="487"/>
      <c r="C326" s="381" t="s">
        <v>433</v>
      </c>
      <c r="D326" s="381"/>
      <c r="E326" s="381"/>
      <c r="F326" s="381"/>
      <c r="G326" s="406"/>
      <c r="H326" s="349">
        <f>SUBTOTAL(9,H322:H325)</f>
        <v>70</v>
      </c>
      <c r="I326" s="349">
        <f>SUBTOTAL(9,I322:I325)</f>
        <v>114</v>
      </c>
      <c r="J326" s="349">
        <f>SUBTOTAL(9,J322:J325)</f>
        <v>108</v>
      </c>
      <c r="K326" s="470">
        <f t="shared" si="22"/>
        <v>-6</v>
      </c>
      <c r="L326" s="471">
        <f t="shared" si="23"/>
        <v>94.73684210526315</v>
      </c>
      <c r="N326" s="344">
        <f t="shared" si="25"/>
        <v>0</v>
      </c>
    </row>
    <row r="327" spans="1:14" ht="12.75" customHeight="1">
      <c r="A327" s="326">
        <f t="shared" si="24"/>
        <v>326</v>
      </c>
      <c r="B327" s="486">
        <v>4300</v>
      </c>
      <c r="C327" s="356">
        <v>1039</v>
      </c>
      <c r="D327" s="356" t="s">
        <v>288</v>
      </c>
      <c r="E327" s="356">
        <v>5169</v>
      </c>
      <c r="F327" s="259" t="s">
        <v>316</v>
      </c>
      <c r="G327" s="419"/>
      <c r="H327" s="467"/>
      <c r="I327" s="467">
        <v>342</v>
      </c>
      <c r="J327" s="361">
        <v>342</v>
      </c>
      <c r="K327" s="489">
        <f t="shared" si="22"/>
        <v>0</v>
      </c>
      <c r="L327" s="490">
        <f t="shared" si="23"/>
        <v>100</v>
      </c>
      <c r="N327" s="344">
        <f t="shared" si="25"/>
        <v>0</v>
      </c>
    </row>
    <row r="328" spans="1:14" ht="12.75" customHeight="1">
      <c r="A328" s="326">
        <f t="shared" si="24"/>
        <v>327</v>
      </c>
      <c r="B328" s="487"/>
      <c r="C328" s="381" t="s">
        <v>434</v>
      </c>
      <c r="D328" s="381"/>
      <c r="E328" s="381"/>
      <c r="F328" s="381"/>
      <c r="G328" s="406"/>
      <c r="H328" s="349">
        <f>SUBTOTAL(9,H327:H327)</f>
        <v>0</v>
      </c>
      <c r="I328" s="349">
        <f>SUBTOTAL(9,I327:I327)</f>
        <v>342</v>
      </c>
      <c r="J328" s="352">
        <f>SUBTOTAL(9,J327:J327)</f>
        <v>342</v>
      </c>
      <c r="K328" s="470">
        <f t="shared" si="22"/>
        <v>0</v>
      </c>
      <c r="L328" s="471">
        <f t="shared" si="23"/>
        <v>100</v>
      </c>
      <c r="N328" s="344">
        <f t="shared" si="25"/>
        <v>0</v>
      </c>
    </row>
    <row r="329" spans="1:14" ht="12.75" customHeight="1">
      <c r="A329" s="326">
        <f t="shared" si="24"/>
        <v>328</v>
      </c>
      <c r="B329" s="486">
        <v>4300</v>
      </c>
      <c r="C329" s="356">
        <v>2310</v>
      </c>
      <c r="D329" s="356" t="s">
        <v>5</v>
      </c>
      <c r="E329" s="356">
        <v>5169</v>
      </c>
      <c r="F329" s="259" t="s">
        <v>316</v>
      </c>
      <c r="G329" s="336"/>
      <c r="H329" s="337">
        <v>100</v>
      </c>
      <c r="I329" s="337">
        <v>100</v>
      </c>
      <c r="J329" s="338"/>
      <c r="K329" s="339">
        <f t="shared" si="22"/>
        <v>-100</v>
      </c>
      <c r="L329" s="343">
        <f t="shared" si="23"/>
        <v>0</v>
      </c>
      <c r="N329" s="344">
        <f t="shared" si="25"/>
        <v>0</v>
      </c>
    </row>
    <row r="330" spans="1:14" ht="12.75" customHeight="1">
      <c r="A330" s="326">
        <f t="shared" si="24"/>
        <v>329</v>
      </c>
      <c r="B330" s="487"/>
      <c r="C330" s="381" t="s">
        <v>435</v>
      </c>
      <c r="D330" s="381"/>
      <c r="E330" s="381"/>
      <c r="F330" s="381"/>
      <c r="G330" s="406"/>
      <c r="H330" s="349">
        <f>SUBTOTAL(9,H329:H329)</f>
        <v>100</v>
      </c>
      <c r="I330" s="349">
        <f>SUBTOTAL(9,I329:I329)</f>
        <v>100</v>
      </c>
      <c r="J330" s="349">
        <f>SUBTOTAL(9,J329:J329)</f>
        <v>0</v>
      </c>
      <c r="K330" s="470">
        <f t="shared" si="22"/>
        <v>-100</v>
      </c>
      <c r="L330" s="471">
        <f t="shared" si="23"/>
        <v>0</v>
      </c>
      <c r="N330" s="344">
        <f t="shared" si="25"/>
        <v>0</v>
      </c>
    </row>
    <row r="331" spans="1:14" ht="12.75" customHeight="1">
      <c r="A331" s="326">
        <f t="shared" si="24"/>
        <v>330</v>
      </c>
      <c r="B331" s="486">
        <v>4300</v>
      </c>
      <c r="C331" s="356">
        <v>2321</v>
      </c>
      <c r="D331" s="491" t="s">
        <v>241</v>
      </c>
      <c r="E331" s="356">
        <v>5169</v>
      </c>
      <c r="F331" s="259" t="s">
        <v>316</v>
      </c>
      <c r="G331" s="492"/>
      <c r="H331" s="337">
        <v>24</v>
      </c>
      <c r="I331" s="337">
        <v>24</v>
      </c>
      <c r="J331" s="338">
        <v>23</v>
      </c>
      <c r="K331" s="339">
        <f t="shared" si="22"/>
        <v>-1</v>
      </c>
      <c r="L331" s="343">
        <f t="shared" si="23"/>
        <v>95.83333333333334</v>
      </c>
      <c r="N331" s="344">
        <f t="shared" si="25"/>
        <v>0</v>
      </c>
    </row>
    <row r="332" spans="1:14" ht="12.75" customHeight="1">
      <c r="A332" s="326">
        <f t="shared" si="24"/>
        <v>331</v>
      </c>
      <c r="B332" s="486">
        <v>4300</v>
      </c>
      <c r="C332" s="356">
        <v>2321</v>
      </c>
      <c r="D332" s="491" t="s">
        <v>241</v>
      </c>
      <c r="E332" s="356">
        <v>5192</v>
      </c>
      <c r="F332" s="356" t="s">
        <v>335</v>
      </c>
      <c r="G332" s="492"/>
      <c r="H332" s="337">
        <v>70</v>
      </c>
      <c r="I332" s="337">
        <v>70</v>
      </c>
      <c r="J332" s="338">
        <v>46</v>
      </c>
      <c r="K332" s="339">
        <f t="shared" si="22"/>
        <v>-24</v>
      </c>
      <c r="L332" s="343">
        <f t="shared" si="23"/>
        <v>65.71428571428571</v>
      </c>
      <c r="N332" s="344">
        <f t="shared" si="25"/>
        <v>0</v>
      </c>
    </row>
    <row r="333" spans="1:14" ht="12.75" customHeight="1">
      <c r="A333" s="326">
        <f t="shared" si="24"/>
        <v>332</v>
      </c>
      <c r="B333" s="486">
        <v>4300</v>
      </c>
      <c r="C333" s="356">
        <v>2321</v>
      </c>
      <c r="D333" s="491" t="s">
        <v>241</v>
      </c>
      <c r="E333" s="356">
        <v>5909</v>
      </c>
      <c r="F333" s="359" t="s">
        <v>318</v>
      </c>
      <c r="G333" s="492"/>
      <c r="H333" s="337">
        <v>45</v>
      </c>
      <c r="I333" s="337">
        <v>45</v>
      </c>
      <c r="J333" s="338">
        <v>35</v>
      </c>
      <c r="K333" s="339">
        <f t="shared" si="22"/>
        <v>-10</v>
      </c>
      <c r="L333" s="343">
        <f t="shared" si="23"/>
        <v>77.77777777777779</v>
      </c>
      <c r="N333" s="344">
        <f t="shared" si="25"/>
        <v>0</v>
      </c>
    </row>
    <row r="334" spans="1:14" ht="12.75" customHeight="1">
      <c r="A334" s="326">
        <f t="shared" si="24"/>
        <v>333</v>
      </c>
      <c r="B334" s="487"/>
      <c r="C334" s="381" t="s">
        <v>436</v>
      </c>
      <c r="D334" s="381"/>
      <c r="E334" s="381"/>
      <c r="F334" s="381"/>
      <c r="G334" s="406"/>
      <c r="H334" s="349">
        <f>SUBTOTAL(9,H331:H333)</f>
        <v>139</v>
      </c>
      <c r="I334" s="349">
        <f>SUBTOTAL(9,I331:I333)</f>
        <v>139</v>
      </c>
      <c r="J334" s="349">
        <f>SUBTOTAL(9,J331:J333)</f>
        <v>104</v>
      </c>
      <c r="K334" s="493">
        <f t="shared" si="22"/>
        <v>-35</v>
      </c>
      <c r="L334" s="494">
        <f t="shared" si="23"/>
        <v>74.82014388489209</v>
      </c>
      <c r="N334" s="344">
        <f t="shared" si="25"/>
        <v>0</v>
      </c>
    </row>
    <row r="335" spans="1:14" ht="12.75" customHeight="1">
      <c r="A335" s="326">
        <f t="shared" si="24"/>
        <v>334</v>
      </c>
      <c r="B335" s="486">
        <v>4300</v>
      </c>
      <c r="C335" s="356">
        <v>2331</v>
      </c>
      <c r="D335" s="356" t="s">
        <v>250</v>
      </c>
      <c r="E335" s="356">
        <v>5219</v>
      </c>
      <c r="F335" s="488" t="s">
        <v>437</v>
      </c>
      <c r="G335" s="336"/>
      <c r="H335" s="337">
        <v>3180</v>
      </c>
      <c r="I335" s="337">
        <v>3180</v>
      </c>
      <c r="J335" s="338">
        <v>1794</v>
      </c>
      <c r="K335" s="339">
        <f t="shared" si="22"/>
        <v>-1386</v>
      </c>
      <c r="L335" s="343">
        <f t="shared" si="23"/>
        <v>56.41509433962264</v>
      </c>
      <c r="N335" s="344">
        <f t="shared" si="25"/>
        <v>0</v>
      </c>
    </row>
    <row r="336" spans="1:14" ht="12.75" customHeight="1">
      <c r="A336" s="326">
        <f t="shared" si="24"/>
        <v>335</v>
      </c>
      <c r="B336" s="487"/>
      <c r="C336" s="381" t="s">
        <v>438</v>
      </c>
      <c r="D336" s="381"/>
      <c r="E336" s="381"/>
      <c r="F336" s="381"/>
      <c r="G336" s="406"/>
      <c r="H336" s="349">
        <f>SUBTOTAL(9,H335:H335)</f>
        <v>3180</v>
      </c>
      <c r="I336" s="349">
        <f>SUBTOTAL(9,I335:I335)</f>
        <v>3180</v>
      </c>
      <c r="J336" s="349">
        <f>SUBTOTAL(9,J335:J335)</f>
        <v>1794</v>
      </c>
      <c r="K336" s="470">
        <f t="shared" si="22"/>
        <v>-1386</v>
      </c>
      <c r="L336" s="471">
        <f t="shared" si="23"/>
        <v>56.41509433962264</v>
      </c>
      <c r="N336" s="344">
        <f t="shared" si="25"/>
        <v>0</v>
      </c>
    </row>
    <row r="337" spans="1:14" ht="12.75" customHeight="1">
      <c r="A337" s="326">
        <f t="shared" si="24"/>
        <v>336</v>
      </c>
      <c r="B337" s="486">
        <v>4300</v>
      </c>
      <c r="C337" s="356">
        <v>2333</v>
      </c>
      <c r="D337" s="356" t="s">
        <v>22</v>
      </c>
      <c r="E337" s="356">
        <v>5169</v>
      </c>
      <c r="F337" s="259" t="s">
        <v>316</v>
      </c>
      <c r="G337" s="336"/>
      <c r="H337" s="337">
        <v>3450</v>
      </c>
      <c r="I337" s="337">
        <v>3450</v>
      </c>
      <c r="J337" s="338">
        <v>3450</v>
      </c>
      <c r="K337" s="339">
        <f t="shared" si="22"/>
        <v>0</v>
      </c>
      <c r="L337" s="343">
        <f t="shared" si="23"/>
        <v>100</v>
      </c>
      <c r="N337" s="344">
        <f t="shared" si="25"/>
        <v>0</v>
      </c>
    </row>
    <row r="338" spans="1:14" ht="12.75" customHeight="1">
      <c r="A338" s="326">
        <f t="shared" si="24"/>
        <v>337</v>
      </c>
      <c r="B338" s="486">
        <v>4300</v>
      </c>
      <c r="C338" s="356">
        <v>2333</v>
      </c>
      <c r="D338" s="356" t="s">
        <v>22</v>
      </c>
      <c r="E338" s="356">
        <v>5171</v>
      </c>
      <c r="F338" s="259" t="s">
        <v>384</v>
      </c>
      <c r="G338" s="336"/>
      <c r="H338" s="337">
        <v>150</v>
      </c>
      <c r="I338" s="337">
        <v>150</v>
      </c>
      <c r="J338" s="338">
        <v>146</v>
      </c>
      <c r="K338" s="339">
        <f t="shared" si="22"/>
        <v>-4</v>
      </c>
      <c r="L338" s="343">
        <f t="shared" si="23"/>
        <v>97.33333333333334</v>
      </c>
      <c r="N338" s="344">
        <f t="shared" si="25"/>
        <v>0</v>
      </c>
    </row>
    <row r="339" spans="1:14" ht="12.75" customHeight="1">
      <c r="A339" s="326">
        <f t="shared" si="24"/>
        <v>338</v>
      </c>
      <c r="B339" s="487"/>
      <c r="C339" s="381" t="s">
        <v>439</v>
      </c>
      <c r="D339" s="381"/>
      <c r="E339" s="381"/>
      <c r="F339" s="381"/>
      <c r="G339" s="406"/>
      <c r="H339" s="349">
        <f>SUBTOTAL(9,H337:H338)</f>
        <v>3600</v>
      </c>
      <c r="I339" s="349">
        <f>SUBTOTAL(9,I337:I338)</f>
        <v>3600</v>
      </c>
      <c r="J339" s="349">
        <f>SUBTOTAL(9,J337:J338)</f>
        <v>3596</v>
      </c>
      <c r="K339" s="470">
        <f t="shared" si="22"/>
        <v>-4</v>
      </c>
      <c r="L339" s="471">
        <f t="shared" si="23"/>
        <v>99.8888888888889</v>
      </c>
      <c r="N339" s="344">
        <f t="shared" si="25"/>
        <v>0</v>
      </c>
    </row>
    <row r="340" spans="1:14" ht="12.75" customHeight="1">
      <c r="A340" s="326">
        <f t="shared" si="24"/>
        <v>339</v>
      </c>
      <c r="B340" s="486">
        <v>4300</v>
      </c>
      <c r="C340" s="356">
        <v>3739</v>
      </c>
      <c r="D340" s="356" t="s">
        <v>69</v>
      </c>
      <c r="E340" s="356">
        <v>5169</v>
      </c>
      <c r="F340" s="259" t="s">
        <v>316</v>
      </c>
      <c r="G340" s="336"/>
      <c r="H340" s="337">
        <v>250</v>
      </c>
      <c r="I340" s="337">
        <v>250</v>
      </c>
      <c r="J340" s="338"/>
      <c r="K340" s="339">
        <f t="shared" si="22"/>
        <v>-250</v>
      </c>
      <c r="L340" s="490">
        <f t="shared" si="23"/>
        <v>0</v>
      </c>
      <c r="N340" s="344">
        <f t="shared" si="25"/>
        <v>0</v>
      </c>
    </row>
    <row r="341" spans="1:14" ht="12.75" customHeight="1">
      <c r="A341" s="326">
        <f t="shared" si="24"/>
        <v>340</v>
      </c>
      <c r="B341" s="487"/>
      <c r="C341" s="381" t="s">
        <v>420</v>
      </c>
      <c r="D341" s="381"/>
      <c r="E341" s="381"/>
      <c r="F341" s="381"/>
      <c r="G341" s="406"/>
      <c r="H341" s="349">
        <f>SUBTOTAL(9,H340:H340)</f>
        <v>250</v>
      </c>
      <c r="I341" s="349">
        <f>SUBTOTAL(9,I340:I340)</f>
        <v>250</v>
      </c>
      <c r="J341" s="349">
        <f>SUBTOTAL(9,J340:J340)</f>
        <v>0</v>
      </c>
      <c r="K341" s="470">
        <f t="shared" si="22"/>
        <v>-250</v>
      </c>
      <c r="L341" s="471">
        <f t="shared" si="23"/>
        <v>0</v>
      </c>
      <c r="N341" s="344">
        <f t="shared" si="25"/>
        <v>0</v>
      </c>
    </row>
    <row r="342" spans="1:14" ht="12.75" customHeight="1">
      <c r="A342" s="326">
        <f t="shared" si="24"/>
        <v>341</v>
      </c>
      <c r="B342" s="486">
        <v>4300</v>
      </c>
      <c r="C342" s="356">
        <v>3744</v>
      </c>
      <c r="D342" s="356" t="s">
        <v>440</v>
      </c>
      <c r="E342" s="356">
        <v>5137</v>
      </c>
      <c r="F342" s="259" t="s">
        <v>346</v>
      </c>
      <c r="G342" s="336"/>
      <c r="H342" s="337">
        <v>21</v>
      </c>
      <c r="I342" s="337">
        <v>21</v>
      </c>
      <c r="J342" s="338"/>
      <c r="K342" s="339">
        <f t="shared" si="22"/>
        <v>-21</v>
      </c>
      <c r="L342" s="490">
        <f t="shared" si="23"/>
        <v>0</v>
      </c>
      <c r="N342" s="344">
        <f t="shared" si="25"/>
        <v>0</v>
      </c>
    </row>
    <row r="343" spans="1:14" ht="12.75" customHeight="1">
      <c r="A343" s="326">
        <f t="shared" si="24"/>
        <v>342</v>
      </c>
      <c r="B343" s="486">
        <v>4300</v>
      </c>
      <c r="C343" s="356">
        <v>3744</v>
      </c>
      <c r="D343" s="356" t="s">
        <v>440</v>
      </c>
      <c r="E343" s="356">
        <v>5139</v>
      </c>
      <c r="F343" s="259" t="s">
        <v>342</v>
      </c>
      <c r="G343" s="336"/>
      <c r="H343" s="337">
        <v>229</v>
      </c>
      <c r="I343" s="337">
        <v>229</v>
      </c>
      <c r="J343" s="338"/>
      <c r="K343" s="339">
        <f t="shared" si="22"/>
        <v>-229</v>
      </c>
      <c r="L343" s="343">
        <f t="shared" si="23"/>
        <v>0</v>
      </c>
      <c r="N343" s="344">
        <f t="shared" si="25"/>
        <v>0</v>
      </c>
    </row>
    <row r="344" spans="1:14" ht="12.75" customHeight="1">
      <c r="A344" s="326">
        <f t="shared" si="24"/>
        <v>343</v>
      </c>
      <c r="B344" s="486">
        <v>4300</v>
      </c>
      <c r="C344" s="356">
        <v>3744</v>
      </c>
      <c r="D344" s="356" t="s">
        <v>440</v>
      </c>
      <c r="E344" s="356">
        <v>5169</v>
      </c>
      <c r="F344" s="259" t="s">
        <v>316</v>
      </c>
      <c r="G344" s="336"/>
      <c r="H344" s="337">
        <v>146</v>
      </c>
      <c r="I344" s="337">
        <v>146</v>
      </c>
      <c r="J344" s="338"/>
      <c r="K344" s="339">
        <f t="shared" si="22"/>
        <v>-146</v>
      </c>
      <c r="L344" s="343">
        <f t="shared" si="23"/>
        <v>0</v>
      </c>
      <c r="N344" s="344">
        <f t="shared" si="25"/>
        <v>0</v>
      </c>
    </row>
    <row r="345" spans="1:14" s="394" customFormat="1" ht="12.75" customHeight="1">
      <c r="A345" s="326">
        <f t="shared" si="24"/>
        <v>344</v>
      </c>
      <c r="B345" s="487"/>
      <c r="C345" s="381" t="s">
        <v>441</v>
      </c>
      <c r="D345" s="381"/>
      <c r="E345" s="381"/>
      <c r="F345" s="347"/>
      <c r="G345" s="348"/>
      <c r="H345" s="349">
        <f>SUBTOTAL(9,H342:H344)</f>
        <v>396</v>
      </c>
      <c r="I345" s="349">
        <f>SUBTOTAL(9,I342:I344)</f>
        <v>396</v>
      </c>
      <c r="J345" s="349">
        <f>SUBTOTAL(9,J342:J344)</f>
        <v>0</v>
      </c>
      <c r="K345" s="470">
        <f t="shared" si="22"/>
        <v>-396</v>
      </c>
      <c r="L345" s="471">
        <f t="shared" si="23"/>
        <v>0</v>
      </c>
      <c r="N345" s="344">
        <f t="shared" si="25"/>
        <v>0</v>
      </c>
    </row>
    <row r="346" spans="1:14" ht="12.75" customHeight="1">
      <c r="A346" s="326">
        <f t="shared" si="24"/>
        <v>345</v>
      </c>
      <c r="B346" s="486">
        <v>4300</v>
      </c>
      <c r="C346" s="356">
        <v>3745</v>
      </c>
      <c r="D346" s="356" t="s">
        <v>2</v>
      </c>
      <c r="E346" s="356">
        <v>5137</v>
      </c>
      <c r="F346" s="259" t="s">
        <v>346</v>
      </c>
      <c r="G346" s="336"/>
      <c r="H346" s="337">
        <v>48</v>
      </c>
      <c r="I346" s="337">
        <v>48</v>
      </c>
      <c r="J346" s="338">
        <v>48</v>
      </c>
      <c r="K346" s="339">
        <f t="shared" si="22"/>
        <v>0</v>
      </c>
      <c r="L346" s="343">
        <f t="shared" si="23"/>
        <v>100</v>
      </c>
      <c r="N346" s="344">
        <f t="shared" si="25"/>
        <v>0</v>
      </c>
    </row>
    <row r="347" spans="1:14" ht="12.75" customHeight="1">
      <c r="A347" s="326">
        <f t="shared" si="24"/>
        <v>346</v>
      </c>
      <c r="B347" s="486">
        <v>4300</v>
      </c>
      <c r="C347" s="356">
        <v>3745</v>
      </c>
      <c r="D347" s="356" t="s">
        <v>2</v>
      </c>
      <c r="E347" s="356">
        <v>5169</v>
      </c>
      <c r="F347" s="259" t="s">
        <v>316</v>
      </c>
      <c r="G347" s="336"/>
      <c r="H347" s="337">
        <v>9607</v>
      </c>
      <c r="I347" s="337">
        <v>9607</v>
      </c>
      <c r="J347" s="338">
        <v>9206</v>
      </c>
      <c r="K347" s="339">
        <f t="shared" si="22"/>
        <v>-401</v>
      </c>
      <c r="L347" s="343">
        <f t="shared" si="23"/>
        <v>95.82596023732694</v>
      </c>
      <c r="N347" s="344">
        <f t="shared" si="25"/>
        <v>0</v>
      </c>
    </row>
    <row r="348" spans="1:14" ht="12.75" customHeight="1">
      <c r="A348" s="326">
        <f t="shared" si="24"/>
        <v>347</v>
      </c>
      <c r="B348" s="486">
        <v>4300</v>
      </c>
      <c r="C348" s="356">
        <v>3745</v>
      </c>
      <c r="D348" s="356" t="s">
        <v>2</v>
      </c>
      <c r="E348" s="356">
        <v>5171</v>
      </c>
      <c r="F348" s="356" t="s">
        <v>384</v>
      </c>
      <c r="G348" s="419"/>
      <c r="H348" s="337">
        <v>1703</v>
      </c>
      <c r="I348" s="337">
        <v>1703</v>
      </c>
      <c r="J348" s="338">
        <v>1703</v>
      </c>
      <c r="K348" s="339">
        <f t="shared" si="22"/>
        <v>0</v>
      </c>
      <c r="L348" s="343">
        <f t="shared" si="23"/>
        <v>100</v>
      </c>
      <c r="N348" s="344">
        <f t="shared" si="25"/>
        <v>0</v>
      </c>
    </row>
    <row r="349" spans="1:14" ht="12.75" customHeight="1">
      <c r="A349" s="326">
        <f t="shared" si="24"/>
        <v>348</v>
      </c>
      <c r="B349" s="487"/>
      <c r="C349" s="381" t="s">
        <v>406</v>
      </c>
      <c r="D349" s="381"/>
      <c r="E349" s="381"/>
      <c r="F349" s="381"/>
      <c r="G349" s="406"/>
      <c r="H349" s="349">
        <f>SUBTOTAL(9,H346:H348)</f>
        <v>11358</v>
      </c>
      <c r="I349" s="349">
        <f>SUBTOTAL(9,I346:I348)</f>
        <v>11358</v>
      </c>
      <c r="J349" s="349">
        <f>SUBTOTAL(9,J346:J348)</f>
        <v>10957</v>
      </c>
      <c r="K349" s="470">
        <f t="shared" si="22"/>
        <v>-401</v>
      </c>
      <c r="L349" s="471">
        <f t="shared" si="23"/>
        <v>96.46944884662793</v>
      </c>
      <c r="N349" s="344">
        <f t="shared" si="25"/>
        <v>0</v>
      </c>
    </row>
    <row r="350" spans="1:14" ht="13.5" customHeight="1" thickBot="1">
      <c r="A350" s="326">
        <f t="shared" si="24"/>
        <v>349</v>
      </c>
      <c r="B350" s="366" t="s">
        <v>192</v>
      </c>
      <c r="C350" s="367"/>
      <c r="D350" s="367"/>
      <c r="E350" s="367"/>
      <c r="F350" s="367"/>
      <c r="G350" s="368"/>
      <c r="H350" s="369">
        <f>SUBTOTAL(9,H320:H349)</f>
        <v>19143</v>
      </c>
      <c r="I350" s="369">
        <f>SUBTOTAL(9,I320:I349)</f>
        <v>19529</v>
      </c>
      <c r="J350" s="369">
        <f>SUBTOTAL(9,J320:J349)</f>
        <v>16901</v>
      </c>
      <c r="K350" s="370">
        <f t="shared" si="22"/>
        <v>-2628</v>
      </c>
      <c r="L350" s="371">
        <f t="shared" si="23"/>
        <v>86.5430897639408</v>
      </c>
      <c r="N350" s="344">
        <f t="shared" si="25"/>
        <v>0</v>
      </c>
    </row>
    <row r="351" spans="1:14" ht="9.75" customHeight="1">
      <c r="A351" s="326">
        <f t="shared" si="24"/>
        <v>350</v>
      </c>
      <c r="B351" s="495"/>
      <c r="C351" s="496"/>
      <c r="D351" s="496"/>
      <c r="E351" s="496"/>
      <c r="F351" s="496"/>
      <c r="G351" s="497"/>
      <c r="H351" s="498">
        <v>0</v>
      </c>
      <c r="I351" s="498"/>
      <c r="J351" s="499"/>
      <c r="K351" s="500"/>
      <c r="L351" s="501"/>
      <c r="N351" s="344">
        <f t="shared" si="25"/>
        <v>0</v>
      </c>
    </row>
    <row r="352" spans="1:14" ht="15.75">
      <c r="A352" s="326">
        <f t="shared" si="24"/>
        <v>351</v>
      </c>
      <c r="B352" s="502" t="s">
        <v>37</v>
      </c>
      <c r="C352" s="347"/>
      <c r="D352" s="347"/>
      <c r="E352" s="347"/>
      <c r="F352" s="347"/>
      <c r="G352" s="348"/>
      <c r="H352" s="442">
        <v>0</v>
      </c>
      <c r="I352" s="442"/>
      <c r="J352" s="443"/>
      <c r="K352" s="395"/>
      <c r="L352" s="396"/>
      <c r="N352" s="344">
        <f t="shared" si="25"/>
        <v>0</v>
      </c>
    </row>
    <row r="353" spans="1:14" ht="12.75" customHeight="1">
      <c r="A353" s="326">
        <f t="shared" si="24"/>
        <v>352</v>
      </c>
      <c r="B353" s="387">
        <v>5300</v>
      </c>
      <c r="C353" s="259">
        <v>3113</v>
      </c>
      <c r="D353" s="259" t="s">
        <v>23</v>
      </c>
      <c r="E353" s="259">
        <v>5137</v>
      </c>
      <c r="F353" s="356" t="s">
        <v>346</v>
      </c>
      <c r="G353" s="419" t="s">
        <v>351</v>
      </c>
      <c r="H353" s="337">
        <v>0</v>
      </c>
      <c r="I353" s="337">
        <v>3992</v>
      </c>
      <c r="J353" s="338">
        <v>0</v>
      </c>
      <c r="K353" s="339">
        <f>J353-I353</f>
        <v>-3992</v>
      </c>
      <c r="L353" s="343">
        <f>J353/I353*100</f>
        <v>0</v>
      </c>
      <c r="N353" s="344">
        <f t="shared" si="25"/>
        <v>0</v>
      </c>
    </row>
    <row r="354" spans="1:14" ht="12.75" customHeight="1">
      <c r="A354" s="326">
        <f t="shared" si="24"/>
        <v>353</v>
      </c>
      <c r="B354" s="387">
        <v>5300</v>
      </c>
      <c r="C354" s="259">
        <v>3113</v>
      </c>
      <c r="D354" s="259" t="s">
        <v>23</v>
      </c>
      <c r="E354" s="259">
        <v>5139</v>
      </c>
      <c r="F354" s="259" t="s">
        <v>342</v>
      </c>
      <c r="G354" s="336" t="s">
        <v>351</v>
      </c>
      <c r="H354" s="337">
        <v>0</v>
      </c>
      <c r="I354" s="337">
        <v>350</v>
      </c>
      <c r="J354" s="338">
        <v>144</v>
      </c>
      <c r="K354" s="339">
        <f>J354-I354</f>
        <v>-206</v>
      </c>
      <c r="L354" s="343">
        <f>J354/I354*100</f>
        <v>41.14285714285714</v>
      </c>
      <c r="N354" s="344">
        <f t="shared" si="25"/>
        <v>0</v>
      </c>
    </row>
    <row r="355" spans="1:14" ht="12.75" customHeight="1">
      <c r="A355" s="326">
        <f t="shared" si="24"/>
        <v>354</v>
      </c>
      <c r="B355" s="387">
        <v>5300</v>
      </c>
      <c r="C355" s="259">
        <v>3113</v>
      </c>
      <c r="D355" s="259" t="s">
        <v>23</v>
      </c>
      <c r="E355" s="259">
        <v>5172</v>
      </c>
      <c r="F355" s="259" t="s">
        <v>396</v>
      </c>
      <c r="G355" s="336" t="s">
        <v>351</v>
      </c>
      <c r="H355" s="337">
        <v>0</v>
      </c>
      <c r="I355" s="337">
        <v>626</v>
      </c>
      <c r="J355" s="338">
        <v>0</v>
      </c>
      <c r="K355" s="339">
        <f>J355-I355</f>
        <v>-626</v>
      </c>
      <c r="L355" s="490">
        <f>J355/I355*100</f>
        <v>0</v>
      </c>
      <c r="N355" s="344">
        <f t="shared" si="25"/>
        <v>0</v>
      </c>
    </row>
    <row r="356" spans="1:14" ht="12.75" customHeight="1">
      <c r="A356" s="326">
        <f t="shared" si="24"/>
        <v>355</v>
      </c>
      <c r="B356" s="391"/>
      <c r="C356" s="347" t="s">
        <v>357</v>
      </c>
      <c r="D356" s="347"/>
      <c r="E356" s="347"/>
      <c r="F356" s="347"/>
      <c r="G356" s="348"/>
      <c r="H356" s="349">
        <f>SUBTOTAL(9,H353:H355)</f>
        <v>0</v>
      </c>
      <c r="I356" s="349">
        <f>SUBTOTAL(9,I353:I355)</f>
        <v>4968</v>
      </c>
      <c r="J356" s="349">
        <f>SUBTOTAL(9,J353:J355)</f>
        <v>144</v>
      </c>
      <c r="K356" s="412">
        <f>J356-I356</f>
        <v>-4824</v>
      </c>
      <c r="L356" s="413">
        <f>J356/I356*100</f>
        <v>2.898550724637681</v>
      </c>
      <c r="N356" s="344">
        <f t="shared" si="25"/>
        <v>0</v>
      </c>
    </row>
    <row r="357" spans="1:14" ht="12.75" customHeight="1">
      <c r="A357" s="326">
        <f t="shared" si="24"/>
        <v>356</v>
      </c>
      <c r="B357" s="387">
        <v>5300</v>
      </c>
      <c r="C357" s="259">
        <v>6171</v>
      </c>
      <c r="D357" s="259" t="s">
        <v>9</v>
      </c>
      <c r="E357" s="259">
        <v>5137</v>
      </c>
      <c r="F357" s="356" t="s">
        <v>346</v>
      </c>
      <c r="G357" s="419"/>
      <c r="H357" s="337">
        <v>7095</v>
      </c>
      <c r="I357" s="337">
        <v>7095</v>
      </c>
      <c r="J357" s="338">
        <v>6046</v>
      </c>
      <c r="K357" s="339">
        <f t="shared" si="22"/>
        <v>-1049</v>
      </c>
      <c r="L357" s="343">
        <f t="shared" si="23"/>
        <v>85.21494009866103</v>
      </c>
      <c r="N357" s="344">
        <f t="shared" si="25"/>
        <v>0</v>
      </c>
    </row>
    <row r="358" spans="1:14" ht="12.75" customHeight="1">
      <c r="A358" s="326">
        <f t="shared" si="24"/>
        <v>357</v>
      </c>
      <c r="B358" s="387">
        <v>5300</v>
      </c>
      <c r="C358" s="259">
        <v>6171</v>
      </c>
      <c r="D358" s="259" t="s">
        <v>9</v>
      </c>
      <c r="E358" s="259">
        <v>5139</v>
      </c>
      <c r="F358" s="259" t="s">
        <v>342</v>
      </c>
      <c r="G358" s="336"/>
      <c r="H358" s="337">
        <v>1960</v>
      </c>
      <c r="I358" s="337">
        <v>3037</v>
      </c>
      <c r="J358" s="338">
        <v>2991</v>
      </c>
      <c r="K358" s="339">
        <f t="shared" si="22"/>
        <v>-46</v>
      </c>
      <c r="L358" s="343">
        <f t="shared" si="23"/>
        <v>98.48534738228516</v>
      </c>
      <c r="N358" s="344">
        <f t="shared" si="25"/>
        <v>0</v>
      </c>
    </row>
    <row r="359" spans="1:14" ht="12.75" customHeight="1">
      <c r="A359" s="326">
        <f t="shared" si="24"/>
        <v>358</v>
      </c>
      <c r="B359" s="387">
        <v>5300</v>
      </c>
      <c r="C359" s="259">
        <v>6171</v>
      </c>
      <c r="D359" s="259" t="s">
        <v>9</v>
      </c>
      <c r="E359" s="259">
        <v>5162</v>
      </c>
      <c r="F359" s="259" t="s">
        <v>382</v>
      </c>
      <c r="G359" s="336"/>
      <c r="H359" s="337">
        <v>5500</v>
      </c>
      <c r="I359" s="337">
        <v>3640</v>
      </c>
      <c r="J359" s="338">
        <v>2753</v>
      </c>
      <c r="K359" s="339">
        <f t="shared" si="22"/>
        <v>-887</v>
      </c>
      <c r="L359" s="343">
        <f t="shared" si="23"/>
        <v>75.63186813186813</v>
      </c>
      <c r="N359" s="344">
        <f t="shared" si="25"/>
        <v>0</v>
      </c>
    </row>
    <row r="360" spans="1:14" ht="12.75" customHeight="1">
      <c r="A360" s="326">
        <f t="shared" si="24"/>
        <v>359</v>
      </c>
      <c r="B360" s="387">
        <v>5300</v>
      </c>
      <c r="C360" s="259">
        <v>6171</v>
      </c>
      <c r="D360" s="259" t="s">
        <v>9</v>
      </c>
      <c r="E360" s="259">
        <v>5164</v>
      </c>
      <c r="F360" s="259" t="s">
        <v>348</v>
      </c>
      <c r="G360" s="336"/>
      <c r="H360" s="337">
        <v>0</v>
      </c>
      <c r="I360" s="337">
        <v>189</v>
      </c>
      <c r="J360" s="338">
        <v>188</v>
      </c>
      <c r="K360" s="339">
        <f t="shared" si="22"/>
        <v>-1</v>
      </c>
      <c r="L360" s="343">
        <f t="shared" si="23"/>
        <v>99.47089947089947</v>
      </c>
      <c r="N360" s="344">
        <f t="shared" si="25"/>
        <v>0</v>
      </c>
    </row>
    <row r="361" spans="1:14" ht="12.75" customHeight="1">
      <c r="A361" s="326">
        <f t="shared" si="24"/>
        <v>360</v>
      </c>
      <c r="B361" s="387">
        <v>5300</v>
      </c>
      <c r="C361" s="259">
        <v>6171</v>
      </c>
      <c r="D361" s="259" t="s">
        <v>9</v>
      </c>
      <c r="E361" s="259">
        <v>5166</v>
      </c>
      <c r="F361" s="259" t="s">
        <v>315</v>
      </c>
      <c r="G361" s="336"/>
      <c r="H361" s="337">
        <v>2000</v>
      </c>
      <c r="I361" s="337">
        <v>2000</v>
      </c>
      <c r="J361" s="338">
        <v>1377</v>
      </c>
      <c r="K361" s="339">
        <f t="shared" si="22"/>
        <v>-623</v>
      </c>
      <c r="L361" s="343">
        <f t="shared" si="23"/>
        <v>68.85</v>
      </c>
      <c r="N361" s="344">
        <f t="shared" si="25"/>
        <v>0</v>
      </c>
    </row>
    <row r="362" spans="1:14" ht="12.75" customHeight="1">
      <c r="A362" s="326">
        <f t="shared" si="24"/>
        <v>361</v>
      </c>
      <c r="B362" s="387">
        <v>5300</v>
      </c>
      <c r="C362" s="259">
        <v>6171</v>
      </c>
      <c r="D362" s="259" t="s">
        <v>9</v>
      </c>
      <c r="E362" s="259">
        <v>5167</v>
      </c>
      <c r="F362" s="259" t="s">
        <v>383</v>
      </c>
      <c r="G362" s="336"/>
      <c r="H362" s="337">
        <v>2000</v>
      </c>
      <c r="I362" s="337">
        <v>2000</v>
      </c>
      <c r="J362" s="338">
        <v>1489</v>
      </c>
      <c r="K362" s="339">
        <f t="shared" si="22"/>
        <v>-511</v>
      </c>
      <c r="L362" s="343">
        <f t="shared" si="23"/>
        <v>74.45</v>
      </c>
      <c r="N362" s="344">
        <f t="shared" si="25"/>
        <v>0</v>
      </c>
    </row>
    <row r="363" spans="1:14" ht="12.75" customHeight="1">
      <c r="A363" s="326">
        <f t="shared" si="24"/>
        <v>362</v>
      </c>
      <c r="B363" s="387">
        <v>5300</v>
      </c>
      <c r="C363" s="259">
        <v>6171</v>
      </c>
      <c r="D363" s="259" t="s">
        <v>9</v>
      </c>
      <c r="E363" s="259">
        <v>5169</v>
      </c>
      <c r="F363" s="259" t="s">
        <v>316</v>
      </c>
      <c r="G363" s="336"/>
      <c r="H363" s="337">
        <v>167636</v>
      </c>
      <c r="I363" s="337">
        <v>168463</v>
      </c>
      <c r="J363" s="338">
        <v>156783</v>
      </c>
      <c r="K363" s="339">
        <f t="shared" si="22"/>
        <v>-11680</v>
      </c>
      <c r="L363" s="343">
        <f t="shared" si="23"/>
        <v>93.06672681835181</v>
      </c>
      <c r="N363" s="344">
        <f t="shared" si="25"/>
        <v>0</v>
      </c>
    </row>
    <row r="364" spans="1:14" ht="12.75" customHeight="1">
      <c r="A364" s="326">
        <f t="shared" si="24"/>
        <v>363</v>
      </c>
      <c r="B364" s="387">
        <v>5300</v>
      </c>
      <c r="C364" s="259">
        <v>6171</v>
      </c>
      <c r="D364" s="259" t="s">
        <v>9</v>
      </c>
      <c r="E364" s="259">
        <v>5171</v>
      </c>
      <c r="F364" s="259" t="s">
        <v>384</v>
      </c>
      <c r="G364" s="336"/>
      <c r="H364" s="337">
        <v>5161</v>
      </c>
      <c r="I364" s="337">
        <v>5186</v>
      </c>
      <c r="J364" s="338">
        <v>4928</v>
      </c>
      <c r="K364" s="339">
        <f t="shared" si="22"/>
        <v>-258</v>
      </c>
      <c r="L364" s="343">
        <f t="shared" si="23"/>
        <v>95.02506748939452</v>
      </c>
      <c r="N364" s="344">
        <f t="shared" si="25"/>
        <v>0</v>
      </c>
    </row>
    <row r="365" spans="1:14" ht="12.75" customHeight="1">
      <c r="A365" s="326">
        <f t="shared" si="24"/>
        <v>364</v>
      </c>
      <c r="B365" s="387">
        <v>5300</v>
      </c>
      <c r="C365" s="259">
        <v>6171</v>
      </c>
      <c r="D365" s="259" t="s">
        <v>9</v>
      </c>
      <c r="E365" s="259">
        <v>5172</v>
      </c>
      <c r="F365" s="259" t="s">
        <v>396</v>
      </c>
      <c r="G365" s="336"/>
      <c r="H365" s="337">
        <v>500</v>
      </c>
      <c r="I365" s="337">
        <v>242</v>
      </c>
      <c r="J365" s="338">
        <v>97</v>
      </c>
      <c r="K365" s="339">
        <f t="shared" si="22"/>
        <v>-145</v>
      </c>
      <c r="L365" s="343">
        <f t="shared" si="23"/>
        <v>40.082644628099175</v>
      </c>
      <c r="N365" s="344">
        <f t="shared" si="25"/>
        <v>0</v>
      </c>
    </row>
    <row r="366" spans="1:14" ht="12.75" customHeight="1">
      <c r="A366" s="326">
        <f t="shared" si="24"/>
        <v>365</v>
      </c>
      <c r="B366" s="391"/>
      <c r="C366" s="347" t="s">
        <v>319</v>
      </c>
      <c r="D366" s="347"/>
      <c r="E366" s="347"/>
      <c r="F366" s="347"/>
      <c r="G366" s="348"/>
      <c r="H366" s="349">
        <f>SUBTOTAL(9,H357:H365)</f>
        <v>191852</v>
      </c>
      <c r="I366" s="349">
        <f>SUBTOTAL(9,I357:I365)</f>
        <v>191852</v>
      </c>
      <c r="J366" s="349">
        <f>SUBTOTAL(9,J357:J365)</f>
        <v>176652</v>
      </c>
      <c r="K366" s="412">
        <f t="shared" si="22"/>
        <v>-15200</v>
      </c>
      <c r="L366" s="413">
        <f t="shared" si="23"/>
        <v>92.07722619519213</v>
      </c>
      <c r="N366" s="344">
        <f t="shared" si="25"/>
        <v>0</v>
      </c>
    </row>
    <row r="367" spans="1:14" ht="13.5" customHeight="1" thickBot="1">
      <c r="A367" s="326">
        <f t="shared" si="24"/>
        <v>366</v>
      </c>
      <c r="B367" s="366" t="s">
        <v>42</v>
      </c>
      <c r="C367" s="367"/>
      <c r="D367" s="367"/>
      <c r="E367" s="367"/>
      <c r="F367" s="367"/>
      <c r="G367" s="368"/>
      <c r="H367" s="432">
        <f>SUBTOTAL(9,H353:H366)</f>
        <v>191852</v>
      </c>
      <c r="I367" s="432">
        <f>SUBTOTAL(9,I353:I366)</f>
        <v>196820</v>
      </c>
      <c r="J367" s="432">
        <f>SUBTOTAL(9,J353:J366)</f>
        <v>176796</v>
      </c>
      <c r="K367" s="433">
        <f t="shared" si="22"/>
        <v>-20024</v>
      </c>
      <c r="L367" s="434">
        <f t="shared" si="23"/>
        <v>89.8262371710192</v>
      </c>
      <c r="N367" s="344">
        <f t="shared" si="25"/>
        <v>0</v>
      </c>
    </row>
    <row r="368" spans="1:14" ht="9.75" customHeight="1">
      <c r="A368" s="326">
        <f t="shared" si="24"/>
        <v>367</v>
      </c>
      <c r="B368" s="391"/>
      <c r="C368" s="347"/>
      <c r="D368" s="347"/>
      <c r="E368" s="347"/>
      <c r="F368" s="347"/>
      <c r="G368" s="348"/>
      <c r="H368" s="480">
        <v>0</v>
      </c>
      <c r="I368" s="480"/>
      <c r="J368" s="481"/>
      <c r="K368" s="456"/>
      <c r="L368" s="457"/>
      <c r="N368" s="344">
        <f t="shared" si="25"/>
        <v>0</v>
      </c>
    </row>
    <row r="369" spans="1:14" ht="15.75">
      <c r="A369" s="326">
        <f t="shared" si="24"/>
        <v>368</v>
      </c>
      <c r="B369" s="380" t="s">
        <v>17</v>
      </c>
      <c r="C369" s="356"/>
      <c r="D369" s="356"/>
      <c r="E369" s="356"/>
      <c r="F369" s="356"/>
      <c r="G369" s="419"/>
      <c r="H369" s="482">
        <v>0</v>
      </c>
      <c r="I369" s="482"/>
      <c r="J369" s="483"/>
      <c r="K369" s="484"/>
      <c r="L369" s="485"/>
      <c r="N369" s="344">
        <f t="shared" si="25"/>
        <v>0</v>
      </c>
    </row>
    <row r="370" spans="1:14" ht="12.75" customHeight="1">
      <c r="A370" s="326">
        <f t="shared" si="24"/>
        <v>369</v>
      </c>
      <c r="B370" s="387">
        <v>5400</v>
      </c>
      <c r="C370" s="259">
        <v>2143</v>
      </c>
      <c r="D370" s="388" t="s">
        <v>185</v>
      </c>
      <c r="E370" s="259">
        <v>5329</v>
      </c>
      <c r="F370" s="259" t="s">
        <v>442</v>
      </c>
      <c r="G370" s="336"/>
      <c r="H370" s="337">
        <v>1514</v>
      </c>
      <c r="I370" s="337">
        <v>1649</v>
      </c>
      <c r="J370" s="338">
        <v>1648</v>
      </c>
      <c r="K370" s="339">
        <f t="shared" si="22"/>
        <v>-1</v>
      </c>
      <c r="L370" s="343">
        <f t="shared" si="23"/>
        <v>99.93935718617344</v>
      </c>
      <c r="N370" s="344">
        <f t="shared" si="25"/>
        <v>0</v>
      </c>
    </row>
    <row r="371" spans="1:14" ht="12.75" customHeight="1">
      <c r="A371" s="326">
        <f t="shared" si="24"/>
        <v>370</v>
      </c>
      <c r="B371" s="391"/>
      <c r="C371" s="347" t="s">
        <v>340</v>
      </c>
      <c r="D371" s="347"/>
      <c r="E371" s="347"/>
      <c r="F371" s="347"/>
      <c r="G371" s="348"/>
      <c r="H371" s="349">
        <f>SUBTOTAL(9,H370:H370)</f>
        <v>1514</v>
      </c>
      <c r="I371" s="349">
        <f>SUBTOTAL(9,I370:I370)</f>
        <v>1649</v>
      </c>
      <c r="J371" s="349">
        <f>SUBTOTAL(9,J370:J370)</f>
        <v>1648</v>
      </c>
      <c r="K371" s="456">
        <f t="shared" si="22"/>
        <v>-1</v>
      </c>
      <c r="L371" s="457">
        <f t="shared" si="23"/>
        <v>99.93935718617344</v>
      </c>
      <c r="N371" s="344">
        <f t="shared" si="25"/>
        <v>0</v>
      </c>
    </row>
    <row r="372" spans="1:14" ht="12.75" customHeight="1">
      <c r="A372" s="326">
        <f t="shared" si="24"/>
        <v>371</v>
      </c>
      <c r="B372" s="486">
        <v>5400</v>
      </c>
      <c r="C372" s="356">
        <v>2212</v>
      </c>
      <c r="D372" s="356" t="s">
        <v>19</v>
      </c>
      <c r="E372" s="356">
        <v>5166</v>
      </c>
      <c r="F372" s="356" t="s">
        <v>315</v>
      </c>
      <c r="G372" s="419"/>
      <c r="H372" s="337">
        <v>2367</v>
      </c>
      <c r="I372" s="337">
        <v>2366</v>
      </c>
      <c r="J372" s="338">
        <v>1641</v>
      </c>
      <c r="K372" s="339">
        <f t="shared" si="22"/>
        <v>-725</v>
      </c>
      <c r="L372" s="343">
        <f t="shared" si="23"/>
        <v>69.35756551141166</v>
      </c>
      <c r="N372" s="344">
        <f t="shared" si="25"/>
        <v>0</v>
      </c>
    </row>
    <row r="373" spans="1:14" ht="12.75" customHeight="1">
      <c r="A373" s="326">
        <f t="shared" si="24"/>
        <v>372</v>
      </c>
      <c r="B373" s="486">
        <v>5400</v>
      </c>
      <c r="C373" s="356">
        <v>2212</v>
      </c>
      <c r="D373" s="356" t="s">
        <v>19</v>
      </c>
      <c r="E373" s="356">
        <v>5169</v>
      </c>
      <c r="F373" s="259" t="s">
        <v>316</v>
      </c>
      <c r="G373" s="336"/>
      <c r="H373" s="337">
        <v>193214</v>
      </c>
      <c r="I373" s="337">
        <v>206569</v>
      </c>
      <c r="J373" s="338">
        <v>199572</v>
      </c>
      <c r="K373" s="339">
        <f t="shared" si="22"/>
        <v>-6997</v>
      </c>
      <c r="L373" s="343">
        <f t="shared" si="23"/>
        <v>96.61275409185308</v>
      </c>
      <c r="N373" s="344">
        <f t="shared" si="25"/>
        <v>0</v>
      </c>
    </row>
    <row r="374" spans="1:14" ht="12.75" customHeight="1">
      <c r="A374" s="326">
        <f t="shared" si="24"/>
        <v>373</v>
      </c>
      <c r="B374" s="486">
        <v>5400</v>
      </c>
      <c r="C374" s="356">
        <v>2212</v>
      </c>
      <c r="D374" s="356" t="s">
        <v>19</v>
      </c>
      <c r="E374" s="356">
        <v>5171</v>
      </c>
      <c r="F374" s="356" t="s">
        <v>384</v>
      </c>
      <c r="G374" s="419"/>
      <c r="H374" s="337">
        <v>358572</v>
      </c>
      <c r="I374" s="337">
        <v>398372</v>
      </c>
      <c r="J374" s="338">
        <v>398369</v>
      </c>
      <c r="K374" s="339">
        <f t="shared" si="22"/>
        <v>-3</v>
      </c>
      <c r="L374" s="343">
        <f t="shared" si="23"/>
        <v>99.99924693502555</v>
      </c>
      <c r="N374" s="344">
        <f t="shared" si="25"/>
        <v>0</v>
      </c>
    </row>
    <row r="375" spans="1:14" ht="12.75" customHeight="1">
      <c r="A375" s="326">
        <f t="shared" si="24"/>
        <v>374</v>
      </c>
      <c r="B375" s="486">
        <v>5400</v>
      </c>
      <c r="C375" s="356">
        <v>2212</v>
      </c>
      <c r="D375" s="356" t="s">
        <v>19</v>
      </c>
      <c r="E375" s="356">
        <v>5192</v>
      </c>
      <c r="F375" s="259" t="s">
        <v>335</v>
      </c>
      <c r="G375" s="419"/>
      <c r="H375" s="337">
        <v>100</v>
      </c>
      <c r="I375" s="337">
        <v>95</v>
      </c>
      <c r="J375" s="338"/>
      <c r="K375" s="339">
        <f t="shared" si="22"/>
        <v>-95</v>
      </c>
      <c r="L375" s="343">
        <f t="shared" si="23"/>
        <v>0</v>
      </c>
      <c r="N375" s="344">
        <f t="shared" si="25"/>
        <v>0</v>
      </c>
    </row>
    <row r="376" spans="1:14" ht="12.75" customHeight="1">
      <c r="A376" s="326">
        <f t="shared" si="24"/>
        <v>375</v>
      </c>
      <c r="B376" s="486">
        <v>5400</v>
      </c>
      <c r="C376" s="356">
        <v>2212</v>
      </c>
      <c r="D376" s="356" t="s">
        <v>19</v>
      </c>
      <c r="E376" s="356">
        <v>5339</v>
      </c>
      <c r="F376" s="356" t="s">
        <v>428</v>
      </c>
      <c r="G376" s="419"/>
      <c r="H376" s="337">
        <v>4400</v>
      </c>
      <c r="I376" s="337">
        <v>4400</v>
      </c>
      <c r="J376" s="338">
        <v>4400</v>
      </c>
      <c r="K376" s="339">
        <f t="shared" si="22"/>
        <v>0</v>
      </c>
      <c r="L376" s="343">
        <f t="shared" si="23"/>
        <v>100</v>
      </c>
      <c r="N376" s="344">
        <f t="shared" si="25"/>
        <v>0</v>
      </c>
    </row>
    <row r="377" spans="1:14" ht="12.75" customHeight="1">
      <c r="A377" s="326">
        <f t="shared" si="24"/>
        <v>376</v>
      </c>
      <c r="B377" s="487"/>
      <c r="C377" s="381" t="s">
        <v>443</v>
      </c>
      <c r="D377" s="381"/>
      <c r="E377" s="381"/>
      <c r="F377" s="357"/>
      <c r="G377" s="358"/>
      <c r="H377" s="349">
        <f>SUBTOTAL(9,H372:H376)</f>
        <v>558653</v>
      </c>
      <c r="I377" s="349">
        <f>SUBTOTAL(9,I372:I376)</f>
        <v>611802</v>
      </c>
      <c r="J377" s="349">
        <f>SUBTOTAL(9,J372:J376)</f>
        <v>603982</v>
      </c>
      <c r="K377" s="470">
        <f t="shared" si="22"/>
        <v>-7820</v>
      </c>
      <c r="L377" s="471">
        <f t="shared" si="23"/>
        <v>98.72180868973949</v>
      </c>
      <c r="N377" s="344">
        <f t="shared" si="25"/>
        <v>0</v>
      </c>
    </row>
    <row r="378" spans="1:14" ht="12.75" customHeight="1">
      <c r="A378" s="326">
        <f t="shared" si="24"/>
        <v>377</v>
      </c>
      <c r="B378" s="486">
        <v>5400</v>
      </c>
      <c r="C378" s="356">
        <v>2219</v>
      </c>
      <c r="D378" s="356" t="s">
        <v>53</v>
      </c>
      <c r="E378" s="356">
        <v>5139</v>
      </c>
      <c r="F378" s="359" t="s">
        <v>342</v>
      </c>
      <c r="G378" s="360" t="s">
        <v>351</v>
      </c>
      <c r="H378" s="337">
        <v>210</v>
      </c>
      <c r="I378" s="337">
        <v>177</v>
      </c>
      <c r="J378" s="338">
        <v>59</v>
      </c>
      <c r="K378" s="339">
        <f t="shared" si="22"/>
        <v>-118</v>
      </c>
      <c r="L378" s="343">
        <f t="shared" si="23"/>
        <v>33.33333333333333</v>
      </c>
      <c r="N378" s="344">
        <f t="shared" si="25"/>
        <v>0</v>
      </c>
    </row>
    <row r="379" spans="1:14" ht="12.75" customHeight="1">
      <c r="A379" s="326">
        <f t="shared" si="24"/>
        <v>378</v>
      </c>
      <c r="B379" s="486">
        <v>5400</v>
      </c>
      <c r="C379" s="356">
        <v>2219</v>
      </c>
      <c r="D379" s="356" t="s">
        <v>53</v>
      </c>
      <c r="E379" s="356">
        <v>5164</v>
      </c>
      <c r="F379" s="259" t="s">
        <v>348</v>
      </c>
      <c r="G379" s="360" t="s">
        <v>351</v>
      </c>
      <c r="H379" s="337">
        <v>15</v>
      </c>
      <c r="I379" s="337">
        <v>19</v>
      </c>
      <c r="J379" s="338"/>
      <c r="K379" s="339">
        <f t="shared" si="22"/>
        <v>-19</v>
      </c>
      <c r="L379" s="343">
        <f t="shared" si="23"/>
        <v>0</v>
      </c>
      <c r="N379" s="344">
        <f t="shared" si="25"/>
        <v>0</v>
      </c>
    </row>
    <row r="380" spans="1:14" ht="12.75" customHeight="1">
      <c r="A380" s="326">
        <f t="shared" si="24"/>
        <v>379</v>
      </c>
      <c r="B380" s="486">
        <v>5400</v>
      </c>
      <c r="C380" s="356">
        <v>2219</v>
      </c>
      <c r="D380" s="356" t="s">
        <v>53</v>
      </c>
      <c r="E380" s="356">
        <v>5166</v>
      </c>
      <c r="F380" s="259" t="s">
        <v>315</v>
      </c>
      <c r="G380" s="360" t="s">
        <v>351</v>
      </c>
      <c r="H380" s="337">
        <v>1300</v>
      </c>
      <c r="I380" s="337">
        <v>1300</v>
      </c>
      <c r="J380" s="338">
        <v>236</v>
      </c>
      <c r="K380" s="339">
        <f t="shared" si="22"/>
        <v>-1064</v>
      </c>
      <c r="L380" s="343">
        <f t="shared" si="23"/>
        <v>18.153846153846153</v>
      </c>
      <c r="N380" s="344">
        <f t="shared" si="25"/>
        <v>0</v>
      </c>
    </row>
    <row r="381" spans="1:14" ht="12.75" customHeight="1">
      <c r="A381" s="326">
        <f t="shared" si="24"/>
        <v>380</v>
      </c>
      <c r="B381" s="486">
        <v>5400</v>
      </c>
      <c r="C381" s="356">
        <v>2219</v>
      </c>
      <c r="D381" s="356" t="s">
        <v>53</v>
      </c>
      <c r="E381" s="356">
        <v>5169</v>
      </c>
      <c r="F381" s="259" t="s">
        <v>316</v>
      </c>
      <c r="G381" s="336"/>
      <c r="H381" s="337">
        <v>13147</v>
      </c>
      <c r="I381" s="337">
        <v>13147</v>
      </c>
      <c r="J381" s="338">
        <v>13137</v>
      </c>
      <c r="K381" s="339">
        <f t="shared" si="22"/>
        <v>-10</v>
      </c>
      <c r="L381" s="343">
        <f t="shared" si="23"/>
        <v>99.92393701985243</v>
      </c>
      <c r="N381" s="344">
        <f t="shared" si="25"/>
        <v>0</v>
      </c>
    </row>
    <row r="382" spans="1:14" ht="12.75" customHeight="1">
      <c r="A382" s="326">
        <f t="shared" si="24"/>
        <v>381</v>
      </c>
      <c r="B382" s="486">
        <v>5400</v>
      </c>
      <c r="C382" s="356">
        <v>2219</v>
      </c>
      <c r="D382" s="356" t="s">
        <v>53</v>
      </c>
      <c r="E382" s="356">
        <v>5169</v>
      </c>
      <c r="F382" s="259" t="s">
        <v>316</v>
      </c>
      <c r="G382" s="336" t="s">
        <v>351</v>
      </c>
      <c r="H382" s="337">
        <v>526</v>
      </c>
      <c r="I382" s="337">
        <v>531</v>
      </c>
      <c r="J382" s="338">
        <v>58</v>
      </c>
      <c r="K382" s="339">
        <f t="shared" si="22"/>
        <v>-473</v>
      </c>
      <c r="L382" s="343">
        <f t="shared" si="23"/>
        <v>10.922787193973635</v>
      </c>
      <c r="N382" s="344">
        <f t="shared" si="25"/>
        <v>0</v>
      </c>
    </row>
    <row r="383" spans="1:14" ht="12.75" customHeight="1">
      <c r="A383" s="326">
        <f t="shared" si="24"/>
        <v>382</v>
      </c>
      <c r="B383" s="486">
        <v>5400</v>
      </c>
      <c r="C383" s="356">
        <v>2219</v>
      </c>
      <c r="D383" s="356" t="s">
        <v>53</v>
      </c>
      <c r="E383" s="356">
        <v>5175</v>
      </c>
      <c r="F383" s="259" t="s">
        <v>334</v>
      </c>
      <c r="G383" s="336" t="s">
        <v>351</v>
      </c>
      <c r="H383" s="337">
        <v>97</v>
      </c>
      <c r="I383" s="337">
        <v>147</v>
      </c>
      <c r="J383" s="338">
        <v>94</v>
      </c>
      <c r="K383" s="339">
        <f t="shared" si="22"/>
        <v>-53</v>
      </c>
      <c r="L383" s="343">
        <f t="shared" si="23"/>
        <v>63.94557823129252</v>
      </c>
      <c r="N383" s="344">
        <f t="shared" si="25"/>
        <v>0</v>
      </c>
    </row>
    <row r="384" spans="1:14" ht="12.75" customHeight="1">
      <c r="A384" s="326">
        <f t="shared" si="24"/>
        <v>383</v>
      </c>
      <c r="B384" s="486">
        <v>5400</v>
      </c>
      <c r="C384" s="356">
        <v>2219</v>
      </c>
      <c r="D384" s="356" t="s">
        <v>53</v>
      </c>
      <c r="E384" s="356">
        <v>5176</v>
      </c>
      <c r="F384" s="259" t="s">
        <v>385</v>
      </c>
      <c r="G384" s="336" t="s">
        <v>351</v>
      </c>
      <c r="H384" s="337">
        <v>78</v>
      </c>
      <c r="I384" s="337">
        <v>78</v>
      </c>
      <c r="J384" s="338">
        <v>53</v>
      </c>
      <c r="K384" s="339">
        <f t="shared" si="22"/>
        <v>-25</v>
      </c>
      <c r="L384" s="343">
        <f t="shared" si="23"/>
        <v>67.94871794871796</v>
      </c>
      <c r="N384" s="344">
        <f t="shared" si="25"/>
        <v>0</v>
      </c>
    </row>
    <row r="385" spans="1:14" ht="12.75" customHeight="1">
      <c r="A385" s="326">
        <f t="shared" si="24"/>
        <v>384</v>
      </c>
      <c r="B385" s="486">
        <v>5400</v>
      </c>
      <c r="C385" s="356">
        <v>2219</v>
      </c>
      <c r="D385" s="356" t="s">
        <v>53</v>
      </c>
      <c r="E385" s="356">
        <v>5192</v>
      </c>
      <c r="F385" s="259" t="s">
        <v>335</v>
      </c>
      <c r="G385" s="419"/>
      <c r="H385" s="337">
        <v>1500</v>
      </c>
      <c r="I385" s="337">
        <v>1499</v>
      </c>
      <c r="J385" s="338">
        <v>1405</v>
      </c>
      <c r="K385" s="339">
        <f t="shared" si="22"/>
        <v>-94</v>
      </c>
      <c r="L385" s="343">
        <f t="shared" si="23"/>
        <v>93.72915276851234</v>
      </c>
      <c r="N385" s="344">
        <f t="shared" si="25"/>
        <v>0</v>
      </c>
    </row>
    <row r="386" spans="1:14" ht="12.75" customHeight="1">
      <c r="A386" s="326">
        <f t="shared" si="24"/>
        <v>385</v>
      </c>
      <c r="B386" s="486">
        <v>5400</v>
      </c>
      <c r="C386" s="356">
        <v>2219</v>
      </c>
      <c r="D386" s="356" t="s">
        <v>53</v>
      </c>
      <c r="E386" s="356">
        <v>5362</v>
      </c>
      <c r="F386" s="259" t="s">
        <v>325</v>
      </c>
      <c r="G386" s="419"/>
      <c r="H386" s="337"/>
      <c r="I386" s="337">
        <v>1</v>
      </c>
      <c r="J386" s="338">
        <v>1</v>
      </c>
      <c r="K386" s="339">
        <f t="shared" si="22"/>
        <v>0</v>
      </c>
      <c r="L386" s="343">
        <f t="shared" si="23"/>
        <v>100</v>
      </c>
      <c r="N386" s="344">
        <f t="shared" si="25"/>
        <v>0</v>
      </c>
    </row>
    <row r="387" spans="1:14" ht="12.75" customHeight="1">
      <c r="A387" s="326">
        <f t="shared" si="24"/>
        <v>386</v>
      </c>
      <c r="B387" s="487"/>
      <c r="C387" s="381" t="s">
        <v>356</v>
      </c>
      <c r="D387" s="381"/>
      <c r="E387" s="381"/>
      <c r="F387" s="381"/>
      <c r="G387" s="406"/>
      <c r="H387" s="349">
        <f>SUBTOTAL(9,H378:H385)</f>
        <v>16873</v>
      </c>
      <c r="I387" s="349">
        <f>SUBTOTAL(9,I378:I386)</f>
        <v>16899</v>
      </c>
      <c r="J387" s="349">
        <f>SUBTOTAL(9,J378:J386)</f>
        <v>15043</v>
      </c>
      <c r="K387" s="470">
        <f t="shared" si="22"/>
        <v>-1856</v>
      </c>
      <c r="L387" s="471">
        <f t="shared" si="23"/>
        <v>89.01710160364519</v>
      </c>
      <c r="N387" s="344">
        <f t="shared" si="25"/>
        <v>0</v>
      </c>
    </row>
    <row r="388" spans="1:14" ht="12.75" customHeight="1">
      <c r="A388" s="326">
        <f aca="true" t="shared" si="26" ref="A388:A451">A387+1</f>
        <v>387</v>
      </c>
      <c r="B388" s="486">
        <v>5400</v>
      </c>
      <c r="C388" s="356">
        <v>2229</v>
      </c>
      <c r="D388" s="356" t="s">
        <v>208</v>
      </c>
      <c r="E388" s="356">
        <v>5213</v>
      </c>
      <c r="F388" s="488" t="s">
        <v>431</v>
      </c>
      <c r="G388" s="419"/>
      <c r="H388" s="337">
        <v>1732230</v>
      </c>
      <c r="I388" s="337">
        <v>1748784</v>
      </c>
      <c r="J388" s="338">
        <v>1748784</v>
      </c>
      <c r="K388" s="339">
        <f t="shared" si="22"/>
        <v>0</v>
      </c>
      <c r="L388" s="343">
        <f t="shared" si="23"/>
        <v>100</v>
      </c>
      <c r="N388" s="344">
        <f aca="true" t="shared" si="27" ref="N388:N451">I388-J388+K388</f>
        <v>0</v>
      </c>
    </row>
    <row r="389" spans="1:14" ht="12.75" customHeight="1">
      <c r="A389" s="326">
        <f t="shared" si="26"/>
        <v>388</v>
      </c>
      <c r="B389" s="487"/>
      <c r="C389" s="381" t="s">
        <v>399</v>
      </c>
      <c r="D389" s="381"/>
      <c r="E389" s="381"/>
      <c r="F389" s="381"/>
      <c r="G389" s="406"/>
      <c r="H389" s="349">
        <f>SUBTOTAL(9,H388:H388)</f>
        <v>1732230</v>
      </c>
      <c r="I389" s="349">
        <f>SUBTOTAL(9,I388:I388)</f>
        <v>1748784</v>
      </c>
      <c r="J389" s="349">
        <f>SUBTOTAL(9,J388:J388)</f>
        <v>1748784</v>
      </c>
      <c r="K389" s="470">
        <f t="shared" si="22"/>
        <v>0</v>
      </c>
      <c r="L389" s="471">
        <f t="shared" si="23"/>
        <v>100</v>
      </c>
      <c r="N389" s="344">
        <f t="shared" si="27"/>
        <v>0</v>
      </c>
    </row>
    <row r="390" spans="1:14" ht="12.75" customHeight="1">
      <c r="A390" s="326">
        <f t="shared" si="26"/>
        <v>389</v>
      </c>
      <c r="B390" s="486">
        <v>5400</v>
      </c>
      <c r="C390" s="356">
        <v>2271</v>
      </c>
      <c r="D390" s="356" t="s">
        <v>20</v>
      </c>
      <c r="E390" s="356">
        <v>5169</v>
      </c>
      <c r="F390" s="356" t="s">
        <v>316</v>
      </c>
      <c r="G390" s="336"/>
      <c r="H390" s="337">
        <v>1046</v>
      </c>
      <c r="I390" s="337">
        <v>1046</v>
      </c>
      <c r="J390" s="338">
        <v>1039</v>
      </c>
      <c r="K390" s="339">
        <f aca="true" t="shared" si="28" ref="K390:K454">J390-I390</f>
        <v>-7</v>
      </c>
      <c r="L390" s="343">
        <f aca="true" t="shared" si="29" ref="L390:L402">J390/I390*100</f>
        <v>99.33078393881452</v>
      </c>
      <c r="N390" s="344">
        <f t="shared" si="27"/>
        <v>0</v>
      </c>
    </row>
    <row r="391" spans="1:14" ht="12.75" customHeight="1">
      <c r="A391" s="326">
        <f t="shared" si="26"/>
        <v>390</v>
      </c>
      <c r="B391" s="486">
        <v>5400</v>
      </c>
      <c r="C391" s="356">
        <v>2271</v>
      </c>
      <c r="D391" s="356" t="s">
        <v>20</v>
      </c>
      <c r="E391" s="356">
        <v>5171</v>
      </c>
      <c r="F391" s="356" t="s">
        <v>384</v>
      </c>
      <c r="G391" s="419"/>
      <c r="H391" s="337">
        <v>2880</v>
      </c>
      <c r="I391" s="337">
        <v>4730</v>
      </c>
      <c r="J391" s="338">
        <v>4719</v>
      </c>
      <c r="K391" s="339">
        <f t="shared" si="28"/>
        <v>-11</v>
      </c>
      <c r="L391" s="343">
        <f t="shared" si="29"/>
        <v>99.76744186046511</v>
      </c>
      <c r="N391" s="344">
        <f t="shared" si="27"/>
        <v>0</v>
      </c>
    </row>
    <row r="392" spans="1:14" ht="12.75" customHeight="1">
      <c r="A392" s="326">
        <f t="shared" si="26"/>
        <v>391</v>
      </c>
      <c r="B392" s="486">
        <v>5400</v>
      </c>
      <c r="C392" s="356">
        <v>2271</v>
      </c>
      <c r="D392" s="356" t="s">
        <v>20</v>
      </c>
      <c r="E392" s="356">
        <v>5339</v>
      </c>
      <c r="F392" s="356" t="s">
        <v>428</v>
      </c>
      <c r="G392" s="419"/>
      <c r="H392" s="337"/>
      <c r="I392" s="337">
        <v>900</v>
      </c>
      <c r="J392" s="338">
        <v>900</v>
      </c>
      <c r="K392" s="339">
        <f t="shared" si="28"/>
        <v>0</v>
      </c>
      <c r="L392" s="343">
        <f t="shared" si="29"/>
        <v>100</v>
      </c>
      <c r="N392" s="344">
        <f t="shared" si="27"/>
        <v>0</v>
      </c>
    </row>
    <row r="393" spans="1:14" ht="12.75" customHeight="1">
      <c r="A393" s="326">
        <f t="shared" si="26"/>
        <v>392</v>
      </c>
      <c r="B393" s="487"/>
      <c r="C393" s="381" t="s">
        <v>444</v>
      </c>
      <c r="D393" s="381"/>
      <c r="E393" s="381"/>
      <c r="F393" s="381"/>
      <c r="G393" s="406"/>
      <c r="H393" s="349">
        <f>SUBTOTAL(9,H390:H391)</f>
        <v>3926</v>
      </c>
      <c r="I393" s="349">
        <f>SUBTOTAL(9,I390:I392)</f>
        <v>6676</v>
      </c>
      <c r="J393" s="349">
        <f>SUBTOTAL(9,J390:J392)</f>
        <v>6658</v>
      </c>
      <c r="K393" s="470">
        <f t="shared" si="28"/>
        <v>-18</v>
      </c>
      <c r="L393" s="471">
        <f t="shared" si="29"/>
        <v>99.73037747153984</v>
      </c>
      <c r="N393" s="344">
        <f t="shared" si="27"/>
        <v>0</v>
      </c>
    </row>
    <row r="394" spans="1:14" ht="12.75" customHeight="1">
      <c r="A394" s="326">
        <f t="shared" si="26"/>
        <v>393</v>
      </c>
      <c r="B394" s="486">
        <v>5400</v>
      </c>
      <c r="C394" s="356">
        <v>2299</v>
      </c>
      <c r="D394" s="356" t="s">
        <v>445</v>
      </c>
      <c r="E394" s="356">
        <v>5166</v>
      </c>
      <c r="F394" s="356" t="s">
        <v>315</v>
      </c>
      <c r="G394" s="419"/>
      <c r="H394" s="337">
        <v>1690</v>
      </c>
      <c r="I394" s="337">
        <v>1690</v>
      </c>
      <c r="J394" s="338">
        <v>1690</v>
      </c>
      <c r="K394" s="339">
        <f t="shared" si="28"/>
        <v>0</v>
      </c>
      <c r="L394" s="490">
        <f t="shared" si="29"/>
        <v>100</v>
      </c>
      <c r="N394" s="344">
        <f t="shared" si="27"/>
        <v>0</v>
      </c>
    </row>
    <row r="395" spans="1:14" ht="12.75" customHeight="1">
      <c r="A395" s="326">
        <f t="shared" si="26"/>
        <v>394</v>
      </c>
      <c r="B395" s="486">
        <v>5400</v>
      </c>
      <c r="C395" s="356">
        <v>2299</v>
      </c>
      <c r="D395" s="356" t="s">
        <v>445</v>
      </c>
      <c r="E395" s="356">
        <v>5169</v>
      </c>
      <c r="F395" s="356" t="s">
        <v>316</v>
      </c>
      <c r="G395" s="419"/>
      <c r="H395" s="337">
        <v>200</v>
      </c>
      <c r="I395" s="337">
        <v>200</v>
      </c>
      <c r="J395" s="338">
        <v>32</v>
      </c>
      <c r="K395" s="339">
        <f t="shared" si="28"/>
        <v>-168</v>
      </c>
      <c r="L395" s="343">
        <f t="shared" si="29"/>
        <v>16</v>
      </c>
      <c r="N395" s="344">
        <f t="shared" si="27"/>
        <v>0</v>
      </c>
    </row>
    <row r="396" spans="1:14" ht="12.75" customHeight="1">
      <c r="A396" s="326">
        <f t="shared" si="26"/>
        <v>395</v>
      </c>
      <c r="B396" s="486">
        <v>5400</v>
      </c>
      <c r="C396" s="356">
        <v>2299</v>
      </c>
      <c r="D396" s="356" t="s">
        <v>445</v>
      </c>
      <c r="E396" s="356">
        <v>5213</v>
      </c>
      <c r="F396" s="488" t="s">
        <v>431</v>
      </c>
      <c r="G396" s="419"/>
      <c r="H396" s="337">
        <v>3850</v>
      </c>
      <c r="I396" s="337">
        <v>3850</v>
      </c>
      <c r="J396" s="338">
        <v>3850</v>
      </c>
      <c r="K396" s="339">
        <f t="shared" si="28"/>
        <v>0</v>
      </c>
      <c r="L396" s="343">
        <f t="shared" si="29"/>
        <v>100</v>
      </c>
      <c r="N396" s="344">
        <f t="shared" si="27"/>
        <v>0</v>
      </c>
    </row>
    <row r="397" spans="1:14" ht="12.75" customHeight="1">
      <c r="A397" s="326">
        <f t="shared" si="26"/>
        <v>396</v>
      </c>
      <c r="B397" s="486">
        <v>5400</v>
      </c>
      <c r="C397" s="356">
        <v>2299</v>
      </c>
      <c r="D397" s="356" t="s">
        <v>445</v>
      </c>
      <c r="E397" s="356">
        <v>5229</v>
      </c>
      <c r="F397" s="389" t="s">
        <v>336</v>
      </c>
      <c r="G397" s="419"/>
      <c r="H397" s="337">
        <v>20</v>
      </c>
      <c r="I397" s="337">
        <v>20</v>
      </c>
      <c r="J397" s="338">
        <v>20</v>
      </c>
      <c r="K397" s="339">
        <f t="shared" si="28"/>
        <v>0</v>
      </c>
      <c r="L397" s="343">
        <f t="shared" si="29"/>
        <v>100</v>
      </c>
      <c r="N397" s="344">
        <f t="shared" si="27"/>
        <v>0</v>
      </c>
    </row>
    <row r="398" spans="1:14" ht="12.75" customHeight="1">
      <c r="A398" s="326">
        <f t="shared" si="26"/>
        <v>397</v>
      </c>
      <c r="B398" s="487"/>
      <c r="C398" s="381" t="s">
        <v>446</v>
      </c>
      <c r="D398" s="381"/>
      <c r="E398" s="381"/>
      <c r="F398" s="381"/>
      <c r="G398" s="406"/>
      <c r="H398" s="349">
        <f>SUBTOTAL(9,H394:H397)</f>
        <v>5760</v>
      </c>
      <c r="I398" s="349">
        <f>SUBTOTAL(9,I394:I397)</f>
        <v>5760</v>
      </c>
      <c r="J398" s="349">
        <f>SUBTOTAL(9,J394:J397)</f>
        <v>5592</v>
      </c>
      <c r="K398" s="350">
        <f t="shared" si="28"/>
        <v>-168</v>
      </c>
      <c r="L398" s="351">
        <f t="shared" si="29"/>
        <v>97.08333333333333</v>
      </c>
      <c r="N398" s="344">
        <f t="shared" si="27"/>
        <v>0</v>
      </c>
    </row>
    <row r="399" spans="1:14" ht="12.75" customHeight="1">
      <c r="A399" s="326">
        <f t="shared" si="26"/>
        <v>398</v>
      </c>
      <c r="B399" s="486">
        <v>5400</v>
      </c>
      <c r="C399" s="260">
        <v>3636</v>
      </c>
      <c r="D399" s="260" t="s">
        <v>165</v>
      </c>
      <c r="E399" s="260">
        <v>5166</v>
      </c>
      <c r="F399" s="260" t="s">
        <v>315</v>
      </c>
      <c r="G399" s="419"/>
      <c r="H399" s="337">
        <v>3200</v>
      </c>
      <c r="I399" s="337">
        <v>3200</v>
      </c>
      <c r="J399" s="338">
        <v>3135</v>
      </c>
      <c r="K399" s="339">
        <f t="shared" si="28"/>
        <v>-65</v>
      </c>
      <c r="L399" s="343">
        <f t="shared" si="29"/>
        <v>97.96875</v>
      </c>
      <c r="N399" s="344">
        <f t="shared" si="27"/>
        <v>0</v>
      </c>
    </row>
    <row r="400" spans="1:14" ht="12.75" customHeight="1">
      <c r="A400" s="326">
        <f t="shared" si="26"/>
        <v>399</v>
      </c>
      <c r="B400" s="487"/>
      <c r="C400" s="619" t="s">
        <v>349</v>
      </c>
      <c r="D400" s="620"/>
      <c r="E400" s="503"/>
      <c r="F400" s="503"/>
      <c r="G400" s="406"/>
      <c r="H400" s="349">
        <f>SUBTOTAL(9,H399:H399)</f>
        <v>3200</v>
      </c>
      <c r="I400" s="349">
        <f>SUBTOTAL(9,I399:I399)</f>
        <v>3200</v>
      </c>
      <c r="J400" s="349">
        <f>SUBTOTAL(9,J399:J399)</f>
        <v>3135</v>
      </c>
      <c r="K400" s="470">
        <f t="shared" si="28"/>
        <v>-65</v>
      </c>
      <c r="L400" s="471">
        <f t="shared" si="29"/>
        <v>97.96875</v>
      </c>
      <c r="N400" s="344">
        <f t="shared" si="27"/>
        <v>0</v>
      </c>
    </row>
    <row r="401" spans="1:14" ht="12.75" customHeight="1">
      <c r="A401" s="326">
        <f t="shared" si="26"/>
        <v>400</v>
      </c>
      <c r="B401" s="486">
        <v>5400</v>
      </c>
      <c r="C401" s="356">
        <v>6409</v>
      </c>
      <c r="D401" s="356" t="s">
        <v>281</v>
      </c>
      <c r="E401" s="356">
        <v>5321</v>
      </c>
      <c r="F401" s="389" t="s">
        <v>331</v>
      </c>
      <c r="G401" s="419"/>
      <c r="H401" s="337"/>
      <c r="I401" s="337">
        <v>2900</v>
      </c>
      <c r="J401" s="338">
        <v>2900</v>
      </c>
      <c r="K401" s="339">
        <f t="shared" si="28"/>
        <v>0</v>
      </c>
      <c r="L401" s="343">
        <f t="shared" si="29"/>
        <v>100</v>
      </c>
      <c r="N401" s="344">
        <f t="shared" si="27"/>
        <v>0</v>
      </c>
    </row>
    <row r="402" spans="1:14" ht="12.75" customHeight="1">
      <c r="A402" s="326">
        <f t="shared" si="26"/>
        <v>401</v>
      </c>
      <c r="B402" s="487"/>
      <c r="C402" s="381" t="s">
        <v>333</v>
      </c>
      <c r="D402" s="381"/>
      <c r="E402" s="381"/>
      <c r="F402" s="381"/>
      <c r="G402" s="406"/>
      <c r="H402" s="349">
        <f>SUBTOTAL(9,H401)</f>
        <v>0</v>
      </c>
      <c r="I402" s="349">
        <f>SUBTOTAL(9,I401)</f>
        <v>2900</v>
      </c>
      <c r="J402" s="349">
        <f>SUBTOTAL(9,J401)</f>
        <v>2900</v>
      </c>
      <c r="K402" s="350">
        <f t="shared" si="28"/>
        <v>0</v>
      </c>
      <c r="L402" s="351">
        <f t="shared" si="29"/>
        <v>100</v>
      </c>
      <c r="N402" s="344">
        <f t="shared" si="27"/>
        <v>0</v>
      </c>
    </row>
    <row r="403" spans="1:14" ht="13.5" customHeight="1" thickBot="1">
      <c r="A403" s="326">
        <f t="shared" si="26"/>
        <v>402</v>
      </c>
      <c r="B403" s="366" t="s">
        <v>15</v>
      </c>
      <c r="C403" s="367"/>
      <c r="D403" s="367"/>
      <c r="E403" s="367"/>
      <c r="F403" s="367"/>
      <c r="G403" s="368"/>
      <c r="H403" s="369">
        <f>SUBTOTAL(9,H370:H402)</f>
        <v>2322156</v>
      </c>
      <c r="I403" s="369">
        <f>SUBTOTAL(9,I370:I402)</f>
        <v>2397670</v>
      </c>
      <c r="J403" s="369">
        <f>SUBTOTAL(9,J370:J402)</f>
        <v>2387742</v>
      </c>
      <c r="K403" s="370">
        <f t="shared" si="28"/>
        <v>-9928</v>
      </c>
      <c r="L403" s="371">
        <f>J403/I403*100</f>
        <v>99.58593134167755</v>
      </c>
      <c r="N403" s="344">
        <f t="shared" si="27"/>
        <v>0</v>
      </c>
    </row>
    <row r="404" spans="1:14" ht="9.75" customHeight="1">
      <c r="A404" s="326">
        <f t="shared" si="26"/>
        <v>403</v>
      </c>
      <c r="B404" s="487"/>
      <c r="C404" s="381"/>
      <c r="D404" s="381"/>
      <c r="E404" s="381"/>
      <c r="F404" s="381"/>
      <c r="G404" s="406"/>
      <c r="H404" s="504">
        <v>0</v>
      </c>
      <c r="I404" s="504"/>
      <c r="J404" s="505"/>
      <c r="K404" s="470"/>
      <c r="L404" s="471"/>
      <c r="N404" s="344">
        <f t="shared" si="27"/>
        <v>0</v>
      </c>
    </row>
    <row r="405" spans="1:14" ht="12.75" customHeight="1">
      <c r="A405" s="326">
        <f t="shared" si="26"/>
        <v>404</v>
      </c>
      <c r="B405" s="380" t="s">
        <v>18</v>
      </c>
      <c r="C405" s="381"/>
      <c r="D405" s="381"/>
      <c r="E405" s="381"/>
      <c r="F405" s="381"/>
      <c r="G405" s="406"/>
      <c r="H405" s="506">
        <v>0</v>
      </c>
      <c r="I405" s="506"/>
      <c r="J405" s="507"/>
      <c r="K405" s="508"/>
      <c r="L405" s="509"/>
      <c r="N405" s="344">
        <f t="shared" si="27"/>
        <v>0</v>
      </c>
    </row>
    <row r="406" spans="1:14" ht="12.75" customHeight="1">
      <c r="A406" s="326">
        <f t="shared" si="26"/>
        <v>405</v>
      </c>
      <c r="B406" s="486">
        <v>5600</v>
      </c>
      <c r="C406" s="356">
        <v>2310</v>
      </c>
      <c r="D406" s="356" t="s">
        <v>5</v>
      </c>
      <c r="E406" s="356">
        <v>5166</v>
      </c>
      <c r="F406" s="260" t="s">
        <v>315</v>
      </c>
      <c r="G406" s="419"/>
      <c r="H406" s="506"/>
      <c r="I406" s="506">
        <v>200</v>
      </c>
      <c r="J406" s="507">
        <v>73</v>
      </c>
      <c r="K406" s="339">
        <f aca="true" t="shared" si="30" ref="K406:K431">J406-I406</f>
        <v>-127</v>
      </c>
      <c r="L406" s="343">
        <f aca="true" t="shared" si="31" ref="L406:L431">J406/I406*100</f>
        <v>36.5</v>
      </c>
      <c r="N406" s="344">
        <f t="shared" si="27"/>
        <v>0</v>
      </c>
    </row>
    <row r="407" spans="1:14" ht="12.75" customHeight="1">
      <c r="A407" s="326">
        <f t="shared" si="26"/>
        <v>406</v>
      </c>
      <c r="B407" s="486">
        <v>5600</v>
      </c>
      <c r="C407" s="356">
        <v>2310</v>
      </c>
      <c r="D407" s="356" t="s">
        <v>5</v>
      </c>
      <c r="E407" s="356">
        <v>5169</v>
      </c>
      <c r="F407" s="356" t="s">
        <v>316</v>
      </c>
      <c r="G407" s="419"/>
      <c r="H407" s="506"/>
      <c r="I407" s="506">
        <v>200</v>
      </c>
      <c r="J407" s="507"/>
      <c r="K407" s="339">
        <f t="shared" si="30"/>
        <v>-200</v>
      </c>
      <c r="L407" s="490">
        <f t="shared" si="31"/>
        <v>0</v>
      </c>
      <c r="N407" s="344">
        <f t="shared" si="27"/>
        <v>0</v>
      </c>
    </row>
    <row r="408" spans="1:14" ht="12.75" customHeight="1">
      <c r="A408" s="326">
        <f t="shared" si="26"/>
        <v>407</v>
      </c>
      <c r="B408" s="486">
        <v>5600</v>
      </c>
      <c r="C408" s="381" t="s">
        <v>435</v>
      </c>
      <c r="D408" s="381"/>
      <c r="E408" s="356"/>
      <c r="F408" s="356"/>
      <c r="G408" s="419"/>
      <c r="H408" s="506"/>
      <c r="I408" s="510">
        <f>SUBTOTAL(9,I406:I407)</f>
        <v>400</v>
      </c>
      <c r="J408" s="510">
        <f>SUBTOTAL(9,J406:J407)</f>
        <v>73</v>
      </c>
      <c r="K408" s="395">
        <f t="shared" si="30"/>
        <v>-327</v>
      </c>
      <c r="L408" s="396">
        <f t="shared" si="31"/>
        <v>18.25</v>
      </c>
      <c r="N408" s="344">
        <f t="shared" si="27"/>
        <v>0</v>
      </c>
    </row>
    <row r="409" spans="1:14" ht="12.75" customHeight="1">
      <c r="A409" s="326">
        <f t="shared" si="26"/>
        <v>408</v>
      </c>
      <c r="B409" s="486">
        <v>5600</v>
      </c>
      <c r="C409" s="356">
        <v>2321</v>
      </c>
      <c r="D409" s="260" t="s">
        <v>241</v>
      </c>
      <c r="E409" s="356">
        <v>5137</v>
      </c>
      <c r="F409" s="356" t="s">
        <v>346</v>
      </c>
      <c r="G409" s="419"/>
      <c r="H409" s="506"/>
      <c r="I409" s="506">
        <v>1</v>
      </c>
      <c r="J409" s="507"/>
      <c r="K409" s="339">
        <f t="shared" si="30"/>
        <v>-1</v>
      </c>
      <c r="L409" s="490">
        <f t="shared" si="31"/>
        <v>0</v>
      </c>
      <c r="N409" s="344">
        <f t="shared" si="27"/>
        <v>0</v>
      </c>
    </row>
    <row r="410" spans="1:14" ht="12.75" customHeight="1">
      <c r="A410" s="326">
        <f t="shared" si="26"/>
        <v>409</v>
      </c>
      <c r="B410" s="486">
        <v>5600</v>
      </c>
      <c r="C410" s="356">
        <v>2321</v>
      </c>
      <c r="D410" s="260" t="s">
        <v>241</v>
      </c>
      <c r="E410" s="356">
        <v>5166</v>
      </c>
      <c r="F410" s="260" t="s">
        <v>315</v>
      </c>
      <c r="G410" s="419"/>
      <c r="H410" s="506"/>
      <c r="I410" s="506">
        <v>1894</v>
      </c>
      <c r="J410" s="507">
        <v>1272</v>
      </c>
      <c r="K410" s="339">
        <f t="shared" si="30"/>
        <v>-622</v>
      </c>
      <c r="L410" s="343">
        <f t="shared" si="31"/>
        <v>67.15945089757128</v>
      </c>
      <c r="N410" s="344">
        <f t="shared" si="27"/>
        <v>0</v>
      </c>
    </row>
    <row r="411" spans="1:14" ht="12.75" customHeight="1">
      <c r="A411" s="326">
        <f t="shared" si="26"/>
        <v>410</v>
      </c>
      <c r="B411" s="486">
        <v>5600</v>
      </c>
      <c r="C411" s="356">
        <v>2321</v>
      </c>
      <c r="D411" s="260" t="s">
        <v>241</v>
      </c>
      <c r="E411" s="356">
        <v>5169</v>
      </c>
      <c r="F411" s="356" t="s">
        <v>316</v>
      </c>
      <c r="G411" s="419"/>
      <c r="H411" s="506"/>
      <c r="I411" s="506">
        <v>640</v>
      </c>
      <c r="J411" s="507">
        <v>115</v>
      </c>
      <c r="K411" s="339">
        <f t="shared" si="30"/>
        <v>-525</v>
      </c>
      <c r="L411" s="343">
        <f t="shared" si="31"/>
        <v>17.96875</v>
      </c>
      <c r="N411" s="344">
        <f t="shared" si="27"/>
        <v>0</v>
      </c>
    </row>
    <row r="412" spans="1:14" ht="12.75" customHeight="1">
      <c r="A412" s="326">
        <f t="shared" si="26"/>
        <v>411</v>
      </c>
      <c r="B412" s="486">
        <v>5600</v>
      </c>
      <c r="C412" s="356">
        <v>2321</v>
      </c>
      <c r="D412" s="260" t="s">
        <v>241</v>
      </c>
      <c r="E412" s="356">
        <v>5171</v>
      </c>
      <c r="F412" s="356" t="s">
        <v>384</v>
      </c>
      <c r="G412" s="419"/>
      <c r="H412" s="506"/>
      <c r="I412" s="506">
        <v>100</v>
      </c>
      <c r="J412" s="507"/>
      <c r="K412" s="339">
        <f t="shared" si="30"/>
        <v>-100</v>
      </c>
      <c r="L412" s="490">
        <f t="shared" si="31"/>
        <v>0</v>
      </c>
      <c r="N412" s="344">
        <f t="shared" si="27"/>
        <v>0</v>
      </c>
    </row>
    <row r="413" spans="1:14" ht="12.75" customHeight="1">
      <c r="A413" s="326">
        <f t="shared" si="26"/>
        <v>412</v>
      </c>
      <c r="B413" s="486">
        <v>5600</v>
      </c>
      <c r="C413" s="356">
        <v>2321</v>
      </c>
      <c r="D413" s="260" t="s">
        <v>241</v>
      </c>
      <c r="E413" s="356">
        <v>5192</v>
      </c>
      <c r="F413" s="259" t="s">
        <v>335</v>
      </c>
      <c r="G413" s="419"/>
      <c r="H413" s="506"/>
      <c r="I413" s="506">
        <v>25</v>
      </c>
      <c r="J413" s="507">
        <v>24</v>
      </c>
      <c r="K413" s="339">
        <f t="shared" si="30"/>
        <v>-1</v>
      </c>
      <c r="L413" s="343">
        <f t="shared" si="31"/>
        <v>96</v>
      </c>
      <c r="N413" s="344">
        <f t="shared" si="27"/>
        <v>0</v>
      </c>
    </row>
    <row r="414" spans="1:14" ht="12.75" customHeight="1">
      <c r="A414" s="326">
        <f t="shared" si="26"/>
        <v>413</v>
      </c>
      <c r="B414" s="486"/>
      <c r="C414" s="381" t="s">
        <v>436</v>
      </c>
      <c r="D414" s="503"/>
      <c r="E414" s="356"/>
      <c r="F414" s="356"/>
      <c r="G414" s="419"/>
      <c r="H414" s="506"/>
      <c r="I414" s="510">
        <f>SUBTOTAL(9,I409:I413)</f>
        <v>2660</v>
      </c>
      <c r="J414" s="510">
        <f>SUBTOTAL(9,J409:J413)</f>
        <v>1411</v>
      </c>
      <c r="K414" s="395">
        <f t="shared" si="30"/>
        <v>-1249</v>
      </c>
      <c r="L414" s="396">
        <f t="shared" si="31"/>
        <v>53.045112781954884</v>
      </c>
      <c r="N414" s="344">
        <f t="shared" si="27"/>
        <v>0</v>
      </c>
    </row>
    <row r="415" spans="1:14" ht="12.75" customHeight="1">
      <c r="A415" s="326">
        <f t="shared" si="26"/>
        <v>414</v>
      </c>
      <c r="B415" s="486">
        <v>5600</v>
      </c>
      <c r="C415" s="356">
        <v>3314</v>
      </c>
      <c r="D415" s="260" t="s">
        <v>90</v>
      </c>
      <c r="E415" s="356">
        <v>5137</v>
      </c>
      <c r="F415" s="356" t="s">
        <v>346</v>
      </c>
      <c r="G415" s="419"/>
      <c r="H415" s="506"/>
      <c r="I415" s="506">
        <v>1550</v>
      </c>
      <c r="J415" s="507">
        <v>1510</v>
      </c>
      <c r="K415" s="339">
        <f t="shared" si="30"/>
        <v>-40</v>
      </c>
      <c r="L415" s="343">
        <f t="shared" si="31"/>
        <v>97.41935483870968</v>
      </c>
      <c r="N415" s="344">
        <f t="shared" si="27"/>
        <v>0</v>
      </c>
    </row>
    <row r="416" spans="1:14" ht="12.75" customHeight="1">
      <c r="A416" s="326">
        <f t="shared" si="26"/>
        <v>415</v>
      </c>
      <c r="B416" s="486">
        <v>5600</v>
      </c>
      <c r="C416" s="356">
        <v>3314</v>
      </c>
      <c r="D416" s="260" t="s">
        <v>90</v>
      </c>
      <c r="E416" s="356">
        <v>5139</v>
      </c>
      <c r="F416" s="356" t="s">
        <v>342</v>
      </c>
      <c r="G416" s="419"/>
      <c r="H416" s="506"/>
      <c r="I416" s="506">
        <v>120</v>
      </c>
      <c r="J416" s="507"/>
      <c r="K416" s="339">
        <f t="shared" si="30"/>
        <v>-120</v>
      </c>
      <c r="L416" s="343">
        <f t="shared" si="31"/>
        <v>0</v>
      </c>
      <c r="N416" s="344">
        <f t="shared" si="27"/>
        <v>0</v>
      </c>
    </row>
    <row r="417" spans="1:14" ht="12.75" customHeight="1">
      <c r="A417" s="326">
        <f t="shared" si="26"/>
        <v>416</v>
      </c>
      <c r="B417" s="486"/>
      <c r="C417" s="381" t="s">
        <v>447</v>
      </c>
      <c r="D417" s="503"/>
      <c r="E417" s="356"/>
      <c r="F417" s="356"/>
      <c r="G417" s="419"/>
      <c r="H417" s="506"/>
      <c r="I417" s="510">
        <f>SUBTOTAL(9,I415:I416)</f>
        <v>1670</v>
      </c>
      <c r="J417" s="510">
        <f>SUBTOTAL(9,J415:J416)</f>
        <v>1510</v>
      </c>
      <c r="K417" s="395">
        <f t="shared" si="30"/>
        <v>-160</v>
      </c>
      <c r="L417" s="396">
        <f t="shared" si="31"/>
        <v>90.41916167664671</v>
      </c>
      <c r="N417" s="344">
        <f t="shared" si="27"/>
        <v>0</v>
      </c>
    </row>
    <row r="418" spans="1:14" ht="12.75" customHeight="1">
      <c r="A418" s="326">
        <f t="shared" si="26"/>
        <v>417</v>
      </c>
      <c r="B418" s="486">
        <v>5600</v>
      </c>
      <c r="C418" s="356">
        <v>3319</v>
      </c>
      <c r="D418" s="260" t="s">
        <v>48</v>
      </c>
      <c r="E418" s="356">
        <v>5213</v>
      </c>
      <c r="F418" s="488" t="s">
        <v>431</v>
      </c>
      <c r="G418" s="419"/>
      <c r="H418" s="506"/>
      <c r="I418" s="506">
        <v>1500</v>
      </c>
      <c r="J418" s="507">
        <v>1500</v>
      </c>
      <c r="K418" s="339">
        <f t="shared" si="30"/>
        <v>0</v>
      </c>
      <c r="L418" s="343">
        <f t="shared" si="31"/>
        <v>100</v>
      </c>
      <c r="N418" s="344">
        <f t="shared" si="27"/>
        <v>0</v>
      </c>
    </row>
    <row r="419" spans="1:14" ht="12.75" customHeight="1">
      <c r="A419" s="326">
        <f t="shared" si="26"/>
        <v>418</v>
      </c>
      <c r="B419" s="486"/>
      <c r="C419" s="381" t="s">
        <v>359</v>
      </c>
      <c r="D419" s="503"/>
      <c r="E419" s="356"/>
      <c r="F419" s="356"/>
      <c r="G419" s="419"/>
      <c r="H419" s="506"/>
      <c r="I419" s="510">
        <f>SUBTOTAL(9,I418)</f>
        <v>1500</v>
      </c>
      <c r="J419" s="510">
        <f>SUBTOTAL(9,J418)</f>
        <v>1500</v>
      </c>
      <c r="K419" s="395">
        <f t="shared" si="30"/>
        <v>0</v>
      </c>
      <c r="L419" s="396">
        <f t="shared" si="31"/>
        <v>100</v>
      </c>
      <c r="N419" s="344">
        <f t="shared" si="27"/>
        <v>0</v>
      </c>
    </row>
    <row r="420" spans="1:14" ht="12.75" customHeight="1">
      <c r="A420" s="326">
        <f t="shared" si="26"/>
        <v>419</v>
      </c>
      <c r="B420" s="486">
        <v>5600</v>
      </c>
      <c r="C420" s="356">
        <v>3412</v>
      </c>
      <c r="D420" s="260" t="s">
        <v>200</v>
      </c>
      <c r="E420" s="356">
        <v>5154</v>
      </c>
      <c r="F420" s="356" t="s">
        <v>347</v>
      </c>
      <c r="G420" s="419" t="s">
        <v>351</v>
      </c>
      <c r="H420" s="506"/>
      <c r="I420" s="506">
        <v>200</v>
      </c>
      <c r="J420" s="507">
        <v>106</v>
      </c>
      <c r="K420" s="339">
        <f t="shared" si="30"/>
        <v>-94</v>
      </c>
      <c r="L420" s="343">
        <f t="shared" si="31"/>
        <v>53</v>
      </c>
      <c r="N420" s="344">
        <f t="shared" si="27"/>
        <v>0</v>
      </c>
    </row>
    <row r="421" spans="1:14" ht="12.75" customHeight="1">
      <c r="A421" s="326">
        <f t="shared" si="26"/>
        <v>420</v>
      </c>
      <c r="B421" s="486"/>
      <c r="C421" s="381" t="s">
        <v>401</v>
      </c>
      <c r="D421" s="503"/>
      <c r="E421" s="356"/>
      <c r="F421" s="356"/>
      <c r="G421" s="419"/>
      <c r="H421" s="506"/>
      <c r="I421" s="510">
        <f>SUBTOTAL(9,I420)</f>
        <v>200</v>
      </c>
      <c r="J421" s="510">
        <f>SUBTOTAL(9,J420)</f>
        <v>106</v>
      </c>
      <c r="K421" s="395">
        <f t="shared" si="30"/>
        <v>-94</v>
      </c>
      <c r="L421" s="396">
        <f t="shared" si="31"/>
        <v>53</v>
      </c>
      <c r="N421" s="344">
        <f t="shared" si="27"/>
        <v>0</v>
      </c>
    </row>
    <row r="422" spans="1:14" ht="12.75" customHeight="1">
      <c r="A422" s="326">
        <f t="shared" si="26"/>
        <v>421</v>
      </c>
      <c r="B422" s="486">
        <v>5600</v>
      </c>
      <c r="C422" s="356">
        <v>3631</v>
      </c>
      <c r="D422" s="260" t="s">
        <v>10</v>
      </c>
      <c r="E422" s="356">
        <v>5169</v>
      </c>
      <c r="F422" s="356" t="s">
        <v>316</v>
      </c>
      <c r="G422" s="419"/>
      <c r="H422" s="506"/>
      <c r="I422" s="506">
        <v>140650</v>
      </c>
      <c r="J422" s="507">
        <v>118898</v>
      </c>
      <c r="K422" s="339">
        <f t="shared" si="30"/>
        <v>-21752</v>
      </c>
      <c r="L422" s="343">
        <f t="shared" si="31"/>
        <v>84.53466050479915</v>
      </c>
      <c r="N422" s="344">
        <f t="shared" si="27"/>
        <v>0</v>
      </c>
    </row>
    <row r="423" spans="1:14" ht="12.75" customHeight="1">
      <c r="A423" s="326">
        <f t="shared" si="26"/>
        <v>422</v>
      </c>
      <c r="B423" s="486">
        <v>5600</v>
      </c>
      <c r="C423" s="356">
        <v>3631</v>
      </c>
      <c r="D423" s="260" t="s">
        <v>10</v>
      </c>
      <c r="E423" s="356">
        <v>5171</v>
      </c>
      <c r="F423" s="356" t="s">
        <v>384</v>
      </c>
      <c r="G423" s="419"/>
      <c r="H423" s="506"/>
      <c r="I423" s="506">
        <v>200</v>
      </c>
      <c r="J423" s="507">
        <v>189</v>
      </c>
      <c r="K423" s="339">
        <f t="shared" si="30"/>
        <v>-11</v>
      </c>
      <c r="L423" s="343">
        <f t="shared" si="31"/>
        <v>94.5</v>
      </c>
      <c r="N423" s="344">
        <f t="shared" si="27"/>
        <v>0</v>
      </c>
    </row>
    <row r="424" spans="1:14" ht="12.75" customHeight="1">
      <c r="A424" s="326">
        <f t="shared" si="26"/>
        <v>423</v>
      </c>
      <c r="B424" s="486"/>
      <c r="C424" s="381" t="s">
        <v>448</v>
      </c>
      <c r="D424" s="503"/>
      <c r="E424" s="356"/>
      <c r="F424" s="356"/>
      <c r="G424" s="419"/>
      <c r="H424" s="506"/>
      <c r="I424" s="510">
        <f>SUBTOTAL(9,I422:I423)</f>
        <v>140850</v>
      </c>
      <c r="J424" s="510">
        <f>SUBTOTAL(9,J422:J423)</f>
        <v>119087</v>
      </c>
      <c r="K424" s="395">
        <f t="shared" si="30"/>
        <v>-21763</v>
      </c>
      <c r="L424" s="396">
        <f t="shared" si="31"/>
        <v>84.5488107916223</v>
      </c>
      <c r="N424" s="344">
        <f t="shared" si="27"/>
        <v>0</v>
      </c>
    </row>
    <row r="425" spans="1:14" ht="12.75" customHeight="1">
      <c r="A425" s="326">
        <f t="shared" si="26"/>
        <v>424</v>
      </c>
      <c r="B425" s="486">
        <v>5600</v>
      </c>
      <c r="C425" s="356">
        <v>3633</v>
      </c>
      <c r="D425" s="260" t="s">
        <v>46</v>
      </c>
      <c r="E425" s="356">
        <v>5166</v>
      </c>
      <c r="F425" s="260" t="s">
        <v>315</v>
      </c>
      <c r="G425" s="419"/>
      <c r="H425" s="506"/>
      <c r="I425" s="511">
        <v>400</v>
      </c>
      <c r="J425" s="512">
        <v>295</v>
      </c>
      <c r="K425" s="339">
        <f t="shared" si="30"/>
        <v>-105</v>
      </c>
      <c r="L425" s="343">
        <f t="shared" si="31"/>
        <v>73.75</v>
      </c>
      <c r="N425" s="344">
        <f t="shared" si="27"/>
        <v>0</v>
      </c>
    </row>
    <row r="426" spans="1:14" ht="12.75" customHeight="1">
      <c r="A426" s="326">
        <f t="shared" si="26"/>
        <v>425</v>
      </c>
      <c r="B426" s="486">
        <v>5600</v>
      </c>
      <c r="C426" s="356">
        <v>3633</v>
      </c>
      <c r="D426" s="260" t="s">
        <v>46</v>
      </c>
      <c r="E426" s="356">
        <v>5168</v>
      </c>
      <c r="F426" s="356" t="s">
        <v>449</v>
      </c>
      <c r="G426" s="419"/>
      <c r="H426" s="506"/>
      <c r="I426" s="511">
        <v>60</v>
      </c>
      <c r="J426" s="512"/>
      <c r="K426" s="339">
        <f t="shared" si="30"/>
        <v>-60</v>
      </c>
      <c r="L426" s="490">
        <f t="shared" si="31"/>
        <v>0</v>
      </c>
      <c r="N426" s="344">
        <f t="shared" si="27"/>
        <v>0</v>
      </c>
    </row>
    <row r="427" spans="1:14" ht="12.75" customHeight="1">
      <c r="A427" s="326">
        <f t="shared" si="26"/>
        <v>426</v>
      </c>
      <c r="B427" s="486">
        <v>5600</v>
      </c>
      <c r="C427" s="356">
        <v>3633</v>
      </c>
      <c r="D427" s="260" t="s">
        <v>46</v>
      </c>
      <c r="E427" s="356">
        <v>5169</v>
      </c>
      <c r="F427" s="356" t="s">
        <v>316</v>
      </c>
      <c r="G427" s="419"/>
      <c r="H427" s="506"/>
      <c r="I427" s="511">
        <v>3720</v>
      </c>
      <c r="J427" s="512">
        <v>3562</v>
      </c>
      <c r="K427" s="339">
        <f t="shared" si="30"/>
        <v>-158</v>
      </c>
      <c r="L427" s="343">
        <f t="shared" si="31"/>
        <v>95.75268817204301</v>
      </c>
      <c r="N427" s="344">
        <f t="shared" si="27"/>
        <v>0</v>
      </c>
    </row>
    <row r="428" spans="1:14" ht="12.75" customHeight="1">
      <c r="A428" s="326">
        <f t="shared" si="26"/>
        <v>427</v>
      </c>
      <c r="B428" s="486">
        <v>5600</v>
      </c>
      <c r="C428" s="356">
        <v>3633</v>
      </c>
      <c r="D428" s="260" t="s">
        <v>46</v>
      </c>
      <c r="E428" s="356">
        <v>5171</v>
      </c>
      <c r="F428" s="356" t="s">
        <v>384</v>
      </c>
      <c r="G428" s="419"/>
      <c r="H428" s="506"/>
      <c r="I428" s="511">
        <v>80</v>
      </c>
      <c r="J428" s="512">
        <v>10</v>
      </c>
      <c r="K428" s="339">
        <f t="shared" si="30"/>
        <v>-70</v>
      </c>
      <c r="L428" s="343">
        <f t="shared" si="31"/>
        <v>12.5</v>
      </c>
      <c r="N428" s="344">
        <f t="shared" si="27"/>
        <v>0</v>
      </c>
    </row>
    <row r="429" spans="1:14" ht="12.75" customHeight="1">
      <c r="A429" s="326">
        <f t="shared" si="26"/>
        <v>428</v>
      </c>
      <c r="B429" s="486">
        <v>5600</v>
      </c>
      <c r="C429" s="356">
        <v>3633</v>
      </c>
      <c r="D429" s="260" t="s">
        <v>46</v>
      </c>
      <c r="E429" s="356">
        <v>5192</v>
      </c>
      <c r="F429" s="259" t="s">
        <v>335</v>
      </c>
      <c r="G429" s="419"/>
      <c r="H429" s="506"/>
      <c r="I429" s="511">
        <v>222</v>
      </c>
      <c r="J429" s="512">
        <v>222</v>
      </c>
      <c r="K429" s="339">
        <f t="shared" si="30"/>
        <v>0</v>
      </c>
      <c r="L429" s="343">
        <f t="shared" si="31"/>
        <v>100</v>
      </c>
      <c r="N429" s="344">
        <f t="shared" si="27"/>
        <v>0</v>
      </c>
    </row>
    <row r="430" spans="1:14" ht="12.75" customHeight="1">
      <c r="A430" s="326">
        <f t="shared" si="26"/>
        <v>429</v>
      </c>
      <c r="B430" s="486">
        <v>5600</v>
      </c>
      <c r="C430" s="356">
        <v>3633</v>
      </c>
      <c r="D430" s="260" t="s">
        <v>46</v>
      </c>
      <c r="E430" s="356">
        <v>5213</v>
      </c>
      <c r="F430" s="488" t="s">
        <v>431</v>
      </c>
      <c r="G430" s="419"/>
      <c r="H430" s="506"/>
      <c r="I430" s="511">
        <v>13947</v>
      </c>
      <c r="J430" s="512">
        <v>13947</v>
      </c>
      <c r="K430" s="339">
        <f t="shared" si="30"/>
        <v>0</v>
      </c>
      <c r="L430" s="343">
        <f t="shared" si="31"/>
        <v>100</v>
      </c>
      <c r="N430" s="344">
        <f t="shared" si="27"/>
        <v>0</v>
      </c>
    </row>
    <row r="431" spans="1:14" ht="12.75" customHeight="1">
      <c r="A431" s="326">
        <f t="shared" si="26"/>
        <v>430</v>
      </c>
      <c r="B431" s="486"/>
      <c r="C431" s="381" t="s">
        <v>450</v>
      </c>
      <c r="D431" s="381"/>
      <c r="E431" s="356"/>
      <c r="F431" s="356"/>
      <c r="G431" s="419"/>
      <c r="H431" s="506"/>
      <c r="I431" s="510">
        <f>SUBTOTAL(9,I425:I430)</f>
        <v>18429</v>
      </c>
      <c r="J431" s="510">
        <f>SUBTOTAL(9,J425:J430)</f>
        <v>18036</v>
      </c>
      <c r="K431" s="395">
        <f t="shared" si="30"/>
        <v>-393</v>
      </c>
      <c r="L431" s="396">
        <f t="shared" si="31"/>
        <v>97.86749145368712</v>
      </c>
      <c r="N431" s="344">
        <f t="shared" si="27"/>
        <v>0</v>
      </c>
    </row>
    <row r="432" spans="1:14" ht="12.75" customHeight="1">
      <c r="A432" s="326">
        <f t="shared" si="26"/>
        <v>431</v>
      </c>
      <c r="B432" s="486">
        <v>5600</v>
      </c>
      <c r="C432" s="356">
        <v>3636</v>
      </c>
      <c r="D432" s="260" t="s">
        <v>165</v>
      </c>
      <c r="E432" s="356">
        <v>5163</v>
      </c>
      <c r="F432" s="356" t="s">
        <v>323</v>
      </c>
      <c r="G432" s="419"/>
      <c r="H432" s="506"/>
      <c r="I432" s="506">
        <v>13</v>
      </c>
      <c r="J432" s="507">
        <v>9</v>
      </c>
      <c r="K432" s="339">
        <f t="shared" si="28"/>
        <v>-4</v>
      </c>
      <c r="L432" s="343">
        <f>J432/I432*100</f>
        <v>69.23076923076923</v>
      </c>
      <c r="N432" s="344">
        <f t="shared" si="27"/>
        <v>0</v>
      </c>
    </row>
    <row r="433" spans="1:14" ht="12.75" customHeight="1">
      <c r="A433" s="326">
        <f t="shared" si="26"/>
        <v>432</v>
      </c>
      <c r="B433" s="486">
        <v>5600</v>
      </c>
      <c r="C433" s="356">
        <v>3636</v>
      </c>
      <c r="D433" s="260" t="s">
        <v>165</v>
      </c>
      <c r="E433" s="356">
        <v>5169</v>
      </c>
      <c r="F433" s="259" t="s">
        <v>316</v>
      </c>
      <c r="G433" s="419"/>
      <c r="H433" s="337">
        <v>380</v>
      </c>
      <c r="I433" s="337">
        <v>2367</v>
      </c>
      <c r="J433" s="338">
        <v>702</v>
      </c>
      <c r="K433" s="339">
        <f t="shared" si="28"/>
        <v>-1665</v>
      </c>
      <c r="L433" s="343">
        <f>J433/I433*100</f>
        <v>29.65779467680608</v>
      </c>
      <c r="N433" s="344">
        <f t="shared" si="27"/>
        <v>0</v>
      </c>
    </row>
    <row r="434" spans="1:14" ht="12.75" customHeight="1">
      <c r="A434" s="326">
        <f t="shared" si="26"/>
        <v>433</v>
      </c>
      <c r="B434" s="486"/>
      <c r="C434" s="381" t="s">
        <v>349</v>
      </c>
      <c r="D434" s="381"/>
      <c r="E434" s="381"/>
      <c r="F434" s="381"/>
      <c r="G434" s="406"/>
      <c r="H434" s="349">
        <f>SUBTOTAL(9,H433:H433)</f>
        <v>380</v>
      </c>
      <c r="I434" s="349">
        <f>SUBTOTAL(9,I432:I433)</f>
        <v>2380</v>
      </c>
      <c r="J434" s="349">
        <f>SUBTOTAL(9,J432:J433)</f>
        <v>711</v>
      </c>
      <c r="K434" s="513">
        <f t="shared" si="28"/>
        <v>-1669</v>
      </c>
      <c r="L434" s="514">
        <f>J434/I434*100</f>
        <v>29.873949579831933</v>
      </c>
      <c r="N434" s="344">
        <f t="shared" si="27"/>
        <v>0</v>
      </c>
    </row>
    <row r="435" spans="1:14" ht="12.75" customHeight="1">
      <c r="A435" s="326">
        <f t="shared" si="26"/>
        <v>434</v>
      </c>
      <c r="B435" s="486">
        <v>5600</v>
      </c>
      <c r="C435" s="356">
        <v>3639</v>
      </c>
      <c r="D435" s="356" t="s">
        <v>41</v>
      </c>
      <c r="E435" s="356">
        <v>5151</v>
      </c>
      <c r="F435" s="356" t="s">
        <v>451</v>
      </c>
      <c r="G435" s="419"/>
      <c r="H435" s="467"/>
      <c r="I435" s="467">
        <v>5</v>
      </c>
      <c r="J435" s="361">
        <v>2</v>
      </c>
      <c r="K435" s="339">
        <f t="shared" si="28"/>
        <v>-3</v>
      </c>
      <c r="L435" s="515"/>
      <c r="N435" s="344">
        <f t="shared" si="27"/>
        <v>0</v>
      </c>
    </row>
    <row r="436" spans="1:14" ht="12.75" customHeight="1">
      <c r="A436" s="326">
        <f t="shared" si="26"/>
        <v>435</v>
      </c>
      <c r="B436" s="486">
        <v>5600</v>
      </c>
      <c r="C436" s="356">
        <v>3639</v>
      </c>
      <c r="D436" s="356" t="s">
        <v>41</v>
      </c>
      <c r="E436" s="356">
        <v>5164</v>
      </c>
      <c r="F436" s="259" t="s">
        <v>348</v>
      </c>
      <c r="G436" s="419"/>
      <c r="H436" s="467"/>
      <c r="I436" s="467">
        <v>11</v>
      </c>
      <c r="J436" s="361">
        <v>1</v>
      </c>
      <c r="K436" s="339">
        <f t="shared" si="28"/>
        <v>-10</v>
      </c>
      <c r="L436" s="515"/>
      <c r="N436" s="344">
        <f t="shared" si="27"/>
        <v>0</v>
      </c>
    </row>
    <row r="437" spans="1:14" ht="12.75" customHeight="1">
      <c r="A437" s="326">
        <f t="shared" si="26"/>
        <v>436</v>
      </c>
      <c r="B437" s="486">
        <v>5600</v>
      </c>
      <c r="C437" s="356">
        <v>3639</v>
      </c>
      <c r="D437" s="356" t="s">
        <v>41</v>
      </c>
      <c r="E437" s="356">
        <v>5166</v>
      </c>
      <c r="F437" s="356" t="s">
        <v>315</v>
      </c>
      <c r="G437" s="419"/>
      <c r="H437" s="337">
        <v>600</v>
      </c>
      <c r="I437" s="337">
        <v>2794</v>
      </c>
      <c r="J437" s="338">
        <v>2760</v>
      </c>
      <c r="K437" s="339">
        <f t="shared" si="28"/>
        <v>-34</v>
      </c>
      <c r="L437" s="343">
        <f aca="true" t="shared" si="32" ref="L437:L453">J437/I437*100</f>
        <v>98.78310665712242</v>
      </c>
      <c r="N437" s="344">
        <f t="shared" si="27"/>
        <v>0</v>
      </c>
    </row>
    <row r="438" spans="1:14" ht="12.75" customHeight="1">
      <c r="A438" s="326">
        <f t="shared" si="26"/>
        <v>437</v>
      </c>
      <c r="B438" s="486">
        <v>5600</v>
      </c>
      <c r="C438" s="356">
        <v>3639</v>
      </c>
      <c r="D438" s="356" t="s">
        <v>41</v>
      </c>
      <c r="E438" s="356">
        <v>5169</v>
      </c>
      <c r="F438" s="259" t="s">
        <v>316</v>
      </c>
      <c r="G438" s="336"/>
      <c r="H438" s="337">
        <v>700</v>
      </c>
      <c r="I438" s="337">
        <v>325</v>
      </c>
      <c r="J438" s="338">
        <v>159</v>
      </c>
      <c r="K438" s="339">
        <f t="shared" si="28"/>
        <v>-166</v>
      </c>
      <c r="L438" s="343">
        <f t="shared" si="32"/>
        <v>48.92307692307693</v>
      </c>
      <c r="N438" s="344">
        <f t="shared" si="27"/>
        <v>0</v>
      </c>
    </row>
    <row r="439" spans="1:14" ht="12.75" customHeight="1">
      <c r="A439" s="326">
        <f t="shared" si="26"/>
        <v>438</v>
      </c>
      <c r="B439" s="486">
        <v>5600</v>
      </c>
      <c r="C439" s="356">
        <v>3639</v>
      </c>
      <c r="D439" s="356" t="s">
        <v>41</v>
      </c>
      <c r="E439" s="356">
        <v>5171</v>
      </c>
      <c r="F439" s="356" t="s">
        <v>384</v>
      </c>
      <c r="G439" s="336"/>
      <c r="H439" s="337">
        <v>50</v>
      </c>
      <c r="I439" s="337">
        <v>50</v>
      </c>
      <c r="J439" s="338"/>
      <c r="K439" s="339">
        <f t="shared" si="28"/>
        <v>-50</v>
      </c>
      <c r="L439" s="490">
        <f t="shared" si="32"/>
        <v>0</v>
      </c>
      <c r="N439" s="344">
        <f t="shared" si="27"/>
        <v>0</v>
      </c>
    </row>
    <row r="440" spans="1:14" ht="12.75" customHeight="1">
      <c r="A440" s="326">
        <f t="shared" si="26"/>
        <v>439</v>
      </c>
      <c r="B440" s="486">
        <v>5600</v>
      </c>
      <c r="C440" s="356">
        <v>3639</v>
      </c>
      <c r="D440" s="356" t="s">
        <v>41</v>
      </c>
      <c r="E440" s="356">
        <v>5173</v>
      </c>
      <c r="F440" s="389" t="s">
        <v>355</v>
      </c>
      <c r="G440" s="336"/>
      <c r="H440" s="337">
        <v>50</v>
      </c>
      <c r="I440" s="337">
        <v>40</v>
      </c>
      <c r="J440" s="338"/>
      <c r="K440" s="339">
        <f t="shared" si="28"/>
        <v>-40</v>
      </c>
      <c r="L440" s="490">
        <f t="shared" si="32"/>
        <v>0</v>
      </c>
      <c r="N440" s="344">
        <f t="shared" si="27"/>
        <v>0</v>
      </c>
    </row>
    <row r="441" spans="1:14" ht="12.75" customHeight="1">
      <c r="A441" s="326">
        <f t="shared" si="26"/>
        <v>440</v>
      </c>
      <c r="B441" s="486">
        <v>5600</v>
      </c>
      <c r="C441" s="356">
        <v>3639</v>
      </c>
      <c r="D441" s="356" t="s">
        <v>41</v>
      </c>
      <c r="E441" s="356">
        <v>5192</v>
      </c>
      <c r="F441" s="259" t="s">
        <v>335</v>
      </c>
      <c r="G441" s="419"/>
      <c r="H441" s="337">
        <v>400</v>
      </c>
      <c r="I441" s="337">
        <v>400</v>
      </c>
      <c r="J441" s="338">
        <v>5</v>
      </c>
      <c r="K441" s="339">
        <f t="shared" si="28"/>
        <v>-395</v>
      </c>
      <c r="L441" s="343">
        <f t="shared" si="32"/>
        <v>1.25</v>
      </c>
      <c r="N441" s="344">
        <f t="shared" si="27"/>
        <v>0</v>
      </c>
    </row>
    <row r="442" spans="1:14" ht="12.75" customHeight="1">
      <c r="A442" s="326">
        <f t="shared" si="26"/>
        <v>441</v>
      </c>
      <c r="B442" s="486">
        <v>5600</v>
      </c>
      <c r="C442" s="356">
        <v>3639</v>
      </c>
      <c r="D442" s="356" t="s">
        <v>41</v>
      </c>
      <c r="E442" s="356">
        <v>5362</v>
      </c>
      <c r="F442" s="259" t="s">
        <v>325</v>
      </c>
      <c r="G442" s="419"/>
      <c r="H442" s="337">
        <v>400</v>
      </c>
      <c r="I442" s="337">
        <v>550</v>
      </c>
      <c r="J442" s="338">
        <v>95</v>
      </c>
      <c r="K442" s="339">
        <f t="shared" si="28"/>
        <v>-455</v>
      </c>
      <c r="L442" s="343">
        <f t="shared" si="32"/>
        <v>17.272727272727273</v>
      </c>
      <c r="N442" s="344">
        <f t="shared" si="27"/>
        <v>0</v>
      </c>
    </row>
    <row r="443" spans="1:14" ht="12.75" customHeight="1">
      <c r="A443" s="326">
        <f t="shared" si="26"/>
        <v>442</v>
      </c>
      <c r="B443" s="486">
        <v>5600</v>
      </c>
      <c r="C443" s="356">
        <v>3639</v>
      </c>
      <c r="D443" s="356" t="s">
        <v>41</v>
      </c>
      <c r="E443" s="356">
        <v>5363</v>
      </c>
      <c r="F443" s="259" t="s">
        <v>317</v>
      </c>
      <c r="G443" s="419"/>
      <c r="H443" s="337"/>
      <c r="I443" s="337">
        <v>25</v>
      </c>
      <c r="J443" s="338">
        <v>40</v>
      </c>
      <c r="K443" s="339">
        <f t="shared" si="28"/>
        <v>15</v>
      </c>
      <c r="L443" s="343">
        <f t="shared" si="32"/>
        <v>160</v>
      </c>
      <c r="N443" s="344">
        <f t="shared" si="27"/>
        <v>0</v>
      </c>
    </row>
    <row r="444" spans="1:14" ht="12.75" customHeight="1">
      <c r="A444" s="326">
        <f t="shared" si="26"/>
        <v>443</v>
      </c>
      <c r="B444" s="486"/>
      <c r="C444" s="381" t="s">
        <v>405</v>
      </c>
      <c r="D444" s="356"/>
      <c r="E444" s="356"/>
      <c r="F444" s="356"/>
      <c r="G444" s="419"/>
      <c r="H444" s="349">
        <f>SUBTOTAL(9,H437:H442)</f>
        <v>2200</v>
      </c>
      <c r="I444" s="349">
        <f>SUBTOTAL(9,I435:I443)</f>
        <v>4200</v>
      </c>
      <c r="J444" s="349">
        <f>SUBTOTAL(9,J435:J443)</f>
        <v>3062</v>
      </c>
      <c r="K444" s="470">
        <f t="shared" si="28"/>
        <v>-1138</v>
      </c>
      <c r="L444" s="396">
        <f t="shared" si="32"/>
        <v>72.90476190476191</v>
      </c>
      <c r="N444" s="344">
        <f t="shared" si="27"/>
        <v>0</v>
      </c>
    </row>
    <row r="445" spans="1:14" ht="12.75" customHeight="1">
      <c r="A445" s="326">
        <f t="shared" si="26"/>
        <v>444</v>
      </c>
      <c r="B445" s="486">
        <v>5600</v>
      </c>
      <c r="C445" s="356">
        <v>3699</v>
      </c>
      <c r="D445" s="516" t="s">
        <v>452</v>
      </c>
      <c r="E445" s="356">
        <v>5166</v>
      </c>
      <c r="F445" s="356" t="s">
        <v>315</v>
      </c>
      <c r="G445" s="419"/>
      <c r="H445" s="467"/>
      <c r="I445" s="467">
        <v>100</v>
      </c>
      <c r="J445" s="361"/>
      <c r="K445" s="339">
        <f t="shared" si="28"/>
        <v>-100</v>
      </c>
      <c r="L445" s="490">
        <f t="shared" si="32"/>
        <v>0</v>
      </c>
      <c r="N445" s="344">
        <f t="shared" si="27"/>
        <v>0</v>
      </c>
    </row>
    <row r="446" spans="1:14" ht="12.75" customHeight="1">
      <c r="A446" s="326">
        <f t="shared" si="26"/>
        <v>445</v>
      </c>
      <c r="B446" s="486">
        <v>5600</v>
      </c>
      <c r="C446" s="356">
        <v>3699</v>
      </c>
      <c r="D446" s="516" t="s">
        <v>452</v>
      </c>
      <c r="E446" s="356">
        <v>5168</v>
      </c>
      <c r="F446" s="356" t="s">
        <v>449</v>
      </c>
      <c r="G446" s="419"/>
      <c r="H446" s="467"/>
      <c r="I446" s="467">
        <v>60</v>
      </c>
      <c r="J446" s="361"/>
      <c r="K446" s="339">
        <f t="shared" si="28"/>
        <v>-60</v>
      </c>
      <c r="L446" s="490">
        <f t="shared" si="32"/>
        <v>0</v>
      </c>
      <c r="N446" s="344">
        <f t="shared" si="27"/>
        <v>0</v>
      </c>
    </row>
    <row r="447" spans="1:14" ht="12.75" customHeight="1">
      <c r="A447" s="326">
        <f t="shared" si="26"/>
        <v>446</v>
      </c>
      <c r="B447" s="486">
        <v>5600</v>
      </c>
      <c r="C447" s="356">
        <v>3699</v>
      </c>
      <c r="D447" s="516" t="s">
        <v>452</v>
      </c>
      <c r="E447" s="356">
        <v>5169</v>
      </c>
      <c r="F447" s="259" t="s">
        <v>316</v>
      </c>
      <c r="G447" s="419"/>
      <c r="H447" s="467"/>
      <c r="I447" s="467">
        <v>1526</v>
      </c>
      <c r="J447" s="361">
        <v>426</v>
      </c>
      <c r="K447" s="339">
        <f t="shared" si="28"/>
        <v>-1100</v>
      </c>
      <c r="L447" s="343">
        <f t="shared" si="32"/>
        <v>27.916120576671034</v>
      </c>
      <c r="N447" s="344">
        <f t="shared" si="27"/>
        <v>0</v>
      </c>
    </row>
    <row r="448" spans="1:14" ht="12.75" customHeight="1">
      <c r="A448" s="326">
        <f t="shared" si="26"/>
        <v>447</v>
      </c>
      <c r="B448" s="486"/>
      <c r="C448" s="381" t="s">
        <v>453</v>
      </c>
      <c r="D448" s="356"/>
      <c r="E448" s="356"/>
      <c r="F448" s="356"/>
      <c r="G448" s="419"/>
      <c r="H448" s="349"/>
      <c r="I448" s="349">
        <f>SUBTOTAL(9,I445:I447)</f>
        <v>1686</v>
      </c>
      <c r="J448" s="349">
        <f>SUBTOTAL(9,J445:J447)</f>
        <v>426</v>
      </c>
      <c r="K448" s="395">
        <f t="shared" si="28"/>
        <v>-1260</v>
      </c>
      <c r="L448" s="396">
        <f t="shared" si="32"/>
        <v>25.26690391459075</v>
      </c>
      <c r="N448" s="344">
        <f t="shared" si="27"/>
        <v>0</v>
      </c>
    </row>
    <row r="449" spans="1:14" ht="12.75" customHeight="1">
      <c r="A449" s="326">
        <f t="shared" si="26"/>
        <v>448</v>
      </c>
      <c r="B449" s="486">
        <v>5600</v>
      </c>
      <c r="C449" s="356">
        <v>3745</v>
      </c>
      <c r="D449" s="259" t="s">
        <v>2</v>
      </c>
      <c r="E449" s="356">
        <v>5169</v>
      </c>
      <c r="F449" s="259" t="s">
        <v>316</v>
      </c>
      <c r="G449" s="419" t="s">
        <v>351</v>
      </c>
      <c r="H449" s="337">
        <v>200</v>
      </c>
      <c r="I449" s="337">
        <v>230</v>
      </c>
      <c r="J449" s="338">
        <v>46</v>
      </c>
      <c r="K449" s="339">
        <f t="shared" si="28"/>
        <v>-184</v>
      </c>
      <c r="L449" s="343">
        <f t="shared" si="32"/>
        <v>20</v>
      </c>
      <c r="N449" s="344">
        <f t="shared" si="27"/>
        <v>0</v>
      </c>
    </row>
    <row r="450" spans="1:14" ht="12.75" customHeight="1">
      <c r="A450" s="326">
        <f t="shared" si="26"/>
        <v>449</v>
      </c>
      <c r="B450" s="486"/>
      <c r="C450" s="381" t="s">
        <v>406</v>
      </c>
      <c r="D450" s="381"/>
      <c r="E450" s="381"/>
      <c r="F450" s="381"/>
      <c r="G450" s="406"/>
      <c r="H450" s="349">
        <f>SUBTOTAL(9,H449:H449)</f>
        <v>200</v>
      </c>
      <c r="I450" s="349">
        <f>SUBTOTAL(9,I449:I449)</f>
        <v>230</v>
      </c>
      <c r="J450" s="349">
        <f>SUBTOTAL(9,J449:J449)</f>
        <v>46</v>
      </c>
      <c r="K450" s="513">
        <f t="shared" si="28"/>
        <v>-184</v>
      </c>
      <c r="L450" s="514">
        <f t="shared" si="32"/>
        <v>20</v>
      </c>
      <c r="N450" s="344">
        <f t="shared" si="27"/>
        <v>0</v>
      </c>
    </row>
    <row r="451" spans="1:14" ht="12.75" customHeight="1">
      <c r="A451" s="326">
        <f t="shared" si="26"/>
        <v>450</v>
      </c>
      <c r="B451" s="517">
        <v>5600</v>
      </c>
      <c r="C451" s="260">
        <v>3792</v>
      </c>
      <c r="D451" s="260" t="s">
        <v>8</v>
      </c>
      <c r="E451" s="260">
        <v>5137</v>
      </c>
      <c r="F451" s="356" t="s">
        <v>346</v>
      </c>
      <c r="G451" s="518" t="s">
        <v>351</v>
      </c>
      <c r="H451" s="519"/>
      <c r="I451" s="519">
        <v>1028</v>
      </c>
      <c r="J451" s="519">
        <v>882</v>
      </c>
      <c r="K451" s="339">
        <f t="shared" si="28"/>
        <v>-146</v>
      </c>
      <c r="L451" s="343">
        <f t="shared" si="32"/>
        <v>85.7976653696498</v>
      </c>
      <c r="N451" s="344">
        <f t="shared" si="27"/>
        <v>0</v>
      </c>
    </row>
    <row r="452" spans="1:14" ht="12.75" customHeight="1">
      <c r="A452" s="326">
        <f aca="true" t="shared" si="33" ref="A452:A515">A451+1</f>
        <v>451</v>
      </c>
      <c r="B452" s="517">
        <v>5600</v>
      </c>
      <c r="C452" s="260">
        <v>3792</v>
      </c>
      <c r="D452" s="260" t="s">
        <v>8</v>
      </c>
      <c r="E452" s="260">
        <v>5169</v>
      </c>
      <c r="F452" s="356" t="s">
        <v>316</v>
      </c>
      <c r="G452" s="518" t="s">
        <v>351</v>
      </c>
      <c r="H452" s="519"/>
      <c r="I452" s="519">
        <v>72</v>
      </c>
      <c r="J452" s="519"/>
      <c r="K452" s="339">
        <f t="shared" si="28"/>
        <v>-72</v>
      </c>
      <c r="L452" s="343">
        <f t="shared" si="32"/>
        <v>0</v>
      </c>
      <c r="N452" s="344">
        <f aca="true" t="shared" si="34" ref="N452:N515">I452-J452+K452</f>
        <v>0</v>
      </c>
    </row>
    <row r="453" spans="1:14" ht="12.75" customHeight="1">
      <c r="A453" s="326">
        <f t="shared" si="33"/>
        <v>452</v>
      </c>
      <c r="B453" s="517"/>
      <c r="C453" s="503" t="s">
        <v>429</v>
      </c>
      <c r="D453" s="260"/>
      <c r="E453" s="260"/>
      <c r="F453" s="260"/>
      <c r="G453" s="518"/>
      <c r="H453" s="519"/>
      <c r="I453" s="429">
        <f>SUBTOTAL(9,I451:I452)</f>
        <v>1100</v>
      </c>
      <c r="J453" s="429">
        <f>SUBTOTAL(9,J451:J452)</f>
        <v>882</v>
      </c>
      <c r="K453" s="395">
        <f t="shared" si="28"/>
        <v>-218</v>
      </c>
      <c r="L453" s="396">
        <f t="shared" si="32"/>
        <v>80.18181818181817</v>
      </c>
      <c r="N453" s="344">
        <f t="shared" si="34"/>
        <v>0</v>
      </c>
    </row>
    <row r="454" spans="1:14" ht="13.5" customHeight="1" thickBot="1">
      <c r="A454" s="326">
        <f t="shared" si="33"/>
        <v>453</v>
      </c>
      <c r="B454" s="366" t="s">
        <v>16</v>
      </c>
      <c r="C454" s="367"/>
      <c r="D454" s="367"/>
      <c r="E454" s="367"/>
      <c r="F454" s="367"/>
      <c r="G454" s="368"/>
      <c r="H454" s="369">
        <f>SUBTOTAL(9,H433:H450)</f>
        <v>2780</v>
      </c>
      <c r="I454" s="369">
        <f>SUBTOTAL(9,I406:I453)</f>
        <v>175305</v>
      </c>
      <c r="J454" s="369">
        <f>SUBTOTAL(9,J406:J453)</f>
        <v>146850</v>
      </c>
      <c r="K454" s="370">
        <f t="shared" si="28"/>
        <v>-28455</v>
      </c>
      <c r="L454" s="371">
        <f>J454/I454*100</f>
        <v>83.76828955249422</v>
      </c>
      <c r="N454" s="344">
        <f t="shared" si="34"/>
        <v>0</v>
      </c>
    </row>
    <row r="455" spans="1:14" ht="12.75">
      <c r="A455" s="326">
        <f t="shared" si="33"/>
        <v>454</v>
      </c>
      <c r="B455" s="487"/>
      <c r="C455" s="381"/>
      <c r="D455" s="381"/>
      <c r="E455" s="381"/>
      <c r="F455" s="381"/>
      <c r="G455" s="406"/>
      <c r="H455" s="504">
        <v>0</v>
      </c>
      <c r="I455" s="504"/>
      <c r="J455" s="505"/>
      <c r="K455" s="470"/>
      <c r="L455" s="471"/>
      <c r="N455" s="344">
        <f t="shared" si="34"/>
        <v>0</v>
      </c>
    </row>
    <row r="456" spans="1:14" ht="15.75">
      <c r="A456" s="326">
        <f t="shared" si="33"/>
        <v>455</v>
      </c>
      <c r="B456" s="380" t="s">
        <v>45</v>
      </c>
      <c r="C456" s="381"/>
      <c r="D456" s="381"/>
      <c r="E456" s="381"/>
      <c r="F456" s="381"/>
      <c r="G456" s="406"/>
      <c r="H456" s="520">
        <v>0</v>
      </c>
      <c r="I456" s="520"/>
      <c r="J456" s="521"/>
      <c r="K456" s="522"/>
      <c r="L456" s="523"/>
      <c r="N456" s="344">
        <f t="shared" si="34"/>
        <v>0</v>
      </c>
    </row>
    <row r="457" spans="1:14" ht="12.75" customHeight="1">
      <c r="A457" s="326">
        <f t="shared" si="33"/>
        <v>456</v>
      </c>
      <c r="B457" s="486">
        <v>5700</v>
      </c>
      <c r="C457" s="356">
        <v>2310</v>
      </c>
      <c r="D457" s="356" t="s">
        <v>5</v>
      </c>
      <c r="E457" s="356">
        <v>5166</v>
      </c>
      <c r="F457" s="356" t="s">
        <v>315</v>
      </c>
      <c r="G457" s="419"/>
      <c r="H457" s="337">
        <v>200</v>
      </c>
      <c r="I457" s="337"/>
      <c r="J457" s="338"/>
      <c r="K457" s="339">
        <f aca="true" t="shared" si="35" ref="K457:K480">J457-I457</f>
        <v>0</v>
      </c>
      <c r="L457" s="343"/>
      <c r="N457" s="344">
        <f t="shared" si="34"/>
        <v>0</v>
      </c>
    </row>
    <row r="458" spans="1:14" ht="12.75" customHeight="1">
      <c r="A458" s="326">
        <f t="shared" si="33"/>
        <v>457</v>
      </c>
      <c r="B458" s="486">
        <v>5700</v>
      </c>
      <c r="C458" s="356">
        <v>2310</v>
      </c>
      <c r="D458" s="356" t="s">
        <v>5</v>
      </c>
      <c r="E458" s="356">
        <v>5169</v>
      </c>
      <c r="F458" s="259" t="s">
        <v>316</v>
      </c>
      <c r="G458" s="336"/>
      <c r="H458" s="337">
        <v>200</v>
      </c>
      <c r="I458" s="337"/>
      <c r="J458" s="338"/>
      <c r="K458" s="339">
        <f t="shared" si="35"/>
        <v>0</v>
      </c>
      <c r="L458" s="343"/>
      <c r="N458" s="344">
        <f t="shared" si="34"/>
        <v>0</v>
      </c>
    </row>
    <row r="459" spans="1:14" ht="12.75" customHeight="1">
      <c r="A459" s="326">
        <f t="shared" si="33"/>
        <v>458</v>
      </c>
      <c r="B459" s="487"/>
      <c r="C459" s="381" t="s">
        <v>435</v>
      </c>
      <c r="D459" s="381"/>
      <c r="E459" s="381"/>
      <c r="F459" s="347"/>
      <c r="G459" s="348"/>
      <c r="H459" s="349">
        <f>SUBTOTAL(9,H457:H458)</f>
        <v>400</v>
      </c>
      <c r="I459" s="349">
        <f>SUBTOTAL(9,I457:I458)</f>
        <v>0</v>
      </c>
      <c r="J459" s="349">
        <f>SUBTOTAL(9,J457:J458)</f>
        <v>0</v>
      </c>
      <c r="K459" s="470">
        <f t="shared" si="35"/>
        <v>0</v>
      </c>
      <c r="L459" s="471"/>
      <c r="N459" s="344">
        <f t="shared" si="34"/>
        <v>0</v>
      </c>
    </row>
    <row r="460" spans="1:14" ht="12.75" customHeight="1">
      <c r="A460" s="326">
        <f t="shared" si="33"/>
        <v>459</v>
      </c>
      <c r="B460" s="486">
        <v>5700</v>
      </c>
      <c r="C460" s="356">
        <v>2321</v>
      </c>
      <c r="D460" s="356" t="s">
        <v>454</v>
      </c>
      <c r="E460" s="356">
        <v>5166</v>
      </c>
      <c r="F460" s="356" t="s">
        <v>315</v>
      </c>
      <c r="G460" s="419"/>
      <c r="H460" s="337">
        <v>1900</v>
      </c>
      <c r="I460" s="337"/>
      <c r="J460" s="338"/>
      <c r="K460" s="339">
        <f t="shared" si="35"/>
        <v>0</v>
      </c>
      <c r="L460" s="343"/>
      <c r="N460" s="344">
        <f t="shared" si="34"/>
        <v>0</v>
      </c>
    </row>
    <row r="461" spans="1:14" ht="12.75" customHeight="1">
      <c r="A461" s="326">
        <f t="shared" si="33"/>
        <v>460</v>
      </c>
      <c r="B461" s="486">
        <v>5700</v>
      </c>
      <c r="C461" s="356">
        <v>2321</v>
      </c>
      <c r="D461" s="356" t="s">
        <v>454</v>
      </c>
      <c r="E461" s="356">
        <v>5169</v>
      </c>
      <c r="F461" s="259" t="s">
        <v>316</v>
      </c>
      <c r="G461" s="336"/>
      <c r="H461" s="337">
        <v>350</v>
      </c>
      <c r="I461" s="337"/>
      <c r="J461" s="338"/>
      <c r="K461" s="339">
        <f t="shared" si="35"/>
        <v>0</v>
      </c>
      <c r="L461" s="343"/>
      <c r="N461" s="344">
        <f t="shared" si="34"/>
        <v>0</v>
      </c>
    </row>
    <row r="462" spans="1:14" ht="12.75" customHeight="1">
      <c r="A462" s="326">
        <f t="shared" si="33"/>
        <v>461</v>
      </c>
      <c r="B462" s="486">
        <v>5700</v>
      </c>
      <c r="C462" s="356">
        <v>2321</v>
      </c>
      <c r="D462" s="356" t="s">
        <v>454</v>
      </c>
      <c r="E462" s="356">
        <v>5171</v>
      </c>
      <c r="F462" s="356" t="s">
        <v>384</v>
      </c>
      <c r="G462" s="336"/>
      <c r="H462" s="337">
        <v>100</v>
      </c>
      <c r="I462" s="337"/>
      <c r="J462" s="338"/>
      <c r="K462" s="339">
        <f t="shared" si="35"/>
        <v>0</v>
      </c>
      <c r="L462" s="343"/>
      <c r="N462" s="344">
        <f t="shared" si="34"/>
        <v>0</v>
      </c>
    </row>
    <row r="463" spans="1:14" ht="12.75" customHeight="1">
      <c r="A463" s="326">
        <f t="shared" si="33"/>
        <v>462</v>
      </c>
      <c r="B463" s="486">
        <v>5700</v>
      </c>
      <c r="C463" s="356">
        <v>2321</v>
      </c>
      <c r="D463" s="356" t="s">
        <v>454</v>
      </c>
      <c r="E463" s="356">
        <v>5192</v>
      </c>
      <c r="F463" s="259" t="s">
        <v>335</v>
      </c>
      <c r="G463" s="336"/>
      <c r="H463" s="337">
        <v>20</v>
      </c>
      <c r="I463" s="337"/>
      <c r="J463" s="338"/>
      <c r="K463" s="339">
        <f t="shared" si="35"/>
        <v>0</v>
      </c>
      <c r="L463" s="343"/>
      <c r="N463" s="344">
        <f t="shared" si="34"/>
        <v>0</v>
      </c>
    </row>
    <row r="464" spans="1:14" ht="12.75" customHeight="1">
      <c r="A464" s="326">
        <f t="shared" si="33"/>
        <v>463</v>
      </c>
      <c r="B464" s="487"/>
      <c r="C464" s="381" t="s">
        <v>436</v>
      </c>
      <c r="D464" s="381"/>
      <c r="E464" s="381"/>
      <c r="F464" s="347"/>
      <c r="G464" s="348"/>
      <c r="H464" s="349">
        <f>SUBTOTAL(9,H460:H463)</f>
        <v>2370</v>
      </c>
      <c r="I464" s="349">
        <f>SUBTOTAL(9,I460:I463)</f>
        <v>0</v>
      </c>
      <c r="J464" s="349">
        <f>SUBTOTAL(9,J460:J463)</f>
        <v>0</v>
      </c>
      <c r="K464" s="470">
        <f t="shared" si="35"/>
        <v>0</v>
      </c>
      <c r="L464" s="471"/>
      <c r="N464" s="344">
        <f t="shared" si="34"/>
        <v>0</v>
      </c>
    </row>
    <row r="465" spans="1:14" ht="12.75" customHeight="1">
      <c r="A465" s="326">
        <f t="shared" si="33"/>
        <v>464</v>
      </c>
      <c r="B465" s="486">
        <v>5700</v>
      </c>
      <c r="C465" s="356">
        <v>3631</v>
      </c>
      <c r="D465" s="356" t="s">
        <v>10</v>
      </c>
      <c r="E465" s="356">
        <v>5166</v>
      </c>
      <c r="F465" s="356" t="s">
        <v>315</v>
      </c>
      <c r="G465" s="419"/>
      <c r="H465" s="337">
        <v>100</v>
      </c>
      <c r="I465" s="337"/>
      <c r="J465" s="338"/>
      <c r="K465" s="339">
        <f t="shared" si="35"/>
        <v>0</v>
      </c>
      <c r="L465" s="343"/>
      <c r="N465" s="344">
        <f t="shared" si="34"/>
        <v>0</v>
      </c>
    </row>
    <row r="466" spans="1:14" ht="12.75" customHeight="1">
      <c r="A466" s="326">
        <f t="shared" si="33"/>
        <v>465</v>
      </c>
      <c r="B466" s="486">
        <v>5700</v>
      </c>
      <c r="C466" s="356">
        <v>3631</v>
      </c>
      <c r="D466" s="356" t="s">
        <v>10</v>
      </c>
      <c r="E466" s="356">
        <v>5169</v>
      </c>
      <c r="F466" s="259" t="s">
        <v>316</v>
      </c>
      <c r="G466" s="336"/>
      <c r="H466" s="337">
        <v>154309</v>
      </c>
      <c r="I466" s="337">
        <v>13659</v>
      </c>
      <c r="J466" s="338">
        <v>13657</v>
      </c>
      <c r="K466" s="339">
        <f t="shared" si="35"/>
        <v>-2</v>
      </c>
      <c r="L466" s="343">
        <f aca="true" t="shared" si="36" ref="L466:L480">J466/I466*100</f>
        <v>99.98535763965151</v>
      </c>
      <c r="N466" s="344">
        <f t="shared" si="34"/>
        <v>0</v>
      </c>
    </row>
    <row r="467" spans="1:14" ht="12.75" customHeight="1">
      <c r="A467" s="326">
        <f t="shared" si="33"/>
        <v>466</v>
      </c>
      <c r="B467" s="486">
        <v>5700</v>
      </c>
      <c r="C467" s="356">
        <v>3631</v>
      </c>
      <c r="D467" s="356" t="s">
        <v>10</v>
      </c>
      <c r="E467" s="356">
        <v>5171</v>
      </c>
      <c r="F467" s="259" t="s">
        <v>384</v>
      </c>
      <c r="G467" s="336"/>
      <c r="H467" s="337">
        <v>100</v>
      </c>
      <c r="I467" s="337"/>
      <c r="J467" s="338"/>
      <c r="K467" s="339">
        <f t="shared" si="35"/>
        <v>0</v>
      </c>
      <c r="L467" s="343"/>
      <c r="N467" s="344">
        <f t="shared" si="34"/>
        <v>0</v>
      </c>
    </row>
    <row r="468" spans="1:14" ht="12.75" customHeight="1">
      <c r="A468" s="326">
        <f t="shared" si="33"/>
        <v>467</v>
      </c>
      <c r="B468" s="487"/>
      <c r="C468" s="381" t="s">
        <v>448</v>
      </c>
      <c r="D468" s="381"/>
      <c r="E468" s="381"/>
      <c r="F468" s="347"/>
      <c r="G468" s="348"/>
      <c r="H468" s="349">
        <f>SUBTOTAL(9,H465:H467)</f>
        <v>154509</v>
      </c>
      <c r="I468" s="349">
        <f>SUBTOTAL(9,I465:I467)</f>
        <v>13659</v>
      </c>
      <c r="J468" s="349">
        <f>SUBTOTAL(9,J465:J467)</f>
        <v>13657</v>
      </c>
      <c r="K468" s="470">
        <f t="shared" si="35"/>
        <v>-2</v>
      </c>
      <c r="L468" s="471">
        <f t="shared" si="36"/>
        <v>99.98535763965151</v>
      </c>
      <c r="N468" s="344">
        <f t="shared" si="34"/>
        <v>0</v>
      </c>
    </row>
    <row r="469" spans="1:14" ht="12.75" customHeight="1">
      <c r="A469" s="326">
        <f t="shared" si="33"/>
        <v>468</v>
      </c>
      <c r="B469" s="486">
        <v>5700</v>
      </c>
      <c r="C469" s="356">
        <v>3633</v>
      </c>
      <c r="D469" s="356" t="s">
        <v>455</v>
      </c>
      <c r="E469" s="356">
        <v>5166</v>
      </c>
      <c r="F469" s="356" t="s">
        <v>315</v>
      </c>
      <c r="G469" s="419"/>
      <c r="H469" s="337">
        <v>400</v>
      </c>
      <c r="I469" s="337"/>
      <c r="J469" s="338"/>
      <c r="K469" s="339">
        <f t="shared" si="35"/>
        <v>0</v>
      </c>
      <c r="L469" s="343"/>
      <c r="N469" s="344">
        <f t="shared" si="34"/>
        <v>0</v>
      </c>
    </row>
    <row r="470" spans="1:14" ht="12.75" customHeight="1">
      <c r="A470" s="326">
        <f t="shared" si="33"/>
        <v>469</v>
      </c>
      <c r="B470" s="486">
        <v>5700</v>
      </c>
      <c r="C470" s="356">
        <v>3633</v>
      </c>
      <c r="D470" s="356" t="s">
        <v>455</v>
      </c>
      <c r="E470" s="356">
        <v>5168</v>
      </c>
      <c r="F470" s="259" t="s">
        <v>424</v>
      </c>
      <c r="G470" s="419"/>
      <c r="H470" s="337">
        <v>60</v>
      </c>
      <c r="I470" s="337"/>
      <c r="J470" s="338"/>
      <c r="K470" s="339">
        <f t="shared" si="35"/>
        <v>0</v>
      </c>
      <c r="L470" s="343"/>
      <c r="N470" s="344">
        <f t="shared" si="34"/>
        <v>0</v>
      </c>
    </row>
    <row r="471" spans="1:14" ht="12.75" customHeight="1">
      <c r="A471" s="326">
        <f t="shared" si="33"/>
        <v>470</v>
      </c>
      <c r="B471" s="486">
        <v>5700</v>
      </c>
      <c r="C471" s="356">
        <v>3633</v>
      </c>
      <c r="D471" s="356" t="s">
        <v>455</v>
      </c>
      <c r="E471" s="356">
        <v>5169</v>
      </c>
      <c r="F471" s="259" t="s">
        <v>316</v>
      </c>
      <c r="G471" s="336"/>
      <c r="H471" s="337">
        <v>3922</v>
      </c>
      <c r="I471" s="337">
        <v>322</v>
      </c>
      <c r="J471" s="338">
        <v>322</v>
      </c>
      <c r="K471" s="339">
        <f t="shared" si="35"/>
        <v>0</v>
      </c>
      <c r="L471" s="343">
        <f t="shared" si="36"/>
        <v>100</v>
      </c>
      <c r="N471" s="344">
        <f t="shared" si="34"/>
        <v>0</v>
      </c>
    </row>
    <row r="472" spans="1:14" ht="12.75" customHeight="1">
      <c r="A472" s="326">
        <f t="shared" si="33"/>
        <v>471</v>
      </c>
      <c r="B472" s="486">
        <v>5700</v>
      </c>
      <c r="C472" s="356">
        <v>3633</v>
      </c>
      <c r="D472" s="356" t="s">
        <v>455</v>
      </c>
      <c r="E472" s="356">
        <v>5171</v>
      </c>
      <c r="F472" s="259" t="s">
        <v>384</v>
      </c>
      <c r="G472" s="336"/>
      <c r="H472" s="337">
        <v>200</v>
      </c>
      <c r="I472" s="337"/>
      <c r="J472" s="338"/>
      <c r="K472" s="339">
        <f t="shared" si="35"/>
        <v>0</v>
      </c>
      <c r="L472" s="343"/>
      <c r="N472" s="344">
        <f t="shared" si="34"/>
        <v>0</v>
      </c>
    </row>
    <row r="473" spans="1:14" ht="12.75" customHeight="1">
      <c r="A473" s="326">
        <f t="shared" si="33"/>
        <v>472</v>
      </c>
      <c r="B473" s="486">
        <v>5700</v>
      </c>
      <c r="C473" s="356">
        <v>3633</v>
      </c>
      <c r="D473" s="356" t="s">
        <v>455</v>
      </c>
      <c r="E473" s="356">
        <v>5192</v>
      </c>
      <c r="F473" s="259" t="s">
        <v>335</v>
      </c>
      <c r="G473" s="419"/>
      <c r="H473" s="337">
        <v>222</v>
      </c>
      <c r="I473" s="337"/>
      <c r="J473" s="338"/>
      <c r="K473" s="339">
        <f t="shared" si="35"/>
        <v>0</v>
      </c>
      <c r="L473" s="343"/>
      <c r="N473" s="344">
        <f t="shared" si="34"/>
        <v>0</v>
      </c>
    </row>
    <row r="474" spans="1:14" ht="12.75" customHeight="1">
      <c r="A474" s="326">
        <f t="shared" si="33"/>
        <v>473</v>
      </c>
      <c r="B474" s="486">
        <v>5700</v>
      </c>
      <c r="C474" s="356">
        <v>3633</v>
      </c>
      <c r="D474" s="356" t="s">
        <v>455</v>
      </c>
      <c r="E474" s="356">
        <v>5213</v>
      </c>
      <c r="F474" s="488" t="s">
        <v>431</v>
      </c>
      <c r="G474" s="336"/>
      <c r="H474" s="337">
        <v>13947</v>
      </c>
      <c r="I474" s="337"/>
      <c r="J474" s="338"/>
      <c r="K474" s="339">
        <f t="shared" si="35"/>
        <v>0</v>
      </c>
      <c r="L474" s="343"/>
      <c r="N474" s="344">
        <f t="shared" si="34"/>
        <v>0</v>
      </c>
    </row>
    <row r="475" spans="1:14" ht="12.75" customHeight="1">
      <c r="A475" s="326">
        <f t="shared" si="33"/>
        <v>474</v>
      </c>
      <c r="B475" s="487"/>
      <c r="C475" s="381" t="s">
        <v>450</v>
      </c>
      <c r="D475" s="381"/>
      <c r="E475" s="381"/>
      <c r="F475" s="381"/>
      <c r="G475" s="406"/>
      <c r="H475" s="349">
        <f>SUBTOTAL(9,H469:H474)</f>
        <v>18751</v>
      </c>
      <c r="I475" s="349">
        <f>SUBTOTAL(9,I469:I474)</f>
        <v>322</v>
      </c>
      <c r="J475" s="349">
        <f>SUBTOTAL(9,J469:J474)</f>
        <v>322</v>
      </c>
      <c r="K475" s="470">
        <f t="shared" si="35"/>
        <v>0</v>
      </c>
      <c r="L475" s="471">
        <f t="shared" si="36"/>
        <v>100</v>
      </c>
      <c r="N475" s="344">
        <f t="shared" si="34"/>
        <v>0</v>
      </c>
    </row>
    <row r="476" spans="1:14" ht="12.75" customHeight="1">
      <c r="A476" s="326">
        <f t="shared" si="33"/>
        <v>475</v>
      </c>
      <c r="B476" s="486">
        <v>5700</v>
      </c>
      <c r="C476" s="356">
        <v>3699</v>
      </c>
      <c r="D476" s="356" t="s">
        <v>456</v>
      </c>
      <c r="E476" s="356">
        <v>5166</v>
      </c>
      <c r="F476" s="356" t="s">
        <v>315</v>
      </c>
      <c r="G476" s="419"/>
      <c r="H476" s="337">
        <v>100</v>
      </c>
      <c r="I476" s="337"/>
      <c r="J476" s="338"/>
      <c r="K476" s="339">
        <f t="shared" si="35"/>
        <v>0</v>
      </c>
      <c r="L476" s="343"/>
      <c r="N476" s="344">
        <f t="shared" si="34"/>
        <v>0</v>
      </c>
    </row>
    <row r="477" spans="1:14" ht="12.75" customHeight="1">
      <c r="A477" s="326">
        <f t="shared" si="33"/>
        <v>476</v>
      </c>
      <c r="B477" s="486">
        <v>5700</v>
      </c>
      <c r="C477" s="356">
        <v>3699</v>
      </c>
      <c r="D477" s="356" t="s">
        <v>456</v>
      </c>
      <c r="E477" s="356">
        <v>5168</v>
      </c>
      <c r="F477" s="259" t="s">
        <v>424</v>
      </c>
      <c r="G477" s="419"/>
      <c r="H477" s="337">
        <v>60</v>
      </c>
      <c r="I477" s="337"/>
      <c r="J477" s="338"/>
      <c r="K477" s="339">
        <f t="shared" si="35"/>
        <v>0</v>
      </c>
      <c r="L477" s="343"/>
      <c r="N477" s="344">
        <f t="shared" si="34"/>
        <v>0</v>
      </c>
    </row>
    <row r="478" spans="1:14" ht="12.75" customHeight="1">
      <c r="A478" s="326">
        <f t="shared" si="33"/>
        <v>477</v>
      </c>
      <c r="B478" s="486">
        <v>5700</v>
      </c>
      <c r="C478" s="356">
        <v>3699</v>
      </c>
      <c r="D478" s="356" t="s">
        <v>456</v>
      </c>
      <c r="E478" s="356">
        <v>5169</v>
      </c>
      <c r="F478" s="259" t="s">
        <v>316</v>
      </c>
      <c r="G478" s="336"/>
      <c r="H478" s="337">
        <v>4000</v>
      </c>
      <c r="I478" s="337">
        <v>42</v>
      </c>
      <c r="J478" s="338">
        <v>42</v>
      </c>
      <c r="K478" s="339">
        <f t="shared" si="35"/>
        <v>0</v>
      </c>
      <c r="L478" s="343">
        <f t="shared" si="36"/>
        <v>100</v>
      </c>
      <c r="N478" s="344">
        <f t="shared" si="34"/>
        <v>0</v>
      </c>
    </row>
    <row r="479" spans="1:14" ht="12.75" customHeight="1">
      <c r="A479" s="326">
        <f t="shared" si="33"/>
        <v>478</v>
      </c>
      <c r="B479" s="487"/>
      <c r="C479" s="381" t="s">
        <v>453</v>
      </c>
      <c r="D479" s="381"/>
      <c r="E479" s="381"/>
      <c r="F479" s="347"/>
      <c r="G479" s="348"/>
      <c r="H479" s="349">
        <f>SUBTOTAL(9,H476:H478)</f>
        <v>4160</v>
      </c>
      <c r="I479" s="349">
        <f>SUBTOTAL(9,I476:I478)</f>
        <v>42</v>
      </c>
      <c r="J479" s="349">
        <f>SUBTOTAL(9,J476:J478)</f>
        <v>42</v>
      </c>
      <c r="K479" s="470">
        <f t="shared" si="35"/>
        <v>0</v>
      </c>
      <c r="L479" s="471">
        <f t="shared" si="36"/>
        <v>100</v>
      </c>
      <c r="N479" s="344">
        <f t="shared" si="34"/>
        <v>0</v>
      </c>
    </row>
    <row r="480" spans="1:14" ht="13.5" customHeight="1" thickBot="1">
      <c r="A480" s="326">
        <f t="shared" si="33"/>
        <v>479</v>
      </c>
      <c r="B480" s="366" t="s">
        <v>11</v>
      </c>
      <c r="C480" s="367"/>
      <c r="D480" s="367"/>
      <c r="E480" s="367"/>
      <c r="F480" s="367"/>
      <c r="G480" s="368"/>
      <c r="H480" s="369">
        <f>SUBTOTAL(9,H457:H479)</f>
        <v>180190</v>
      </c>
      <c r="I480" s="369">
        <f>SUBTOTAL(9,I457:I479)</f>
        <v>14023</v>
      </c>
      <c r="J480" s="369">
        <f>SUBTOTAL(9,J457:J479)</f>
        <v>14021</v>
      </c>
      <c r="K480" s="370">
        <f t="shared" si="35"/>
        <v>-2</v>
      </c>
      <c r="L480" s="371">
        <f t="shared" si="36"/>
        <v>99.98573771660843</v>
      </c>
      <c r="N480" s="344">
        <f t="shared" si="34"/>
        <v>0</v>
      </c>
    </row>
    <row r="481" spans="1:14" ht="12.75">
      <c r="A481" s="326">
        <f t="shared" si="33"/>
        <v>480</v>
      </c>
      <c r="B481" s="524"/>
      <c r="C481" s="525"/>
      <c r="D481" s="525"/>
      <c r="E481" s="525"/>
      <c r="F481" s="525"/>
      <c r="G481" s="526"/>
      <c r="H481" s="527">
        <v>0</v>
      </c>
      <c r="I481" s="527"/>
      <c r="J481" s="528"/>
      <c r="K481" s="529"/>
      <c r="L481" s="530"/>
      <c r="N481" s="344">
        <f t="shared" si="34"/>
        <v>0</v>
      </c>
    </row>
    <row r="482" spans="1:14" ht="15.75">
      <c r="A482" s="326">
        <f t="shared" si="33"/>
        <v>481</v>
      </c>
      <c r="B482" s="621" t="s">
        <v>210</v>
      </c>
      <c r="C482" s="622"/>
      <c r="D482" s="622"/>
      <c r="E482" s="472"/>
      <c r="F482" s="389"/>
      <c r="G482" s="420"/>
      <c r="H482" s="463">
        <v>0</v>
      </c>
      <c r="I482" s="463"/>
      <c r="J482" s="464"/>
      <c r="K482" s="465"/>
      <c r="L482" s="466"/>
      <c r="N482" s="344">
        <f t="shared" si="34"/>
        <v>0</v>
      </c>
    </row>
    <row r="483" spans="1:14" ht="12.75" customHeight="1">
      <c r="A483" s="326">
        <f t="shared" si="33"/>
        <v>482</v>
      </c>
      <c r="B483" s="533">
        <v>6200</v>
      </c>
      <c r="C483" s="356">
        <v>3612</v>
      </c>
      <c r="D483" s="356" t="s">
        <v>12</v>
      </c>
      <c r="E483" s="356">
        <v>5161</v>
      </c>
      <c r="F483" s="259" t="s">
        <v>381</v>
      </c>
      <c r="G483" s="419" t="s">
        <v>457</v>
      </c>
      <c r="H483" s="337">
        <v>50</v>
      </c>
      <c r="I483" s="337">
        <v>50</v>
      </c>
      <c r="J483" s="338"/>
      <c r="K483" s="339">
        <f aca="true" t="shared" si="37" ref="K483:K518">J483-I483</f>
        <v>-50</v>
      </c>
      <c r="L483" s="490">
        <f aca="true" t="shared" si="38" ref="L483:L518">J483/I483*100</f>
        <v>0</v>
      </c>
      <c r="N483" s="344">
        <f t="shared" si="34"/>
        <v>0</v>
      </c>
    </row>
    <row r="484" spans="1:14" ht="12.75" customHeight="1">
      <c r="A484" s="326">
        <f t="shared" si="33"/>
        <v>483</v>
      </c>
      <c r="B484" s="533">
        <v>6200</v>
      </c>
      <c r="C484" s="356">
        <v>3612</v>
      </c>
      <c r="D484" s="356" t="s">
        <v>12</v>
      </c>
      <c r="E484" s="356">
        <v>5164</v>
      </c>
      <c r="F484" s="356" t="s">
        <v>348</v>
      </c>
      <c r="G484" s="419" t="s">
        <v>457</v>
      </c>
      <c r="H484" s="337">
        <v>120</v>
      </c>
      <c r="I484" s="337">
        <v>120</v>
      </c>
      <c r="J484" s="338">
        <v>93</v>
      </c>
      <c r="K484" s="339">
        <f t="shared" si="37"/>
        <v>-27</v>
      </c>
      <c r="L484" s="343">
        <f t="shared" si="38"/>
        <v>77.5</v>
      </c>
      <c r="N484" s="344">
        <f t="shared" si="34"/>
        <v>0</v>
      </c>
    </row>
    <row r="485" spans="1:14" ht="12.75" customHeight="1">
      <c r="A485" s="326">
        <f t="shared" si="33"/>
        <v>484</v>
      </c>
      <c r="B485" s="533">
        <v>6200</v>
      </c>
      <c r="C485" s="356">
        <v>3612</v>
      </c>
      <c r="D485" s="356" t="s">
        <v>12</v>
      </c>
      <c r="E485" s="356">
        <v>5166</v>
      </c>
      <c r="F485" s="356" t="s">
        <v>315</v>
      </c>
      <c r="G485" s="419" t="s">
        <v>457</v>
      </c>
      <c r="H485" s="337">
        <v>5000</v>
      </c>
      <c r="I485" s="337">
        <v>4050</v>
      </c>
      <c r="J485" s="338">
        <v>1758</v>
      </c>
      <c r="K485" s="339">
        <f t="shared" si="37"/>
        <v>-2292</v>
      </c>
      <c r="L485" s="343">
        <f t="shared" si="38"/>
        <v>43.407407407407405</v>
      </c>
      <c r="N485" s="344">
        <f t="shared" si="34"/>
        <v>0</v>
      </c>
    </row>
    <row r="486" spans="1:14" ht="12.75" customHeight="1">
      <c r="A486" s="326">
        <f t="shared" si="33"/>
        <v>485</v>
      </c>
      <c r="B486" s="533">
        <v>6200</v>
      </c>
      <c r="C486" s="356">
        <v>3612</v>
      </c>
      <c r="D486" s="356" t="s">
        <v>12</v>
      </c>
      <c r="E486" s="356">
        <v>5169</v>
      </c>
      <c r="F486" s="259" t="s">
        <v>316</v>
      </c>
      <c r="G486" s="336" t="s">
        <v>457</v>
      </c>
      <c r="H486" s="337">
        <v>3500</v>
      </c>
      <c r="I486" s="337">
        <v>3500</v>
      </c>
      <c r="J486" s="338">
        <v>1116</v>
      </c>
      <c r="K486" s="339">
        <f t="shared" si="37"/>
        <v>-2384</v>
      </c>
      <c r="L486" s="343">
        <f t="shared" si="38"/>
        <v>31.885714285714283</v>
      </c>
      <c r="N486" s="344">
        <f t="shared" si="34"/>
        <v>0</v>
      </c>
    </row>
    <row r="487" spans="1:14" ht="12.75" customHeight="1">
      <c r="A487" s="326">
        <f t="shared" si="33"/>
        <v>486</v>
      </c>
      <c r="B487" s="533">
        <v>6200</v>
      </c>
      <c r="C487" s="356">
        <v>3612</v>
      </c>
      <c r="D487" s="356" t="s">
        <v>12</v>
      </c>
      <c r="E487" s="356">
        <v>5192</v>
      </c>
      <c r="F487" s="259" t="s">
        <v>335</v>
      </c>
      <c r="G487" s="336" t="s">
        <v>457</v>
      </c>
      <c r="H487" s="337">
        <v>550</v>
      </c>
      <c r="I487" s="337">
        <v>550</v>
      </c>
      <c r="J487" s="338">
        <v>159</v>
      </c>
      <c r="K487" s="339">
        <f t="shared" si="37"/>
        <v>-391</v>
      </c>
      <c r="L487" s="343">
        <f t="shared" si="38"/>
        <v>28.909090909090907</v>
      </c>
      <c r="N487" s="344">
        <f t="shared" si="34"/>
        <v>0</v>
      </c>
    </row>
    <row r="488" spans="1:14" ht="12.75" customHeight="1">
      <c r="A488" s="326">
        <f t="shared" si="33"/>
        <v>487</v>
      </c>
      <c r="B488" s="533">
        <v>6200</v>
      </c>
      <c r="C488" s="356">
        <v>3612</v>
      </c>
      <c r="D488" s="356" t="s">
        <v>12</v>
      </c>
      <c r="E488" s="356">
        <v>5213</v>
      </c>
      <c r="F488" s="488" t="s">
        <v>431</v>
      </c>
      <c r="G488" s="419" t="s">
        <v>457</v>
      </c>
      <c r="H488" s="337">
        <v>40000</v>
      </c>
      <c r="I488" s="337">
        <v>10000</v>
      </c>
      <c r="J488" s="338">
        <v>710</v>
      </c>
      <c r="K488" s="339">
        <f t="shared" si="37"/>
        <v>-9290</v>
      </c>
      <c r="L488" s="343">
        <f t="shared" si="38"/>
        <v>7.1</v>
      </c>
      <c r="N488" s="344">
        <f t="shared" si="34"/>
        <v>0</v>
      </c>
    </row>
    <row r="489" spans="1:14" ht="12.75" customHeight="1">
      <c r="A489" s="326">
        <f t="shared" si="33"/>
        <v>488</v>
      </c>
      <c r="B489" s="533">
        <v>6200</v>
      </c>
      <c r="C489" s="356">
        <v>3612</v>
      </c>
      <c r="D489" s="356" t="s">
        <v>12</v>
      </c>
      <c r="E489" s="356">
        <v>5222</v>
      </c>
      <c r="F489" s="359" t="s">
        <v>407</v>
      </c>
      <c r="G489" s="419" t="s">
        <v>457</v>
      </c>
      <c r="H489" s="337">
        <v>8000</v>
      </c>
      <c r="I489" s="337">
        <v>1000</v>
      </c>
      <c r="J489" s="338"/>
      <c r="K489" s="339">
        <f t="shared" si="37"/>
        <v>-1000</v>
      </c>
      <c r="L489" s="490">
        <f t="shared" si="38"/>
        <v>0</v>
      </c>
      <c r="N489" s="344">
        <f t="shared" si="34"/>
        <v>0</v>
      </c>
    </row>
    <row r="490" spans="1:14" ht="12.75" customHeight="1">
      <c r="A490" s="326">
        <f t="shared" si="33"/>
        <v>489</v>
      </c>
      <c r="B490" s="533">
        <v>6200</v>
      </c>
      <c r="C490" s="356">
        <v>3612</v>
      </c>
      <c r="D490" s="356" t="s">
        <v>12</v>
      </c>
      <c r="E490" s="356">
        <v>5225</v>
      </c>
      <c r="F490" s="259" t="s">
        <v>458</v>
      </c>
      <c r="G490" s="419" t="s">
        <v>457</v>
      </c>
      <c r="H490" s="337">
        <v>219000</v>
      </c>
      <c r="I490" s="337">
        <v>219000</v>
      </c>
      <c r="J490" s="338">
        <v>196363</v>
      </c>
      <c r="K490" s="339">
        <f t="shared" si="37"/>
        <v>-22637</v>
      </c>
      <c r="L490" s="343">
        <f t="shared" si="38"/>
        <v>89.66347031963471</v>
      </c>
      <c r="N490" s="344">
        <f t="shared" si="34"/>
        <v>0</v>
      </c>
    </row>
    <row r="491" spans="1:14" ht="12.75" customHeight="1">
      <c r="A491" s="326">
        <f t="shared" si="33"/>
        <v>490</v>
      </c>
      <c r="B491" s="533">
        <v>6200</v>
      </c>
      <c r="C491" s="356">
        <v>3612</v>
      </c>
      <c r="D491" s="356" t="s">
        <v>12</v>
      </c>
      <c r="E491" s="356">
        <v>5341</v>
      </c>
      <c r="F491" s="356" t="s">
        <v>432</v>
      </c>
      <c r="G491" s="419" t="s">
        <v>457</v>
      </c>
      <c r="H491" s="337">
        <v>50</v>
      </c>
      <c r="I491" s="337">
        <v>50</v>
      </c>
      <c r="J491" s="338"/>
      <c r="K491" s="339">
        <f t="shared" si="37"/>
        <v>-50</v>
      </c>
      <c r="L491" s="490">
        <f t="shared" si="38"/>
        <v>0</v>
      </c>
      <c r="N491" s="344">
        <f t="shared" si="34"/>
        <v>0</v>
      </c>
    </row>
    <row r="492" spans="1:14" ht="12.75" customHeight="1">
      <c r="A492" s="326">
        <f t="shared" si="33"/>
        <v>491</v>
      </c>
      <c r="B492" s="533">
        <v>6200</v>
      </c>
      <c r="C492" s="356">
        <v>3612</v>
      </c>
      <c r="D492" s="356" t="s">
        <v>12</v>
      </c>
      <c r="E492" s="356">
        <v>5341</v>
      </c>
      <c r="F492" s="356" t="s">
        <v>432</v>
      </c>
      <c r="G492" s="419" t="s">
        <v>459</v>
      </c>
      <c r="H492" s="337">
        <v>31000</v>
      </c>
      <c r="I492" s="337">
        <v>31000</v>
      </c>
      <c r="J492" s="338"/>
      <c r="K492" s="339">
        <f t="shared" si="37"/>
        <v>-31000</v>
      </c>
      <c r="L492" s="490">
        <f t="shared" si="38"/>
        <v>0</v>
      </c>
      <c r="N492" s="344">
        <f t="shared" si="34"/>
        <v>0</v>
      </c>
    </row>
    <row r="493" spans="1:14" ht="12.75" customHeight="1">
      <c r="A493" s="326">
        <f t="shared" si="33"/>
        <v>492</v>
      </c>
      <c r="B493" s="533">
        <v>6200</v>
      </c>
      <c r="C493" s="356">
        <v>3612</v>
      </c>
      <c r="D493" s="356" t="s">
        <v>12</v>
      </c>
      <c r="E493" s="356">
        <v>5361</v>
      </c>
      <c r="F493" s="356" t="s">
        <v>387</v>
      </c>
      <c r="G493" s="419" t="s">
        <v>457</v>
      </c>
      <c r="H493" s="337">
        <v>500</v>
      </c>
      <c r="I493" s="337">
        <v>500</v>
      </c>
      <c r="J493" s="338">
        <v>282</v>
      </c>
      <c r="K493" s="339">
        <f t="shared" si="37"/>
        <v>-218</v>
      </c>
      <c r="L493" s="343">
        <f t="shared" si="38"/>
        <v>56.39999999999999</v>
      </c>
      <c r="N493" s="344">
        <f t="shared" si="34"/>
        <v>0</v>
      </c>
    </row>
    <row r="494" spans="1:14" ht="12.75" customHeight="1">
      <c r="A494" s="326">
        <f t="shared" si="33"/>
        <v>493</v>
      </c>
      <c r="B494" s="533">
        <v>6200</v>
      </c>
      <c r="C494" s="356">
        <v>3612</v>
      </c>
      <c r="D494" s="356" t="s">
        <v>12</v>
      </c>
      <c r="E494" s="356">
        <v>5362</v>
      </c>
      <c r="F494" s="259" t="s">
        <v>325</v>
      </c>
      <c r="G494" s="419" t="s">
        <v>457</v>
      </c>
      <c r="H494" s="337">
        <v>25000</v>
      </c>
      <c r="I494" s="337">
        <v>25948</v>
      </c>
      <c r="J494" s="338">
        <v>25941</v>
      </c>
      <c r="K494" s="339">
        <f t="shared" si="37"/>
        <v>-7</v>
      </c>
      <c r="L494" s="343">
        <f t="shared" si="38"/>
        <v>99.97302296901496</v>
      </c>
      <c r="N494" s="344">
        <f t="shared" si="34"/>
        <v>0</v>
      </c>
    </row>
    <row r="495" spans="1:14" ht="12.75" customHeight="1">
      <c r="A495" s="326">
        <f t="shared" si="33"/>
        <v>494</v>
      </c>
      <c r="B495" s="533">
        <v>6200</v>
      </c>
      <c r="C495" s="356">
        <v>3612</v>
      </c>
      <c r="D495" s="356" t="s">
        <v>12</v>
      </c>
      <c r="E495" s="356">
        <v>5363</v>
      </c>
      <c r="F495" s="259" t="s">
        <v>317</v>
      </c>
      <c r="G495" s="419" t="s">
        <v>457</v>
      </c>
      <c r="H495" s="337"/>
      <c r="I495" s="337">
        <v>2</v>
      </c>
      <c r="J495" s="338">
        <v>2</v>
      </c>
      <c r="K495" s="339">
        <f t="shared" si="37"/>
        <v>0</v>
      </c>
      <c r="L495" s="343">
        <f t="shared" si="38"/>
        <v>100</v>
      </c>
      <c r="N495" s="344">
        <f t="shared" si="34"/>
        <v>0</v>
      </c>
    </row>
    <row r="496" spans="1:14" ht="12.75" customHeight="1">
      <c r="A496" s="326">
        <f t="shared" si="33"/>
        <v>495</v>
      </c>
      <c r="B496" s="533">
        <v>6200</v>
      </c>
      <c r="C496" s="356">
        <v>3612</v>
      </c>
      <c r="D496" s="356" t="s">
        <v>12</v>
      </c>
      <c r="E496" s="356">
        <v>5499</v>
      </c>
      <c r="F496" s="259" t="s">
        <v>391</v>
      </c>
      <c r="G496" s="419" t="s">
        <v>457</v>
      </c>
      <c r="H496" s="337">
        <v>3000</v>
      </c>
      <c r="I496" s="337">
        <v>3000</v>
      </c>
      <c r="J496" s="338">
        <v>2850</v>
      </c>
      <c r="K496" s="339">
        <f t="shared" si="37"/>
        <v>-150</v>
      </c>
      <c r="L496" s="343">
        <f t="shared" si="38"/>
        <v>95</v>
      </c>
      <c r="N496" s="344">
        <f t="shared" si="34"/>
        <v>0</v>
      </c>
    </row>
    <row r="497" spans="1:14" ht="12.75" customHeight="1">
      <c r="A497" s="326">
        <f t="shared" si="33"/>
        <v>496</v>
      </c>
      <c r="B497" s="487"/>
      <c r="C497" s="381" t="s">
        <v>362</v>
      </c>
      <c r="D497" s="381"/>
      <c r="E497" s="381"/>
      <c r="F497" s="347"/>
      <c r="G497" s="348"/>
      <c r="H497" s="349">
        <f>SUBTOTAL(9,H483:H496)</f>
        <v>335770</v>
      </c>
      <c r="I497" s="349">
        <f>SUBTOTAL(9,I483:I496)</f>
        <v>298770</v>
      </c>
      <c r="J497" s="349">
        <f>SUBTOTAL(9,J483:J496)</f>
        <v>229274</v>
      </c>
      <c r="K497" s="470">
        <f t="shared" si="37"/>
        <v>-69496</v>
      </c>
      <c r="L497" s="471">
        <f t="shared" si="38"/>
        <v>76.7392977875958</v>
      </c>
      <c r="N497" s="344">
        <f t="shared" si="34"/>
        <v>0</v>
      </c>
    </row>
    <row r="498" spans="1:14" ht="12.75" customHeight="1">
      <c r="A498" s="326">
        <f t="shared" si="33"/>
        <v>497</v>
      </c>
      <c r="B498" s="533">
        <v>6200</v>
      </c>
      <c r="C498" s="356">
        <v>3619</v>
      </c>
      <c r="D498" s="356" t="s">
        <v>460</v>
      </c>
      <c r="E498" s="356">
        <v>5161</v>
      </c>
      <c r="F498" s="259" t="s">
        <v>381</v>
      </c>
      <c r="G498" s="419" t="s">
        <v>459</v>
      </c>
      <c r="H498" s="337">
        <v>10</v>
      </c>
      <c r="I498" s="337">
        <v>10</v>
      </c>
      <c r="J498" s="338">
        <v>2</v>
      </c>
      <c r="K498" s="339">
        <f t="shared" si="37"/>
        <v>-8</v>
      </c>
      <c r="L498" s="343">
        <f t="shared" si="38"/>
        <v>20</v>
      </c>
      <c r="N498" s="344">
        <f t="shared" si="34"/>
        <v>0</v>
      </c>
    </row>
    <row r="499" spans="1:14" ht="12.75" customHeight="1">
      <c r="A499" s="326">
        <f t="shared" si="33"/>
        <v>498</v>
      </c>
      <c r="B499" s="533">
        <v>6200</v>
      </c>
      <c r="C499" s="356">
        <v>3619</v>
      </c>
      <c r="D499" s="356" t="s">
        <v>460</v>
      </c>
      <c r="E499" s="356">
        <v>5163</v>
      </c>
      <c r="F499" s="259" t="s">
        <v>323</v>
      </c>
      <c r="G499" s="419" t="s">
        <v>459</v>
      </c>
      <c r="H499" s="337">
        <v>850</v>
      </c>
      <c r="I499" s="337">
        <v>850</v>
      </c>
      <c r="J499" s="338">
        <v>352</v>
      </c>
      <c r="K499" s="339">
        <f t="shared" si="37"/>
        <v>-498</v>
      </c>
      <c r="L499" s="343">
        <f t="shared" si="38"/>
        <v>41.411764705882355</v>
      </c>
      <c r="N499" s="344">
        <f t="shared" si="34"/>
        <v>0</v>
      </c>
    </row>
    <row r="500" spans="1:14" ht="12.75" customHeight="1">
      <c r="A500" s="326">
        <f t="shared" si="33"/>
        <v>499</v>
      </c>
      <c r="B500" s="533">
        <v>6200</v>
      </c>
      <c r="C500" s="356">
        <v>3619</v>
      </c>
      <c r="D500" s="356" t="s">
        <v>460</v>
      </c>
      <c r="E500" s="356">
        <v>5361</v>
      </c>
      <c r="F500" s="259" t="s">
        <v>387</v>
      </c>
      <c r="G500" s="419" t="s">
        <v>459</v>
      </c>
      <c r="H500" s="337">
        <v>90</v>
      </c>
      <c r="I500" s="337">
        <v>90</v>
      </c>
      <c r="J500" s="338">
        <v>43</v>
      </c>
      <c r="K500" s="339">
        <f t="shared" si="37"/>
        <v>-47</v>
      </c>
      <c r="L500" s="343">
        <f t="shared" si="38"/>
        <v>47.77777777777778</v>
      </c>
      <c r="N500" s="344">
        <f t="shared" si="34"/>
        <v>0</v>
      </c>
    </row>
    <row r="501" spans="1:14" ht="12.75" customHeight="1">
      <c r="A501" s="326">
        <f t="shared" si="33"/>
        <v>500</v>
      </c>
      <c r="B501" s="533">
        <v>6200</v>
      </c>
      <c r="C501" s="356">
        <v>3619</v>
      </c>
      <c r="D501" s="356" t="s">
        <v>460</v>
      </c>
      <c r="E501" s="356">
        <v>5613</v>
      </c>
      <c r="F501" s="356" t="s">
        <v>461</v>
      </c>
      <c r="G501" s="419" t="s">
        <v>459</v>
      </c>
      <c r="H501" s="337">
        <v>26898</v>
      </c>
      <c r="I501" s="337">
        <v>12013</v>
      </c>
      <c r="J501" s="338">
        <v>1920</v>
      </c>
      <c r="K501" s="339">
        <f t="shared" si="37"/>
        <v>-10093</v>
      </c>
      <c r="L501" s="343">
        <f t="shared" si="38"/>
        <v>15.982685424123865</v>
      </c>
      <c r="N501" s="344">
        <f t="shared" si="34"/>
        <v>0</v>
      </c>
    </row>
    <row r="502" spans="1:14" ht="12.75" customHeight="1">
      <c r="A502" s="326">
        <f t="shared" si="33"/>
        <v>501</v>
      </c>
      <c r="B502" s="533">
        <v>6200</v>
      </c>
      <c r="C502" s="356">
        <v>3619</v>
      </c>
      <c r="D502" s="356" t="s">
        <v>460</v>
      </c>
      <c r="E502" s="356">
        <v>5660</v>
      </c>
      <c r="F502" s="356" t="s">
        <v>462</v>
      </c>
      <c r="G502" s="419" t="s">
        <v>459</v>
      </c>
      <c r="H502" s="337">
        <v>29000</v>
      </c>
      <c r="I502" s="337">
        <v>29000</v>
      </c>
      <c r="J502" s="338">
        <v>6328</v>
      </c>
      <c r="K502" s="339">
        <f t="shared" si="37"/>
        <v>-22672</v>
      </c>
      <c r="L502" s="343">
        <f t="shared" si="38"/>
        <v>21.820689655172416</v>
      </c>
      <c r="N502" s="344">
        <f t="shared" si="34"/>
        <v>0</v>
      </c>
    </row>
    <row r="503" spans="1:14" ht="12.75" customHeight="1">
      <c r="A503" s="326">
        <f t="shared" si="33"/>
        <v>502</v>
      </c>
      <c r="B503" s="533">
        <v>6200</v>
      </c>
      <c r="C503" s="356">
        <v>3619</v>
      </c>
      <c r="D503" s="356" t="s">
        <v>460</v>
      </c>
      <c r="E503" s="356">
        <v>5909</v>
      </c>
      <c r="F503" s="259" t="s">
        <v>318</v>
      </c>
      <c r="G503" s="419" t="s">
        <v>459</v>
      </c>
      <c r="H503" s="337"/>
      <c r="I503" s="337">
        <v>50</v>
      </c>
      <c r="J503" s="338">
        <v>28</v>
      </c>
      <c r="K503" s="339">
        <f t="shared" si="37"/>
        <v>-22</v>
      </c>
      <c r="L503" s="343">
        <f t="shared" si="38"/>
        <v>56.00000000000001</v>
      </c>
      <c r="N503" s="344">
        <f t="shared" si="34"/>
        <v>0</v>
      </c>
    </row>
    <row r="504" spans="1:14" ht="12.75" customHeight="1">
      <c r="A504" s="326">
        <f t="shared" si="33"/>
        <v>503</v>
      </c>
      <c r="B504" s="487"/>
      <c r="C504" s="381" t="s">
        <v>463</v>
      </c>
      <c r="D504" s="381"/>
      <c r="E504" s="381"/>
      <c r="F504" s="347"/>
      <c r="G504" s="348"/>
      <c r="H504" s="349">
        <f>SUBTOTAL(9,H498:H502)</f>
        <v>56848</v>
      </c>
      <c r="I504" s="349">
        <f>SUBTOTAL(9,I498:I503)</f>
        <v>42013</v>
      </c>
      <c r="J504" s="349">
        <f>SUBTOTAL(9,J498:J503)</f>
        <v>8673</v>
      </c>
      <c r="K504" s="470">
        <f t="shared" si="37"/>
        <v>-33340</v>
      </c>
      <c r="L504" s="471">
        <f t="shared" si="38"/>
        <v>20.643610311094186</v>
      </c>
      <c r="N504" s="344">
        <f t="shared" si="34"/>
        <v>0</v>
      </c>
    </row>
    <row r="505" spans="1:14" ht="13.5" customHeight="1" thickBot="1">
      <c r="A505" s="326">
        <f t="shared" si="33"/>
        <v>504</v>
      </c>
      <c r="B505" s="366" t="s">
        <v>78</v>
      </c>
      <c r="C505" s="367"/>
      <c r="D505" s="367"/>
      <c r="E505" s="367"/>
      <c r="F505" s="367"/>
      <c r="G505" s="368"/>
      <c r="H505" s="369">
        <f>SUBTOTAL(9,H483:H504)</f>
        <v>392618</v>
      </c>
      <c r="I505" s="369">
        <f>SUBTOTAL(9,I483:I504)</f>
        <v>340783</v>
      </c>
      <c r="J505" s="369">
        <f>SUBTOTAL(9,J483:J504)</f>
        <v>237947</v>
      </c>
      <c r="K505" s="370">
        <f t="shared" si="37"/>
        <v>-102836</v>
      </c>
      <c r="L505" s="371">
        <f t="shared" si="38"/>
        <v>69.82361209332625</v>
      </c>
      <c r="N505" s="344">
        <f t="shared" si="34"/>
        <v>0</v>
      </c>
    </row>
    <row r="506" spans="1:14" ht="12.75">
      <c r="A506" s="326">
        <f t="shared" si="33"/>
        <v>505</v>
      </c>
      <c r="B506" s="487"/>
      <c r="C506" s="381"/>
      <c r="D506" s="381"/>
      <c r="E506" s="381"/>
      <c r="F506" s="381"/>
      <c r="G506" s="406"/>
      <c r="H506" s="534">
        <v>0</v>
      </c>
      <c r="I506" s="504"/>
      <c r="J506" s="505"/>
      <c r="K506" s="470"/>
      <c r="L506" s="535"/>
      <c r="N506" s="344">
        <f t="shared" si="34"/>
        <v>0</v>
      </c>
    </row>
    <row r="507" spans="1:14" ht="15.75">
      <c r="A507" s="326">
        <f t="shared" si="33"/>
        <v>506</v>
      </c>
      <c r="B507" s="621" t="s">
        <v>197</v>
      </c>
      <c r="C507" s="622"/>
      <c r="D507" s="622"/>
      <c r="E507" s="472"/>
      <c r="F507" s="389"/>
      <c r="G507" s="420"/>
      <c r="H507" s="463">
        <v>0</v>
      </c>
      <c r="I507" s="463"/>
      <c r="J507" s="464"/>
      <c r="K507" s="465"/>
      <c r="L507" s="466"/>
      <c r="N507" s="344">
        <f t="shared" si="34"/>
        <v>0</v>
      </c>
    </row>
    <row r="508" spans="1:14" ht="12.75" customHeight="1">
      <c r="A508" s="326">
        <f t="shared" si="33"/>
        <v>507</v>
      </c>
      <c r="B508" s="533">
        <v>6300</v>
      </c>
      <c r="C508" s="472">
        <v>3639</v>
      </c>
      <c r="D508" s="356" t="s">
        <v>41</v>
      </c>
      <c r="E508" s="472">
        <v>5164</v>
      </c>
      <c r="F508" s="259" t="s">
        <v>348</v>
      </c>
      <c r="G508" s="420"/>
      <c r="H508" s="463"/>
      <c r="I508" s="536">
        <v>3</v>
      </c>
      <c r="J508" s="537">
        <v>3</v>
      </c>
      <c r="K508" s="339">
        <f>J508-I508</f>
        <v>0</v>
      </c>
      <c r="L508" s="466"/>
      <c r="N508" s="344">
        <f t="shared" si="34"/>
        <v>0</v>
      </c>
    </row>
    <row r="509" spans="1:14" ht="12.75" customHeight="1">
      <c r="A509" s="326">
        <f t="shared" si="33"/>
        <v>508</v>
      </c>
      <c r="B509" s="533">
        <v>6300</v>
      </c>
      <c r="C509" s="472">
        <v>3639</v>
      </c>
      <c r="D509" s="356" t="s">
        <v>41</v>
      </c>
      <c r="E509" s="472">
        <v>5166</v>
      </c>
      <c r="F509" s="259" t="s">
        <v>315</v>
      </c>
      <c r="G509" s="336"/>
      <c r="H509" s="337">
        <v>5000</v>
      </c>
      <c r="I509" s="337">
        <v>5000</v>
      </c>
      <c r="J509" s="338">
        <v>2751</v>
      </c>
      <c r="K509" s="339">
        <f>J509-I509</f>
        <v>-2249</v>
      </c>
      <c r="L509" s="343">
        <f t="shared" si="38"/>
        <v>55.02</v>
      </c>
      <c r="N509" s="344">
        <f t="shared" si="34"/>
        <v>0</v>
      </c>
    </row>
    <row r="510" spans="1:14" ht="12.75" customHeight="1">
      <c r="A510" s="326">
        <f t="shared" si="33"/>
        <v>509</v>
      </c>
      <c r="B510" s="533">
        <v>6300</v>
      </c>
      <c r="C510" s="472">
        <v>3639</v>
      </c>
      <c r="D510" s="356" t="s">
        <v>41</v>
      </c>
      <c r="E510" s="472">
        <v>5169</v>
      </c>
      <c r="F510" s="259" t="s">
        <v>316</v>
      </c>
      <c r="G510" s="336"/>
      <c r="H510" s="337">
        <v>4000</v>
      </c>
      <c r="I510" s="337">
        <v>4000</v>
      </c>
      <c r="J510" s="338">
        <v>2909</v>
      </c>
      <c r="K510" s="339">
        <f>J510-I510</f>
        <v>-1091</v>
      </c>
      <c r="L510" s="343">
        <f>J510/I510*100</f>
        <v>72.725</v>
      </c>
      <c r="N510" s="344">
        <f t="shared" si="34"/>
        <v>0</v>
      </c>
    </row>
    <row r="511" spans="1:14" ht="12.75" customHeight="1">
      <c r="A511" s="326">
        <f t="shared" si="33"/>
        <v>510</v>
      </c>
      <c r="B511" s="533">
        <v>6300</v>
      </c>
      <c r="C511" s="472">
        <v>3639</v>
      </c>
      <c r="D511" s="356" t="s">
        <v>41</v>
      </c>
      <c r="E511" s="472">
        <v>5192</v>
      </c>
      <c r="F511" s="259" t="s">
        <v>335</v>
      </c>
      <c r="G511" s="420"/>
      <c r="H511" s="337">
        <v>5000</v>
      </c>
      <c r="I511" s="337">
        <v>18000</v>
      </c>
      <c r="J511" s="338">
        <v>16960</v>
      </c>
      <c r="K511" s="339">
        <f t="shared" si="37"/>
        <v>-1040</v>
      </c>
      <c r="L511" s="343">
        <f t="shared" si="38"/>
        <v>94.22222222222221</v>
      </c>
      <c r="N511" s="344">
        <f t="shared" si="34"/>
        <v>0</v>
      </c>
    </row>
    <row r="512" spans="1:14" ht="12.75" customHeight="1">
      <c r="A512" s="326">
        <f t="shared" si="33"/>
        <v>511</v>
      </c>
      <c r="B512" s="533">
        <v>6300</v>
      </c>
      <c r="C512" s="472">
        <v>3639</v>
      </c>
      <c r="D512" s="356" t="s">
        <v>41</v>
      </c>
      <c r="E512" s="472">
        <v>5361</v>
      </c>
      <c r="F512" s="538" t="s">
        <v>387</v>
      </c>
      <c r="G512" s="539"/>
      <c r="H512" s="337">
        <v>220</v>
      </c>
      <c r="I512" s="337">
        <v>220</v>
      </c>
      <c r="J512" s="338">
        <v>175</v>
      </c>
      <c r="K512" s="339">
        <f t="shared" si="37"/>
        <v>-45</v>
      </c>
      <c r="L512" s="343">
        <f t="shared" si="38"/>
        <v>79.54545454545455</v>
      </c>
      <c r="N512" s="344">
        <f t="shared" si="34"/>
        <v>0</v>
      </c>
    </row>
    <row r="513" spans="1:14" ht="12.75" customHeight="1">
      <c r="A513" s="326">
        <f t="shared" si="33"/>
        <v>512</v>
      </c>
      <c r="B513" s="533">
        <v>6300</v>
      </c>
      <c r="C513" s="472">
        <v>3639</v>
      </c>
      <c r="D513" s="356" t="s">
        <v>41</v>
      </c>
      <c r="E513" s="472">
        <v>5362</v>
      </c>
      <c r="F513" s="259" t="s">
        <v>325</v>
      </c>
      <c r="G513" s="420"/>
      <c r="H513" s="337">
        <v>10521</v>
      </c>
      <c r="I513" s="337">
        <v>10521</v>
      </c>
      <c r="J513" s="338">
        <v>10235</v>
      </c>
      <c r="K513" s="339">
        <f t="shared" si="37"/>
        <v>-286</v>
      </c>
      <c r="L513" s="343">
        <f t="shared" si="38"/>
        <v>97.28162722174699</v>
      </c>
      <c r="N513" s="344">
        <f t="shared" si="34"/>
        <v>0</v>
      </c>
    </row>
    <row r="514" spans="1:14" ht="12.75" customHeight="1">
      <c r="A514" s="326">
        <f t="shared" si="33"/>
        <v>513</v>
      </c>
      <c r="B514" s="533">
        <v>6300</v>
      </c>
      <c r="C514" s="472">
        <v>3639</v>
      </c>
      <c r="D514" s="356" t="s">
        <v>41</v>
      </c>
      <c r="E514" s="472">
        <v>5429</v>
      </c>
      <c r="F514" s="259" t="s">
        <v>313</v>
      </c>
      <c r="G514" s="420"/>
      <c r="H514" s="337">
        <v>200</v>
      </c>
      <c r="I514" s="337">
        <v>197</v>
      </c>
      <c r="J514" s="338"/>
      <c r="K514" s="339">
        <f t="shared" si="37"/>
        <v>-197</v>
      </c>
      <c r="L514" s="490">
        <f t="shared" si="38"/>
        <v>0</v>
      </c>
      <c r="N514" s="344">
        <f t="shared" si="34"/>
        <v>0</v>
      </c>
    </row>
    <row r="515" spans="1:14" ht="12.75" customHeight="1">
      <c r="A515" s="326">
        <f t="shared" si="33"/>
        <v>514</v>
      </c>
      <c r="B515" s="533">
        <v>6300</v>
      </c>
      <c r="C515" s="472">
        <v>3639</v>
      </c>
      <c r="D515" s="356" t="s">
        <v>41</v>
      </c>
      <c r="E515" s="472">
        <v>5499</v>
      </c>
      <c r="F515" s="259" t="s">
        <v>391</v>
      </c>
      <c r="G515" s="420"/>
      <c r="H515" s="337"/>
      <c r="I515" s="337">
        <v>3000</v>
      </c>
      <c r="J515" s="338"/>
      <c r="K515" s="339">
        <f t="shared" si="37"/>
        <v>-3000</v>
      </c>
      <c r="L515" s="490">
        <f t="shared" si="38"/>
        <v>0</v>
      </c>
      <c r="N515" s="344">
        <f t="shared" si="34"/>
        <v>0</v>
      </c>
    </row>
    <row r="516" spans="1:14" ht="12.75" customHeight="1">
      <c r="A516" s="326">
        <f aca="true" t="shared" si="39" ref="A516:A579">A515+1</f>
        <v>515</v>
      </c>
      <c r="B516" s="533">
        <v>6300</v>
      </c>
      <c r="C516" s="472">
        <v>3639</v>
      </c>
      <c r="D516" s="356" t="s">
        <v>41</v>
      </c>
      <c r="E516" s="472">
        <v>5909</v>
      </c>
      <c r="F516" s="538" t="s">
        <v>318</v>
      </c>
      <c r="G516" s="539"/>
      <c r="H516" s="337">
        <v>400</v>
      </c>
      <c r="I516" s="337">
        <v>400</v>
      </c>
      <c r="J516" s="338">
        <v>28</v>
      </c>
      <c r="K516" s="339">
        <f t="shared" si="37"/>
        <v>-372</v>
      </c>
      <c r="L516" s="343">
        <f t="shared" si="38"/>
        <v>7.000000000000001</v>
      </c>
      <c r="N516" s="344">
        <f aca="true" t="shared" si="40" ref="N516:N579">I516-J516+K516</f>
        <v>0</v>
      </c>
    </row>
    <row r="517" spans="1:14" ht="12.75" customHeight="1">
      <c r="A517" s="326">
        <f t="shared" si="39"/>
        <v>516</v>
      </c>
      <c r="B517" s="446"/>
      <c r="C517" s="447" t="s">
        <v>405</v>
      </c>
      <c r="D517" s="381"/>
      <c r="E517" s="447"/>
      <c r="F517" s="540"/>
      <c r="G517" s="541"/>
      <c r="H517" s="349">
        <f>SUBTOTAL(9,H509:H516)</f>
        <v>25341</v>
      </c>
      <c r="I517" s="349">
        <f>SUBTOTAL(9,I508:I516)</f>
        <v>41341</v>
      </c>
      <c r="J517" s="349">
        <f>SUBTOTAL(9,J508:J516)</f>
        <v>33061</v>
      </c>
      <c r="K517" s="450">
        <f t="shared" si="37"/>
        <v>-8280</v>
      </c>
      <c r="L517" s="451">
        <f t="shared" si="38"/>
        <v>79.97145690718656</v>
      </c>
      <c r="N517" s="344">
        <f t="shared" si="40"/>
        <v>0</v>
      </c>
    </row>
    <row r="518" spans="1:14" ht="13.5" customHeight="1" thickBot="1">
      <c r="A518" s="326">
        <f t="shared" si="39"/>
        <v>517</v>
      </c>
      <c r="B518" s="366" t="s">
        <v>198</v>
      </c>
      <c r="C518" s="367"/>
      <c r="D518" s="367"/>
      <c r="E518" s="367"/>
      <c r="F518" s="367"/>
      <c r="G518" s="368"/>
      <c r="H518" s="369">
        <f>SUBTOTAL(9,H509:H517)</f>
        <v>25341</v>
      </c>
      <c r="I518" s="369">
        <f>SUBTOTAL(9,I508:I517)</f>
        <v>41341</v>
      </c>
      <c r="J518" s="369">
        <f>SUBTOTAL(9,J508:J517)</f>
        <v>33061</v>
      </c>
      <c r="K518" s="370">
        <f t="shared" si="37"/>
        <v>-8280</v>
      </c>
      <c r="L518" s="371">
        <f t="shared" si="38"/>
        <v>79.97145690718656</v>
      </c>
      <c r="N518" s="344">
        <f t="shared" si="40"/>
        <v>0</v>
      </c>
    </row>
    <row r="519" spans="1:14" ht="12.75">
      <c r="A519" s="326">
        <f t="shared" si="39"/>
        <v>518</v>
      </c>
      <c r="B519" s="542"/>
      <c r="C519" s="428"/>
      <c r="D519" s="428"/>
      <c r="E519" s="428"/>
      <c r="F519" s="428"/>
      <c r="G519" s="445"/>
      <c r="H519" s="543"/>
      <c r="I519" s="543"/>
      <c r="J519" s="544"/>
      <c r="K519" s="545"/>
      <c r="L519" s="546"/>
      <c r="N519" s="344">
        <f t="shared" si="40"/>
        <v>0</v>
      </c>
    </row>
    <row r="520" spans="1:14" ht="15.75">
      <c r="A520" s="326">
        <f t="shared" si="39"/>
        <v>519</v>
      </c>
      <c r="B520" s="531" t="s">
        <v>214</v>
      </c>
      <c r="C520" s="532"/>
      <c r="D520" s="532"/>
      <c r="E520" s="472"/>
      <c r="F520" s="389"/>
      <c r="G520" s="420"/>
      <c r="H520" s="506">
        <v>0</v>
      </c>
      <c r="I520" s="506"/>
      <c r="J520" s="507"/>
      <c r="K520" s="508"/>
      <c r="L520" s="509"/>
      <c r="N520" s="344">
        <f t="shared" si="40"/>
        <v>0</v>
      </c>
    </row>
    <row r="521" spans="1:14" ht="12.75" customHeight="1">
      <c r="A521" s="326">
        <f t="shared" si="39"/>
        <v>520</v>
      </c>
      <c r="B521" s="533">
        <v>6600</v>
      </c>
      <c r="C521" s="472">
        <v>2333</v>
      </c>
      <c r="D521" s="356" t="s">
        <v>22</v>
      </c>
      <c r="E521" s="259">
        <v>5169</v>
      </c>
      <c r="F521" s="259" t="s">
        <v>316</v>
      </c>
      <c r="G521" s="336"/>
      <c r="H521" s="337">
        <v>500</v>
      </c>
      <c r="I521" s="337">
        <v>500</v>
      </c>
      <c r="J521" s="338">
        <v>239</v>
      </c>
      <c r="K521" s="339">
        <f aca="true" t="shared" si="41" ref="K521:K584">J521-I521</f>
        <v>-261</v>
      </c>
      <c r="L521" s="343">
        <f aca="true" t="shared" si="42" ref="L521:L584">J521/I521*100</f>
        <v>47.8</v>
      </c>
      <c r="N521" s="344">
        <f t="shared" si="40"/>
        <v>0</v>
      </c>
    </row>
    <row r="522" spans="1:14" ht="12.75" customHeight="1">
      <c r="A522" s="326">
        <f t="shared" si="39"/>
        <v>521</v>
      </c>
      <c r="B522" s="446"/>
      <c r="C522" s="447" t="s">
        <v>439</v>
      </c>
      <c r="D522" s="381"/>
      <c r="E522" s="347"/>
      <c r="F522" s="421"/>
      <c r="G522" s="422"/>
      <c r="H522" s="349">
        <f>SUBTOTAL(9,H521:H521)</f>
        <v>500</v>
      </c>
      <c r="I522" s="349">
        <f>SUBTOTAL(9,I521:I521)</f>
        <v>500</v>
      </c>
      <c r="J522" s="352">
        <f>SUBTOTAL(9,J521:J521)</f>
        <v>239</v>
      </c>
      <c r="K522" s="456">
        <f t="shared" si="41"/>
        <v>-261</v>
      </c>
      <c r="L522" s="457">
        <f t="shared" si="42"/>
        <v>47.8</v>
      </c>
      <c r="N522" s="344">
        <f t="shared" si="40"/>
        <v>0</v>
      </c>
    </row>
    <row r="523" spans="1:14" ht="12.75" customHeight="1">
      <c r="A523" s="326">
        <f t="shared" si="39"/>
        <v>522</v>
      </c>
      <c r="B523" s="533">
        <v>6600</v>
      </c>
      <c r="C523" s="472">
        <v>3322</v>
      </c>
      <c r="D523" s="356" t="s">
        <v>27</v>
      </c>
      <c r="E523" s="259">
        <v>5171</v>
      </c>
      <c r="F523" s="389" t="s">
        <v>384</v>
      </c>
      <c r="G523" s="420"/>
      <c r="H523" s="337">
        <v>500</v>
      </c>
      <c r="I523" s="337">
        <v>695</v>
      </c>
      <c r="J523" s="338">
        <v>477</v>
      </c>
      <c r="K523" s="339">
        <f t="shared" si="41"/>
        <v>-218</v>
      </c>
      <c r="L523" s="343">
        <f t="shared" si="42"/>
        <v>68.63309352517986</v>
      </c>
      <c r="N523" s="344">
        <f t="shared" si="40"/>
        <v>0</v>
      </c>
    </row>
    <row r="524" spans="1:14" ht="12.75" customHeight="1">
      <c r="A524" s="326">
        <f t="shared" si="39"/>
        <v>523</v>
      </c>
      <c r="B524" s="446"/>
      <c r="C524" s="447" t="s">
        <v>400</v>
      </c>
      <c r="D524" s="381"/>
      <c r="E524" s="347"/>
      <c r="F524" s="421"/>
      <c r="G524" s="422"/>
      <c r="H524" s="349">
        <f>SUBTOTAL(9,H523:H523)</f>
        <v>500</v>
      </c>
      <c r="I524" s="349">
        <f>SUBTOTAL(9,I523:I523)</f>
        <v>695</v>
      </c>
      <c r="J524" s="352">
        <f>SUBTOTAL(9,J523:J523)</f>
        <v>477</v>
      </c>
      <c r="K524" s="456">
        <f t="shared" si="41"/>
        <v>-218</v>
      </c>
      <c r="L524" s="457">
        <f t="shared" si="42"/>
        <v>68.63309352517986</v>
      </c>
      <c r="N524" s="344">
        <f t="shared" si="40"/>
        <v>0</v>
      </c>
    </row>
    <row r="525" spans="1:14" ht="12.75" customHeight="1">
      <c r="A525" s="326">
        <f t="shared" si="39"/>
        <v>524</v>
      </c>
      <c r="B525" s="533">
        <v>6600</v>
      </c>
      <c r="C525" s="472">
        <v>3612</v>
      </c>
      <c r="D525" s="356" t="s">
        <v>12</v>
      </c>
      <c r="E525" s="259">
        <v>5137</v>
      </c>
      <c r="F525" s="259" t="s">
        <v>346</v>
      </c>
      <c r="G525" s="420"/>
      <c r="H525" s="467"/>
      <c r="I525" s="467">
        <v>24</v>
      </c>
      <c r="J525" s="361">
        <v>24</v>
      </c>
      <c r="K525" s="547">
        <f t="shared" si="41"/>
        <v>0</v>
      </c>
      <c r="L525" s="548">
        <f t="shared" si="42"/>
        <v>100</v>
      </c>
      <c r="N525" s="344">
        <f t="shared" si="40"/>
        <v>0</v>
      </c>
    </row>
    <row r="526" spans="1:14" ht="12.75" customHeight="1">
      <c r="A526" s="326">
        <f t="shared" si="39"/>
        <v>525</v>
      </c>
      <c r="B526" s="533">
        <v>6600</v>
      </c>
      <c r="C526" s="472">
        <v>3612</v>
      </c>
      <c r="D526" s="356" t="s">
        <v>12</v>
      </c>
      <c r="E526" s="259">
        <v>5139</v>
      </c>
      <c r="F526" s="259" t="s">
        <v>342</v>
      </c>
      <c r="G526" s="422"/>
      <c r="H526" s="337">
        <v>10</v>
      </c>
      <c r="I526" s="337">
        <v>10</v>
      </c>
      <c r="J526" s="338">
        <v>7</v>
      </c>
      <c r="K526" s="339">
        <f t="shared" si="41"/>
        <v>-3</v>
      </c>
      <c r="L526" s="343">
        <f t="shared" si="42"/>
        <v>70</v>
      </c>
      <c r="N526" s="344">
        <f t="shared" si="40"/>
        <v>0</v>
      </c>
    </row>
    <row r="527" spans="1:14" ht="12.75" customHeight="1">
      <c r="A527" s="326">
        <f t="shared" si="39"/>
        <v>526</v>
      </c>
      <c r="B527" s="533">
        <v>6600</v>
      </c>
      <c r="C527" s="472">
        <v>3612</v>
      </c>
      <c r="D527" s="356" t="s">
        <v>12</v>
      </c>
      <c r="E527" s="259">
        <v>5151</v>
      </c>
      <c r="F527" s="389" t="s">
        <v>451</v>
      </c>
      <c r="G527" s="422"/>
      <c r="H527" s="337">
        <v>500</v>
      </c>
      <c r="I527" s="337">
        <v>500</v>
      </c>
      <c r="J527" s="338">
        <v>142</v>
      </c>
      <c r="K527" s="339">
        <f t="shared" si="41"/>
        <v>-358</v>
      </c>
      <c r="L527" s="343">
        <f t="shared" si="42"/>
        <v>28.4</v>
      </c>
      <c r="N527" s="344">
        <f t="shared" si="40"/>
        <v>0</v>
      </c>
    </row>
    <row r="528" spans="1:14" ht="12.75" customHeight="1">
      <c r="A528" s="326">
        <f t="shared" si="39"/>
        <v>527</v>
      </c>
      <c r="B528" s="533">
        <v>6600</v>
      </c>
      <c r="C528" s="472">
        <v>3612</v>
      </c>
      <c r="D528" s="356" t="s">
        <v>12</v>
      </c>
      <c r="E528" s="472">
        <v>5152</v>
      </c>
      <c r="F528" s="389" t="s">
        <v>464</v>
      </c>
      <c r="G528" s="422"/>
      <c r="H528" s="337">
        <v>1000</v>
      </c>
      <c r="I528" s="337">
        <v>500</v>
      </c>
      <c r="J528" s="338">
        <v>-460</v>
      </c>
      <c r="K528" s="339">
        <f t="shared" si="41"/>
        <v>-960</v>
      </c>
      <c r="L528" s="343">
        <f t="shared" si="42"/>
        <v>-92</v>
      </c>
      <c r="N528" s="344">
        <f t="shared" si="40"/>
        <v>0</v>
      </c>
    </row>
    <row r="529" spans="1:14" ht="12.75" customHeight="1">
      <c r="A529" s="326">
        <f t="shared" si="39"/>
        <v>528</v>
      </c>
      <c r="B529" s="533">
        <v>6600</v>
      </c>
      <c r="C529" s="472">
        <v>3612</v>
      </c>
      <c r="D529" s="356" t="s">
        <v>12</v>
      </c>
      <c r="E529" s="472">
        <v>5153</v>
      </c>
      <c r="F529" s="389" t="s">
        <v>380</v>
      </c>
      <c r="G529" s="422"/>
      <c r="H529" s="337">
        <v>200</v>
      </c>
      <c r="I529" s="337">
        <v>200</v>
      </c>
      <c r="J529" s="338">
        <v>178</v>
      </c>
      <c r="K529" s="339">
        <f t="shared" si="41"/>
        <v>-22</v>
      </c>
      <c r="L529" s="343">
        <f t="shared" si="42"/>
        <v>89</v>
      </c>
      <c r="N529" s="344">
        <f t="shared" si="40"/>
        <v>0</v>
      </c>
    </row>
    <row r="530" spans="1:14" ht="12.75" customHeight="1">
      <c r="A530" s="326">
        <f t="shared" si="39"/>
        <v>529</v>
      </c>
      <c r="B530" s="533">
        <v>6600</v>
      </c>
      <c r="C530" s="472">
        <v>3612</v>
      </c>
      <c r="D530" s="356" t="s">
        <v>12</v>
      </c>
      <c r="E530" s="472">
        <v>5154</v>
      </c>
      <c r="F530" s="389" t="s">
        <v>347</v>
      </c>
      <c r="G530" s="422"/>
      <c r="H530" s="337">
        <v>500</v>
      </c>
      <c r="I530" s="337">
        <v>500</v>
      </c>
      <c r="J530" s="338">
        <v>414</v>
      </c>
      <c r="K530" s="339">
        <f t="shared" si="41"/>
        <v>-86</v>
      </c>
      <c r="L530" s="343">
        <f t="shared" si="42"/>
        <v>82.8</v>
      </c>
      <c r="N530" s="344">
        <f t="shared" si="40"/>
        <v>0</v>
      </c>
    </row>
    <row r="531" spans="1:14" ht="12.75" customHeight="1">
      <c r="A531" s="326">
        <f t="shared" si="39"/>
        <v>530</v>
      </c>
      <c r="B531" s="533">
        <v>6600</v>
      </c>
      <c r="C531" s="472">
        <v>3612</v>
      </c>
      <c r="D531" s="356" t="s">
        <v>12</v>
      </c>
      <c r="E531" s="259">
        <v>5162</v>
      </c>
      <c r="F531" s="389" t="s">
        <v>382</v>
      </c>
      <c r="G531" s="422"/>
      <c r="H531" s="337">
        <v>20</v>
      </c>
      <c r="I531" s="337">
        <v>20</v>
      </c>
      <c r="J531" s="338">
        <v>20</v>
      </c>
      <c r="K531" s="339">
        <f t="shared" si="41"/>
        <v>0</v>
      </c>
      <c r="L531" s="343">
        <f t="shared" si="42"/>
        <v>100</v>
      </c>
      <c r="N531" s="344">
        <f t="shared" si="40"/>
        <v>0</v>
      </c>
    </row>
    <row r="532" spans="1:14" ht="12.75" customHeight="1">
      <c r="A532" s="326">
        <f t="shared" si="39"/>
        <v>531</v>
      </c>
      <c r="B532" s="533">
        <v>6600</v>
      </c>
      <c r="C532" s="472">
        <v>3612</v>
      </c>
      <c r="D532" s="356" t="s">
        <v>12</v>
      </c>
      <c r="E532" s="472">
        <v>5166</v>
      </c>
      <c r="F532" s="259" t="s">
        <v>315</v>
      </c>
      <c r="G532" s="422"/>
      <c r="H532" s="337">
        <v>20</v>
      </c>
      <c r="I532" s="337">
        <v>20</v>
      </c>
      <c r="J532" s="338"/>
      <c r="K532" s="339">
        <f t="shared" si="41"/>
        <v>-20</v>
      </c>
      <c r="L532" s="343">
        <f t="shared" si="42"/>
        <v>0</v>
      </c>
      <c r="N532" s="344">
        <f t="shared" si="40"/>
        <v>0</v>
      </c>
    </row>
    <row r="533" spans="1:14" ht="12.75" customHeight="1">
      <c r="A533" s="326">
        <f t="shared" si="39"/>
        <v>532</v>
      </c>
      <c r="B533" s="533">
        <v>6600</v>
      </c>
      <c r="C533" s="472">
        <v>3612</v>
      </c>
      <c r="D533" s="356" t="s">
        <v>12</v>
      </c>
      <c r="E533" s="259">
        <v>5169</v>
      </c>
      <c r="F533" s="259" t="s">
        <v>316</v>
      </c>
      <c r="G533" s="336"/>
      <c r="H533" s="337">
        <v>1660</v>
      </c>
      <c r="I533" s="337">
        <v>1636</v>
      </c>
      <c r="J533" s="338">
        <v>1530</v>
      </c>
      <c r="K533" s="339">
        <f t="shared" si="41"/>
        <v>-106</v>
      </c>
      <c r="L533" s="343">
        <f t="shared" si="42"/>
        <v>93.52078239608802</v>
      </c>
      <c r="N533" s="344">
        <f t="shared" si="40"/>
        <v>0</v>
      </c>
    </row>
    <row r="534" spans="1:14" ht="12.75" customHeight="1">
      <c r="A534" s="326">
        <f t="shared" si="39"/>
        <v>533</v>
      </c>
      <c r="B534" s="533">
        <v>6600</v>
      </c>
      <c r="C534" s="472">
        <v>3612</v>
      </c>
      <c r="D534" s="356" t="s">
        <v>12</v>
      </c>
      <c r="E534" s="259">
        <v>5169</v>
      </c>
      <c r="F534" s="259" t="s">
        <v>316</v>
      </c>
      <c r="G534" s="420" t="s">
        <v>457</v>
      </c>
      <c r="H534" s="337">
        <v>500</v>
      </c>
      <c r="I534" s="337">
        <v>500</v>
      </c>
      <c r="J534" s="338">
        <v>398</v>
      </c>
      <c r="K534" s="339">
        <f t="shared" si="41"/>
        <v>-102</v>
      </c>
      <c r="L534" s="343">
        <f t="shared" si="42"/>
        <v>79.60000000000001</v>
      </c>
      <c r="N534" s="344">
        <f t="shared" si="40"/>
        <v>0</v>
      </c>
    </row>
    <row r="535" spans="1:14" ht="12.75" customHeight="1">
      <c r="A535" s="326">
        <f t="shared" si="39"/>
        <v>534</v>
      </c>
      <c r="B535" s="533">
        <v>6600</v>
      </c>
      <c r="C535" s="472">
        <v>3612</v>
      </c>
      <c r="D535" s="356" t="s">
        <v>12</v>
      </c>
      <c r="E535" s="259">
        <v>5171</v>
      </c>
      <c r="F535" s="389" t="s">
        <v>384</v>
      </c>
      <c r="G535" s="422"/>
      <c r="H535" s="337">
        <v>7800</v>
      </c>
      <c r="I535" s="337">
        <v>6138</v>
      </c>
      <c r="J535" s="338">
        <v>5014</v>
      </c>
      <c r="K535" s="339">
        <f t="shared" si="41"/>
        <v>-1124</v>
      </c>
      <c r="L535" s="343">
        <f t="shared" si="42"/>
        <v>81.68784620397524</v>
      </c>
      <c r="N535" s="344">
        <f t="shared" si="40"/>
        <v>0</v>
      </c>
    </row>
    <row r="536" spans="1:14" ht="12.75" customHeight="1">
      <c r="A536" s="326">
        <f t="shared" si="39"/>
        <v>535</v>
      </c>
      <c r="B536" s="533">
        <v>6600</v>
      </c>
      <c r="C536" s="472">
        <v>3612</v>
      </c>
      <c r="D536" s="356" t="s">
        <v>12</v>
      </c>
      <c r="E536" s="259">
        <v>5171</v>
      </c>
      <c r="F536" s="389" t="s">
        <v>384</v>
      </c>
      <c r="G536" s="420" t="s">
        <v>457</v>
      </c>
      <c r="H536" s="337">
        <v>9800</v>
      </c>
      <c r="I536" s="337">
        <v>24338</v>
      </c>
      <c r="J536" s="338">
        <v>20623</v>
      </c>
      <c r="K536" s="339">
        <f t="shared" si="41"/>
        <v>-3715</v>
      </c>
      <c r="L536" s="343">
        <f t="shared" si="42"/>
        <v>84.73580409236585</v>
      </c>
      <c r="N536" s="344">
        <f t="shared" si="40"/>
        <v>0</v>
      </c>
    </row>
    <row r="537" spans="1:14" ht="12.75" customHeight="1">
      <c r="A537" s="326">
        <f t="shared" si="39"/>
        <v>536</v>
      </c>
      <c r="B537" s="533">
        <v>6600</v>
      </c>
      <c r="C537" s="472">
        <v>3612</v>
      </c>
      <c r="D537" s="356" t="s">
        <v>12</v>
      </c>
      <c r="E537" s="259">
        <v>5192</v>
      </c>
      <c r="F537" s="389" t="s">
        <v>335</v>
      </c>
      <c r="G537" s="420"/>
      <c r="H537" s="337"/>
      <c r="I537" s="337">
        <v>6</v>
      </c>
      <c r="J537" s="338">
        <v>5</v>
      </c>
      <c r="K537" s="339">
        <f t="shared" si="41"/>
        <v>-1</v>
      </c>
      <c r="L537" s="343">
        <f t="shared" si="42"/>
        <v>83.33333333333334</v>
      </c>
      <c r="N537" s="344">
        <f t="shared" si="40"/>
        <v>0</v>
      </c>
    </row>
    <row r="538" spans="1:14" ht="12.75" customHeight="1">
      <c r="A538" s="326">
        <f t="shared" si="39"/>
        <v>537</v>
      </c>
      <c r="B538" s="533">
        <v>6600</v>
      </c>
      <c r="C538" s="472">
        <v>3612</v>
      </c>
      <c r="D538" s="356" t="s">
        <v>12</v>
      </c>
      <c r="E538" s="259">
        <v>5199</v>
      </c>
      <c r="F538" s="389" t="s">
        <v>465</v>
      </c>
      <c r="G538" s="420"/>
      <c r="H538" s="337"/>
      <c r="I538" s="337">
        <v>450</v>
      </c>
      <c r="J538" s="338">
        <v>397</v>
      </c>
      <c r="K538" s="339">
        <f t="shared" si="41"/>
        <v>-53</v>
      </c>
      <c r="L538" s="343">
        <f t="shared" si="42"/>
        <v>88.22222222222223</v>
      </c>
      <c r="N538" s="344">
        <f t="shared" si="40"/>
        <v>0</v>
      </c>
    </row>
    <row r="539" spans="1:14" ht="12.75" customHeight="1">
      <c r="A539" s="326">
        <f t="shared" si="39"/>
        <v>538</v>
      </c>
      <c r="B539" s="533">
        <v>6600</v>
      </c>
      <c r="C539" s="472">
        <v>3612</v>
      </c>
      <c r="D539" s="356" t="s">
        <v>12</v>
      </c>
      <c r="E539" s="259">
        <v>5909</v>
      </c>
      <c r="F539" s="538" t="s">
        <v>318</v>
      </c>
      <c r="G539" s="422"/>
      <c r="H539" s="337">
        <v>1400</v>
      </c>
      <c r="I539" s="337">
        <v>2106</v>
      </c>
      <c r="J539" s="338">
        <v>2099</v>
      </c>
      <c r="K539" s="339">
        <f t="shared" si="41"/>
        <v>-7</v>
      </c>
      <c r="L539" s="343">
        <f t="shared" si="42"/>
        <v>99.66761633428301</v>
      </c>
      <c r="N539" s="344">
        <f t="shared" si="40"/>
        <v>0</v>
      </c>
    </row>
    <row r="540" spans="1:14" ht="12.75" customHeight="1">
      <c r="A540" s="326">
        <f t="shared" si="39"/>
        <v>539</v>
      </c>
      <c r="B540" s="446"/>
      <c r="C540" s="447" t="s">
        <v>362</v>
      </c>
      <c r="D540" s="381"/>
      <c r="E540" s="347"/>
      <c r="F540" s="421"/>
      <c r="G540" s="422"/>
      <c r="H540" s="349">
        <f>SUBTOTAL(9,H525:H539)</f>
        <v>23410</v>
      </c>
      <c r="I540" s="349">
        <f>SUBTOTAL(9,I525:I539)</f>
        <v>36948</v>
      </c>
      <c r="J540" s="349">
        <f>SUBTOTAL(9,J525:J539)</f>
        <v>30391</v>
      </c>
      <c r="K540" s="456">
        <f t="shared" si="41"/>
        <v>-6557</v>
      </c>
      <c r="L540" s="457">
        <f t="shared" si="42"/>
        <v>82.25343726318069</v>
      </c>
      <c r="N540" s="344">
        <f t="shared" si="40"/>
        <v>0</v>
      </c>
    </row>
    <row r="541" spans="1:14" ht="12.75" customHeight="1">
      <c r="A541" s="326">
        <f t="shared" si="39"/>
        <v>540</v>
      </c>
      <c r="B541" s="533">
        <v>6600</v>
      </c>
      <c r="C541" s="472">
        <v>3639</v>
      </c>
      <c r="D541" s="356" t="s">
        <v>41</v>
      </c>
      <c r="E541" s="259">
        <v>5137</v>
      </c>
      <c r="F541" s="259" t="s">
        <v>346</v>
      </c>
      <c r="G541" s="422"/>
      <c r="H541" s="414"/>
      <c r="I541" s="414">
        <v>30</v>
      </c>
      <c r="J541" s="415">
        <v>30</v>
      </c>
      <c r="K541" s="416">
        <f t="shared" si="41"/>
        <v>0</v>
      </c>
      <c r="L541" s="417">
        <f t="shared" si="42"/>
        <v>100</v>
      </c>
      <c r="N541" s="344">
        <f t="shared" si="40"/>
        <v>0</v>
      </c>
    </row>
    <row r="542" spans="1:14" ht="12.75" customHeight="1">
      <c r="A542" s="326">
        <f t="shared" si="39"/>
        <v>541</v>
      </c>
      <c r="B542" s="533">
        <v>6600</v>
      </c>
      <c r="C542" s="472">
        <v>3639</v>
      </c>
      <c r="D542" s="356" t="s">
        <v>41</v>
      </c>
      <c r="E542" s="472">
        <v>5139</v>
      </c>
      <c r="F542" s="259" t="s">
        <v>342</v>
      </c>
      <c r="G542" s="336"/>
      <c r="H542" s="337">
        <v>50</v>
      </c>
      <c r="I542" s="337">
        <v>50</v>
      </c>
      <c r="J542" s="338">
        <v>23</v>
      </c>
      <c r="K542" s="339">
        <f t="shared" si="41"/>
        <v>-27</v>
      </c>
      <c r="L542" s="343">
        <f t="shared" si="42"/>
        <v>46</v>
      </c>
      <c r="N542" s="344">
        <f t="shared" si="40"/>
        <v>0</v>
      </c>
    </row>
    <row r="543" spans="1:14" ht="12.75" customHeight="1">
      <c r="A543" s="326">
        <f t="shared" si="39"/>
        <v>542</v>
      </c>
      <c r="B543" s="533">
        <v>6600</v>
      </c>
      <c r="C543" s="472">
        <v>3639</v>
      </c>
      <c r="D543" s="356" t="s">
        <v>41</v>
      </c>
      <c r="E543" s="472">
        <v>5151</v>
      </c>
      <c r="F543" s="389" t="s">
        <v>451</v>
      </c>
      <c r="G543" s="420"/>
      <c r="H543" s="337">
        <v>1550</v>
      </c>
      <c r="I543" s="337">
        <v>950</v>
      </c>
      <c r="J543" s="338">
        <v>928</v>
      </c>
      <c r="K543" s="339">
        <f t="shared" si="41"/>
        <v>-22</v>
      </c>
      <c r="L543" s="343">
        <f t="shared" si="42"/>
        <v>97.68421052631578</v>
      </c>
      <c r="N543" s="344">
        <f t="shared" si="40"/>
        <v>0</v>
      </c>
    </row>
    <row r="544" spans="1:14" ht="12.75" customHeight="1">
      <c r="A544" s="326">
        <f t="shared" si="39"/>
        <v>543</v>
      </c>
      <c r="B544" s="533">
        <v>6600</v>
      </c>
      <c r="C544" s="472">
        <v>3639</v>
      </c>
      <c r="D544" s="356" t="s">
        <v>41</v>
      </c>
      <c r="E544" s="472">
        <v>5152</v>
      </c>
      <c r="F544" s="389" t="s">
        <v>464</v>
      </c>
      <c r="G544" s="420"/>
      <c r="H544" s="337">
        <v>1945</v>
      </c>
      <c r="I544" s="337">
        <v>4345</v>
      </c>
      <c r="J544" s="338">
        <v>3844</v>
      </c>
      <c r="K544" s="339">
        <f t="shared" si="41"/>
        <v>-501</v>
      </c>
      <c r="L544" s="343">
        <f t="shared" si="42"/>
        <v>88.46950517836594</v>
      </c>
      <c r="N544" s="344">
        <f t="shared" si="40"/>
        <v>0</v>
      </c>
    </row>
    <row r="545" spans="1:14" ht="12.75" customHeight="1">
      <c r="A545" s="326">
        <f t="shared" si="39"/>
        <v>544</v>
      </c>
      <c r="B545" s="533">
        <v>6600</v>
      </c>
      <c r="C545" s="472">
        <v>3639</v>
      </c>
      <c r="D545" s="356" t="s">
        <v>41</v>
      </c>
      <c r="E545" s="472">
        <v>5153</v>
      </c>
      <c r="F545" s="389" t="s">
        <v>380</v>
      </c>
      <c r="G545" s="420"/>
      <c r="H545" s="337">
        <v>1248</v>
      </c>
      <c r="I545" s="337">
        <v>1048</v>
      </c>
      <c r="J545" s="338">
        <v>553</v>
      </c>
      <c r="K545" s="339">
        <f t="shared" si="41"/>
        <v>-495</v>
      </c>
      <c r="L545" s="343">
        <f t="shared" si="42"/>
        <v>52.767175572519086</v>
      </c>
      <c r="N545" s="344">
        <f t="shared" si="40"/>
        <v>0</v>
      </c>
    </row>
    <row r="546" spans="1:14" ht="12.75" customHeight="1">
      <c r="A546" s="326">
        <f t="shared" si="39"/>
        <v>545</v>
      </c>
      <c r="B546" s="533">
        <v>6600</v>
      </c>
      <c r="C546" s="472">
        <v>3639</v>
      </c>
      <c r="D546" s="356" t="s">
        <v>41</v>
      </c>
      <c r="E546" s="472">
        <v>5154</v>
      </c>
      <c r="F546" s="389" t="s">
        <v>347</v>
      </c>
      <c r="G546" s="420"/>
      <c r="H546" s="337">
        <v>710</v>
      </c>
      <c r="I546" s="337">
        <v>710</v>
      </c>
      <c r="J546" s="338">
        <v>248</v>
      </c>
      <c r="K546" s="339">
        <f t="shared" si="41"/>
        <v>-462</v>
      </c>
      <c r="L546" s="343">
        <f t="shared" si="42"/>
        <v>34.92957746478873</v>
      </c>
      <c r="N546" s="344">
        <f t="shared" si="40"/>
        <v>0</v>
      </c>
    </row>
    <row r="547" spans="1:14" ht="12.75" customHeight="1">
      <c r="A547" s="326">
        <f t="shared" si="39"/>
        <v>546</v>
      </c>
      <c r="B547" s="533">
        <v>6600</v>
      </c>
      <c r="C547" s="472">
        <v>3639</v>
      </c>
      <c r="D547" s="356" t="s">
        <v>41</v>
      </c>
      <c r="E547" s="259">
        <v>5162</v>
      </c>
      <c r="F547" s="389" t="s">
        <v>382</v>
      </c>
      <c r="G547" s="420"/>
      <c r="H547" s="337"/>
      <c r="I547" s="337">
        <v>16</v>
      </c>
      <c r="J547" s="338">
        <v>15</v>
      </c>
      <c r="K547" s="339">
        <f t="shared" si="41"/>
        <v>-1</v>
      </c>
      <c r="L547" s="343">
        <f t="shared" si="42"/>
        <v>93.75</v>
      </c>
      <c r="N547" s="344">
        <f t="shared" si="40"/>
        <v>0</v>
      </c>
    </row>
    <row r="548" spans="1:14" ht="12.75" customHeight="1">
      <c r="A548" s="326">
        <f t="shared" si="39"/>
        <v>547</v>
      </c>
      <c r="B548" s="533">
        <v>6600</v>
      </c>
      <c r="C548" s="472">
        <v>3639</v>
      </c>
      <c r="D548" s="356" t="s">
        <v>41</v>
      </c>
      <c r="E548" s="259">
        <v>5164</v>
      </c>
      <c r="F548" s="259" t="s">
        <v>348</v>
      </c>
      <c r="G548" s="549"/>
      <c r="H548" s="337">
        <v>100</v>
      </c>
      <c r="I548" s="337">
        <v>100</v>
      </c>
      <c r="J548" s="338">
        <v>13</v>
      </c>
      <c r="K548" s="339">
        <f t="shared" si="41"/>
        <v>-87</v>
      </c>
      <c r="L548" s="343">
        <f t="shared" si="42"/>
        <v>13</v>
      </c>
      <c r="N548" s="344">
        <f t="shared" si="40"/>
        <v>0</v>
      </c>
    </row>
    <row r="549" spans="1:14" ht="12.75" customHeight="1">
      <c r="A549" s="326">
        <f t="shared" si="39"/>
        <v>548</v>
      </c>
      <c r="B549" s="533">
        <v>6600</v>
      </c>
      <c r="C549" s="472">
        <v>3639</v>
      </c>
      <c r="D549" s="356" t="s">
        <v>41</v>
      </c>
      <c r="E549" s="259">
        <v>5166</v>
      </c>
      <c r="F549" s="259" t="s">
        <v>315</v>
      </c>
      <c r="G549" s="549"/>
      <c r="H549" s="337">
        <v>200</v>
      </c>
      <c r="I549" s="337">
        <v>200</v>
      </c>
      <c r="J549" s="338">
        <v>69</v>
      </c>
      <c r="K549" s="339">
        <f t="shared" si="41"/>
        <v>-131</v>
      </c>
      <c r="L549" s="343">
        <f t="shared" si="42"/>
        <v>34.5</v>
      </c>
      <c r="N549" s="344">
        <f t="shared" si="40"/>
        <v>0</v>
      </c>
    </row>
    <row r="550" spans="1:14" ht="12.75" customHeight="1">
      <c r="A550" s="326">
        <f t="shared" si="39"/>
        <v>549</v>
      </c>
      <c r="B550" s="533">
        <v>6600</v>
      </c>
      <c r="C550" s="472">
        <v>3639</v>
      </c>
      <c r="D550" s="356" t="s">
        <v>41</v>
      </c>
      <c r="E550" s="259">
        <v>5169</v>
      </c>
      <c r="F550" s="259" t="s">
        <v>316</v>
      </c>
      <c r="G550" s="336"/>
      <c r="H550" s="337">
        <v>24976</v>
      </c>
      <c r="I550" s="337">
        <v>24241</v>
      </c>
      <c r="J550" s="338">
        <v>17943</v>
      </c>
      <c r="K550" s="339">
        <f t="shared" si="41"/>
        <v>-6298</v>
      </c>
      <c r="L550" s="343">
        <f t="shared" si="42"/>
        <v>74.01922362938824</v>
      </c>
      <c r="N550" s="344">
        <f t="shared" si="40"/>
        <v>0</v>
      </c>
    </row>
    <row r="551" spans="1:14" ht="12.75" customHeight="1">
      <c r="A551" s="326">
        <f t="shared" si="39"/>
        <v>550</v>
      </c>
      <c r="B551" s="533">
        <v>6600</v>
      </c>
      <c r="C551" s="472">
        <v>3639</v>
      </c>
      <c r="D551" s="356" t="s">
        <v>41</v>
      </c>
      <c r="E551" s="259">
        <v>5171</v>
      </c>
      <c r="F551" s="389" t="s">
        <v>384</v>
      </c>
      <c r="G551" s="420"/>
      <c r="H551" s="337">
        <v>22480</v>
      </c>
      <c r="I551" s="337">
        <v>31512</v>
      </c>
      <c r="J551" s="338">
        <v>26613</v>
      </c>
      <c r="K551" s="339">
        <f t="shared" si="41"/>
        <v>-4899</v>
      </c>
      <c r="L551" s="343">
        <f t="shared" si="42"/>
        <v>84.45354150799696</v>
      </c>
      <c r="N551" s="344">
        <f t="shared" si="40"/>
        <v>0</v>
      </c>
    </row>
    <row r="552" spans="1:14" ht="12.75" customHeight="1">
      <c r="A552" s="326">
        <f t="shared" si="39"/>
        <v>551</v>
      </c>
      <c r="B552" s="533">
        <v>6600</v>
      </c>
      <c r="C552" s="472">
        <v>3639</v>
      </c>
      <c r="D552" s="356" t="s">
        <v>41</v>
      </c>
      <c r="E552" s="259">
        <v>5192</v>
      </c>
      <c r="F552" s="389" t="s">
        <v>335</v>
      </c>
      <c r="G552" s="420"/>
      <c r="H552" s="337">
        <v>1000</v>
      </c>
      <c r="I552" s="337">
        <v>954</v>
      </c>
      <c r="J552" s="338">
        <v>781</v>
      </c>
      <c r="K552" s="339">
        <f t="shared" si="41"/>
        <v>-173</v>
      </c>
      <c r="L552" s="343">
        <f t="shared" si="42"/>
        <v>81.86582809224319</v>
      </c>
      <c r="N552" s="344">
        <f t="shared" si="40"/>
        <v>0</v>
      </c>
    </row>
    <row r="553" spans="1:14" ht="12.75" customHeight="1">
      <c r="A553" s="326">
        <f t="shared" si="39"/>
        <v>552</v>
      </c>
      <c r="B553" s="533">
        <v>6600</v>
      </c>
      <c r="C553" s="472">
        <v>3639</v>
      </c>
      <c r="D553" s="356" t="s">
        <v>41</v>
      </c>
      <c r="E553" s="259">
        <v>5909</v>
      </c>
      <c r="F553" s="538" t="s">
        <v>318</v>
      </c>
      <c r="G553" s="420"/>
      <c r="H553" s="337">
        <v>920</v>
      </c>
      <c r="I553" s="337">
        <v>920</v>
      </c>
      <c r="J553" s="338">
        <v>768</v>
      </c>
      <c r="K553" s="339">
        <f t="shared" si="41"/>
        <v>-152</v>
      </c>
      <c r="L553" s="343">
        <f t="shared" si="42"/>
        <v>83.47826086956522</v>
      </c>
      <c r="N553" s="344">
        <f t="shared" si="40"/>
        <v>0</v>
      </c>
    </row>
    <row r="554" spans="1:14" ht="12.75" customHeight="1">
      <c r="A554" s="326">
        <f t="shared" si="39"/>
        <v>553</v>
      </c>
      <c r="B554" s="446"/>
      <c r="C554" s="447" t="s">
        <v>405</v>
      </c>
      <c r="D554" s="381"/>
      <c r="E554" s="347"/>
      <c r="F554" s="421"/>
      <c r="G554" s="422"/>
      <c r="H554" s="349">
        <f>SUBTOTAL(9,H541:H553)</f>
        <v>55179</v>
      </c>
      <c r="I554" s="349">
        <f>SUBTOTAL(9,I541:I553)</f>
        <v>65076</v>
      </c>
      <c r="J554" s="349">
        <f>SUBTOTAL(9,J541:J553)</f>
        <v>51828</v>
      </c>
      <c r="K554" s="456">
        <f t="shared" si="41"/>
        <v>-13248</v>
      </c>
      <c r="L554" s="457">
        <f t="shared" si="42"/>
        <v>79.64226442928268</v>
      </c>
      <c r="N554" s="344">
        <f t="shared" si="40"/>
        <v>0</v>
      </c>
    </row>
    <row r="555" spans="1:14" ht="12.75" customHeight="1">
      <c r="A555" s="326">
        <f t="shared" si="39"/>
        <v>554</v>
      </c>
      <c r="B555" s="533">
        <v>6600</v>
      </c>
      <c r="C555" s="472">
        <v>4341</v>
      </c>
      <c r="D555" s="472" t="s">
        <v>466</v>
      </c>
      <c r="E555" s="472">
        <v>5139</v>
      </c>
      <c r="F555" s="389" t="s">
        <v>342</v>
      </c>
      <c r="G555" s="420"/>
      <c r="H555" s="337">
        <v>12</v>
      </c>
      <c r="I555" s="337">
        <v>16</v>
      </c>
      <c r="J555" s="338">
        <v>15</v>
      </c>
      <c r="K555" s="339">
        <f t="shared" si="41"/>
        <v>-1</v>
      </c>
      <c r="L555" s="343">
        <f t="shared" si="42"/>
        <v>93.75</v>
      </c>
      <c r="N555" s="344">
        <f t="shared" si="40"/>
        <v>0</v>
      </c>
    </row>
    <row r="556" spans="1:14" ht="12.75" customHeight="1">
      <c r="A556" s="326">
        <f t="shared" si="39"/>
        <v>555</v>
      </c>
      <c r="B556" s="533">
        <v>6600</v>
      </c>
      <c r="C556" s="472">
        <v>4341</v>
      </c>
      <c r="D556" s="472" t="s">
        <v>466</v>
      </c>
      <c r="E556" s="472">
        <v>5151</v>
      </c>
      <c r="F556" s="389" t="s">
        <v>451</v>
      </c>
      <c r="G556" s="420"/>
      <c r="H556" s="337">
        <v>300</v>
      </c>
      <c r="I556" s="337">
        <v>300</v>
      </c>
      <c r="J556" s="338">
        <v>256</v>
      </c>
      <c r="K556" s="339">
        <f t="shared" si="41"/>
        <v>-44</v>
      </c>
      <c r="L556" s="343">
        <f t="shared" si="42"/>
        <v>85.33333333333334</v>
      </c>
      <c r="N556" s="344">
        <f t="shared" si="40"/>
        <v>0</v>
      </c>
    </row>
    <row r="557" spans="1:14" ht="12.75" customHeight="1">
      <c r="A557" s="326">
        <f t="shared" si="39"/>
        <v>556</v>
      </c>
      <c r="B557" s="533">
        <v>6600</v>
      </c>
      <c r="C557" s="472">
        <v>4341</v>
      </c>
      <c r="D557" s="472" t="s">
        <v>466</v>
      </c>
      <c r="E557" s="472">
        <v>5153</v>
      </c>
      <c r="F557" s="389" t="s">
        <v>380</v>
      </c>
      <c r="G557" s="420"/>
      <c r="H557" s="337">
        <v>1140</v>
      </c>
      <c r="I557" s="337">
        <v>1004</v>
      </c>
      <c r="J557" s="338">
        <v>564</v>
      </c>
      <c r="K557" s="339">
        <f t="shared" si="41"/>
        <v>-440</v>
      </c>
      <c r="L557" s="343">
        <f t="shared" si="42"/>
        <v>56.17529880478087</v>
      </c>
      <c r="N557" s="344">
        <f t="shared" si="40"/>
        <v>0</v>
      </c>
    </row>
    <row r="558" spans="1:14" ht="12.75" customHeight="1">
      <c r="A558" s="326">
        <f t="shared" si="39"/>
        <v>557</v>
      </c>
      <c r="B558" s="533">
        <v>6600</v>
      </c>
      <c r="C558" s="472">
        <v>4341</v>
      </c>
      <c r="D558" s="472" t="s">
        <v>466</v>
      </c>
      <c r="E558" s="472">
        <v>5154</v>
      </c>
      <c r="F558" s="389" t="s">
        <v>347</v>
      </c>
      <c r="G558" s="420"/>
      <c r="H558" s="337">
        <v>397</v>
      </c>
      <c r="I558" s="337">
        <v>397</v>
      </c>
      <c r="J558" s="338">
        <v>394</v>
      </c>
      <c r="K558" s="339">
        <f t="shared" si="41"/>
        <v>-3</v>
      </c>
      <c r="L558" s="343">
        <f t="shared" si="42"/>
        <v>99.24433249370277</v>
      </c>
      <c r="N558" s="344">
        <f t="shared" si="40"/>
        <v>0</v>
      </c>
    </row>
    <row r="559" spans="1:14" ht="12.75" customHeight="1">
      <c r="A559" s="326">
        <f t="shared" si="39"/>
        <v>558</v>
      </c>
      <c r="B559" s="533">
        <v>6600</v>
      </c>
      <c r="C559" s="472">
        <v>4341</v>
      </c>
      <c r="D559" s="472" t="s">
        <v>466</v>
      </c>
      <c r="E559" s="259">
        <v>5169</v>
      </c>
      <c r="F559" s="259" t="s">
        <v>316</v>
      </c>
      <c r="G559" s="336"/>
      <c r="H559" s="337">
        <v>204</v>
      </c>
      <c r="I559" s="337">
        <v>222</v>
      </c>
      <c r="J559" s="338">
        <v>216</v>
      </c>
      <c r="K559" s="339">
        <f t="shared" si="41"/>
        <v>-6</v>
      </c>
      <c r="L559" s="343">
        <f t="shared" si="42"/>
        <v>97.2972972972973</v>
      </c>
      <c r="N559" s="344">
        <f t="shared" si="40"/>
        <v>0</v>
      </c>
    </row>
    <row r="560" spans="1:14" ht="12.75" customHeight="1">
      <c r="A560" s="326">
        <f t="shared" si="39"/>
        <v>559</v>
      </c>
      <c r="B560" s="533">
        <v>6600</v>
      </c>
      <c r="C560" s="472">
        <v>4341</v>
      </c>
      <c r="D560" s="472" t="s">
        <v>466</v>
      </c>
      <c r="E560" s="259">
        <v>5171</v>
      </c>
      <c r="F560" s="389" t="s">
        <v>384</v>
      </c>
      <c r="G560" s="420"/>
      <c r="H560" s="337">
        <v>1220</v>
      </c>
      <c r="I560" s="337">
        <v>1334</v>
      </c>
      <c r="J560" s="338">
        <v>1299</v>
      </c>
      <c r="K560" s="339">
        <f t="shared" si="41"/>
        <v>-35</v>
      </c>
      <c r="L560" s="343">
        <f t="shared" si="42"/>
        <v>97.37631184407796</v>
      </c>
      <c r="N560" s="344">
        <f t="shared" si="40"/>
        <v>0</v>
      </c>
    </row>
    <row r="561" spans="1:14" ht="12.75" customHeight="1">
      <c r="A561" s="326">
        <f t="shared" si="39"/>
        <v>560</v>
      </c>
      <c r="B561" s="446"/>
      <c r="C561" s="447" t="s">
        <v>408</v>
      </c>
      <c r="D561" s="381"/>
      <c r="E561" s="347"/>
      <c r="F561" s="421"/>
      <c r="G561" s="422"/>
      <c r="H561" s="349">
        <f>SUBTOTAL(9,H555:H560)</f>
        <v>3273</v>
      </c>
      <c r="I561" s="349">
        <f>SUBTOTAL(9,I555:I560)</f>
        <v>3273</v>
      </c>
      <c r="J561" s="349">
        <f>SUBTOTAL(9,J555:J560)</f>
        <v>2744</v>
      </c>
      <c r="K561" s="456">
        <f t="shared" si="41"/>
        <v>-529</v>
      </c>
      <c r="L561" s="396">
        <f t="shared" si="42"/>
        <v>83.83745798961198</v>
      </c>
      <c r="N561" s="344">
        <f t="shared" si="40"/>
        <v>0</v>
      </c>
    </row>
    <row r="562" spans="1:14" ht="12.75" customHeight="1">
      <c r="A562" s="326">
        <f t="shared" si="39"/>
        <v>561</v>
      </c>
      <c r="B562" s="533">
        <v>6600</v>
      </c>
      <c r="C562" s="472">
        <v>4399</v>
      </c>
      <c r="D562" s="356" t="s">
        <v>467</v>
      </c>
      <c r="E562" s="259">
        <v>5151</v>
      </c>
      <c r="F562" s="389" t="s">
        <v>451</v>
      </c>
      <c r="G562" s="420"/>
      <c r="H562" s="467"/>
      <c r="I562" s="467">
        <v>7</v>
      </c>
      <c r="J562" s="361">
        <v>7</v>
      </c>
      <c r="K562" s="547">
        <f t="shared" si="41"/>
        <v>0</v>
      </c>
      <c r="L562" s="550">
        <f t="shared" si="42"/>
        <v>100</v>
      </c>
      <c r="N562" s="344">
        <f t="shared" si="40"/>
        <v>0</v>
      </c>
    </row>
    <row r="563" spans="1:14" ht="12.75" customHeight="1">
      <c r="A563" s="326">
        <f t="shared" si="39"/>
        <v>562</v>
      </c>
      <c r="B563" s="533">
        <v>6600</v>
      </c>
      <c r="C563" s="472">
        <v>4399</v>
      </c>
      <c r="D563" s="356" t="s">
        <v>467</v>
      </c>
      <c r="E563" s="259">
        <v>5152</v>
      </c>
      <c r="F563" s="389" t="s">
        <v>464</v>
      </c>
      <c r="G563" s="420"/>
      <c r="H563" s="467"/>
      <c r="I563" s="467">
        <v>34</v>
      </c>
      <c r="J563" s="361">
        <v>34</v>
      </c>
      <c r="K563" s="547">
        <f t="shared" si="41"/>
        <v>0</v>
      </c>
      <c r="L563" s="550">
        <f t="shared" si="42"/>
        <v>100</v>
      </c>
      <c r="N563" s="344">
        <f t="shared" si="40"/>
        <v>0</v>
      </c>
    </row>
    <row r="564" spans="1:14" ht="12.75" customHeight="1">
      <c r="A564" s="326">
        <f t="shared" si="39"/>
        <v>563</v>
      </c>
      <c r="B564" s="533">
        <v>6600</v>
      </c>
      <c r="C564" s="472">
        <v>4399</v>
      </c>
      <c r="D564" s="356" t="s">
        <v>467</v>
      </c>
      <c r="E564" s="259">
        <v>5154</v>
      </c>
      <c r="F564" s="389" t="s">
        <v>347</v>
      </c>
      <c r="G564" s="420"/>
      <c r="H564" s="467"/>
      <c r="I564" s="467">
        <v>33</v>
      </c>
      <c r="J564" s="361">
        <v>33</v>
      </c>
      <c r="K564" s="547">
        <f t="shared" si="41"/>
        <v>0</v>
      </c>
      <c r="L564" s="550">
        <f t="shared" si="42"/>
        <v>100</v>
      </c>
      <c r="N564" s="344">
        <f t="shared" si="40"/>
        <v>0</v>
      </c>
    </row>
    <row r="565" spans="1:14" ht="12.75" customHeight="1">
      <c r="A565" s="326">
        <f t="shared" si="39"/>
        <v>564</v>
      </c>
      <c r="B565" s="446"/>
      <c r="C565" s="447" t="s">
        <v>468</v>
      </c>
      <c r="D565" s="381"/>
      <c r="E565" s="347"/>
      <c r="F565" s="421"/>
      <c r="G565" s="422"/>
      <c r="H565" s="349">
        <f>SUBTOTAL(9,H562:H564)</f>
        <v>0</v>
      </c>
      <c r="I565" s="349">
        <f>SUBTOTAL(9,I562:I564)</f>
        <v>74</v>
      </c>
      <c r="J565" s="352">
        <f>SUBTOTAL(9,J562:J564)</f>
        <v>74</v>
      </c>
      <c r="K565" s="456">
        <f t="shared" si="41"/>
        <v>0</v>
      </c>
      <c r="L565" s="396">
        <f t="shared" si="42"/>
        <v>100</v>
      </c>
      <c r="N565" s="344">
        <f t="shared" si="40"/>
        <v>0</v>
      </c>
    </row>
    <row r="566" spans="1:14" ht="12.75" customHeight="1">
      <c r="A566" s="326">
        <f t="shared" si="39"/>
        <v>565</v>
      </c>
      <c r="B566" s="533">
        <v>6600</v>
      </c>
      <c r="C566" s="472">
        <v>6171</v>
      </c>
      <c r="D566" s="472" t="s">
        <v>9</v>
      </c>
      <c r="E566" s="259">
        <v>5137</v>
      </c>
      <c r="F566" s="259" t="s">
        <v>346</v>
      </c>
      <c r="G566" s="420"/>
      <c r="H566" s="467"/>
      <c r="I566" s="467">
        <v>49</v>
      </c>
      <c r="J566" s="361">
        <v>49</v>
      </c>
      <c r="K566" s="547">
        <f t="shared" si="41"/>
        <v>0</v>
      </c>
      <c r="L566" s="550">
        <f t="shared" si="42"/>
        <v>100</v>
      </c>
      <c r="N566" s="344">
        <f t="shared" si="40"/>
        <v>0</v>
      </c>
    </row>
    <row r="567" spans="1:14" ht="12.75" customHeight="1">
      <c r="A567" s="326">
        <f t="shared" si="39"/>
        <v>566</v>
      </c>
      <c r="B567" s="533">
        <v>6600</v>
      </c>
      <c r="C567" s="472">
        <v>6171</v>
      </c>
      <c r="D567" s="472" t="s">
        <v>9</v>
      </c>
      <c r="E567" s="259">
        <v>5139</v>
      </c>
      <c r="F567" s="389" t="s">
        <v>342</v>
      </c>
      <c r="G567" s="420"/>
      <c r="H567" s="337">
        <v>1046</v>
      </c>
      <c r="I567" s="337">
        <v>987</v>
      </c>
      <c r="J567" s="338">
        <v>423</v>
      </c>
      <c r="K567" s="339">
        <f t="shared" si="41"/>
        <v>-564</v>
      </c>
      <c r="L567" s="343">
        <f t="shared" si="42"/>
        <v>42.857142857142854</v>
      </c>
      <c r="N567" s="344">
        <f t="shared" si="40"/>
        <v>0</v>
      </c>
    </row>
    <row r="568" spans="1:14" ht="12.75" customHeight="1">
      <c r="A568" s="326">
        <f t="shared" si="39"/>
        <v>567</v>
      </c>
      <c r="B568" s="533">
        <v>6600</v>
      </c>
      <c r="C568" s="472">
        <v>6171</v>
      </c>
      <c r="D568" s="472" t="s">
        <v>9</v>
      </c>
      <c r="E568" s="472">
        <v>5151</v>
      </c>
      <c r="F568" s="389" t="s">
        <v>451</v>
      </c>
      <c r="G568" s="420"/>
      <c r="H568" s="337">
        <v>1741</v>
      </c>
      <c r="I568" s="337">
        <v>1745</v>
      </c>
      <c r="J568" s="338">
        <v>1525</v>
      </c>
      <c r="K568" s="339">
        <f t="shared" si="41"/>
        <v>-220</v>
      </c>
      <c r="L568" s="343">
        <f t="shared" si="42"/>
        <v>87.39255014326648</v>
      </c>
      <c r="N568" s="344">
        <f t="shared" si="40"/>
        <v>0</v>
      </c>
    </row>
    <row r="569" spans="1:14" ht="12.75" customHeight="1">
      <c r="A569" s="326">
        <f t="shared" si="39"/>
        <v>568</v>
      </c>
      <c r="B569" s="533">
        <v>6600</v>
      </c>
      <c r="C569" s="472">
        <v>6171</v>
      </c>
      <c r="D569" s="472" t="s">
        <v>9</v>
      </c>
      <c r="E569" s="472">
        <v>5152</v>
      </c>
      <c r="F569" s="389" t="s">
        <v>464</v>
      </c>
      <c r="G569" s="420"/>
      <c r="H569" s="337">
        <v>10506</v>
      </c>
      <c r="I569" s="337">
        <v>10520</v>
      </c>
      <c r="J569" s="338">
        <v>8584</v>
      </c>
      <c r="K569" s="339">
        <f t="shared" si="41"/>
        <v>-1936</v>
      </c>
      <c r="L569" s="343">
        <f t="shared" si="42"/>
        <v>81.59695817490494</v>
      </c>
      <c r="N569" s="344">
        <f t="shared" si="40"/>
        <v>0</v>
      </c>
    </row>
    <row r="570" spans="1:14" ht="12.75" customHeight="1">
      <c r="A570" s="326">
        <f t="shared" si="39"/>
        <v>569</v>
      </c>
      <c r="B570" s="533">
        <v>6600</v>
      </c>
      <c r="C570" s="472">
        <v>6171</v>
      </c>
      <c r="D570" s="472" t="s">
        <v>9</v>
      </c>
      <c r="E570" s="472">
        <v>5153</v>
      </c>
      <c r="F570" s="389" t="s">
        <v>380</v>
      </c>
      <c r="G570" s="420"/>
      <c r="H570" s="337">
        <v>376</v>
      </c>
      <c r="I570" s="337">
        <v>376</v>
      </c>
      <c r="J570" s="338">
        <v>181</v>
      </c>
      <c r="K570" s="339">
        <f t="shared" si="41"/>
        <v>-195</v>
      </c>
      <c r="L570" s="343">
        <f t="shared" si="42"/>
        <v>48.138297872340424</v>
      </c>
      <c r="N570" s="344">
        <f t="shared" si="40"/>
        <v>0</v>
      </c>
    </row>
    <row r="571" spans="1:14" ht="12.75" customHeight="1">
      <c r="A571" s="326">
        <f t="shared" si="39"/>
        <v>570</v>
      </c>
      <c r="B571" s="533">
        <v>6600</v>
      </c>
      <c r="C571" s="472">
        <v>6171</v>
      </c>
      <c r="D571" s="472" t="s">
        <v>9</v>
      </c>
      <c r="E571" s="472">
        <v>5154</v>
      </c>
      <c r="F571" s="389" t="s">
        <v>347</v>
      </c>
      <c r="G571" s="420"/>
      <c r="H571" s="337">
        <v>9026</v>
      </c>
      <c r="I571" s="337">
        <v>9042</v>
      </c>
      <c r="J571" s="338">
        <v>8090</v>
      </c>
      <c r="K571" s="339">
        <f t="shared" si="41"/>
        <v>-952</v>
      </c>
      <c r="L571" s="343">
        <f t="shared" si="42"/>
        <v>89.47135589471355</v>
      </c>
      <c r="N571" s="344">
        <f t="shared" si="40"/>
        <v>0</v>
      </c>
    </row>
    <row r="572" spans="1:14" ht="12.75" customHeight="1">
      <c r="A572" s="326">
        <f t="shared" si="39"/>
        <v>571</v>
      </c>
      <c r="B572" s="533">
        <v>6600</v>
      </c>
      <c r="C572" s="472">
        <v>6171</v>
      </c>
      <c r="D572" s="472" t="s">
        <v>9</v>
      </c>
      <c r="E572" s="472">
        <v>5161</v>
      </c>
      <c r="F572" s="259" t="s">
        <v>381</v>
      </c>
      <c r="G572" s="420"/>
      <c r="H572" s="337"/>
      <c r="I572" s="337">
        <v>1</v>
      </c>
      <c r="J572" s="338"/>
      <c r="K572" s="339">
        <f t="shared" si="41"/>
        <v>-1</v>
      </c>
      <c r="L572" s="343">
        <f t="shared" si="42"/>
        <v>0</v>
      </c>
      <c r="N572" s="344">
        <f t="shared" si="40"/>
        <v>0</v>
      </c>
    </row>
    <row r="573" spans="1:14" ht="12.75" customHeight="1">
      <c r="A573" s="326">
        <f t="shared" si="39"/>
        <v>572</v>
      </c>
      <c r="B573" s="533">
        <v>6600</v>
      </c>
      <c r="C573" s="472">
        <v>6171</v>
      </c>
      <c r="D573" s="472" t="s">
        <v>9</v>
      </c>
      <c r="E573" s="259">
        <v>5162</v>
      </c>
      <c r="F573" s="389" t="s">
        <v>382</v>
      </c>
      <c r="G573" s="420"/>
      <c r="H573" s="337"/>
      <c r="I573" s="337">
        <v>10</v>
      </c>
      <c r="J573" s="338">
        <v>5</v>
      </c>
      <c r="K573" s="339">
        <f t="shared" si="41"/>
        <v>-5</v>
      </c>
      <c r="L573" s="343">
        <f t="shared" si="42"/>
        <v>50</v>
      </c>
      <c r="N573" s="344">
        <f t="shared" si="40"/>
        <v>0</v>
      </c>
    </row>
    <row r="574" spans="1:14" ht="12.75" customHeight="1">
      <c r="A574" s="326">
        <f t="shared" si="39"/>
        <v>573</v>
      </c>
      <c r="B574" s="533">
        <v>6600</v>
      </c>
      <c r="C574" s="472">
        <v>6171</v>
      </c>
      <c r="D574" s="472" t="s">
        <v>9</v>
      </c>
      <c r="E574" s="472">
        <v>5163</v>
      </c>
      <c r="F574" s="259" t="s">
        <v>323</v>
      </c>
      <c r="G574" s="420"/>
      <c r="H574" s="337">
        <v>196</v>
      </c>
      <c r="I574" s="337">
        <v>195</v>
      </c>
      <c r="J574" s="338">
        <v>171</v>
      </c>
      <c r="K574" s="339">
        <f t="shared" si="41"/>
        <v>-24</v>
      </c>
      <c r="L574" s="343">
        <f t="shared" si="42"/>
        <v>87.6923076923077</v>
      </c>
      <c r="N574" s="344">
        <f t="shared" si="40"/>
        <v>0</v>
      </c>
    </row>
    <row r="575" spans="1:14" ht="12.75" customHeight="1">
      <c r="A575" s="326">
        <f t="shared" si="39"/>
        <v>574</v>
      </c>
      <c r="B575" s="533">
        <v>6600</v>
      </c>
      <c r="C575" s="472">
        <v>6171</v>
      </c>
      <c r="D575" s="472" t="s">
        <v>9</v>
      </c>
      <c r="E575" s="472">
        <v>5164</v>
      </c>
      <c r="F575" s="389" t="s">
        <v>348</v>
      </c>
      <c r="G575" s="420"/>
      <c r="H575" s="337">
        <v>3209</v>
      </c>
      <c r="I575" s="337">
        <v>3209</v>
      </c>
      <c r="J575" s="338">
        <v>3103</v>
      </c>
      <c r="K575" s="339">
        <f t="shared" si="41"/>
        <v>-106</v>
      </c>
      <c r="L575" s="343">
        <f t="shared" si="42"/>
        <v>96.69679027734497</v>
      </c>
      <c r="N575" s="344">
        <f t="shared" si="40"/>
        <v>0</v>
      </c>
    </row>
    <row r="576" spans="1:14" ht="12.75" customHeight="1">
      <c r="A576" s="326">
        <f t="shared" si="39"/>
        <v>575</v>
      </c>
      <c r="B576" s="533">
        <v>6600</v>
      </c>
      <c r="C576" s="472">
        <v>6171</v>
      </c>
      <c r="D576" s="472" t="s">
        <v>9</v>
      </c>
      <c r="E576" s="472">
        <v>5166</v>
      </c>
      <c r="F576" s="389" t="s">
        <v>315</v>
      </c>
      <c r="G576" s="420"/>
      <c r="H576" s="337">
        <v>150</v>
      </c>
      <c r="I576" s="337">
        <v>150</v>
      </c>
      <c r="J576" s="338">
        <v>21</v>
      </c>
      <c r="K576" s="339">
        <f t="shared" si="41"/>
        <v>-129</v>
      </c>
      <c r="L576" s="343">
        <f t="shared" si="42"/>
        <v>14.000000000000002</v>
      </c>
      <c r="N576" s="344">
        <f t="shared" si="40"/>
        <v>0</v>
      </c>
    </row>
    <row r="577" spans="1:14" ht="12.75" customHeight="1">
      <c r="A577" s="326">
        <f t="shared" si="39"/>
        <v>576</v>
      </c>
      <c r="B577" s="533">
        <v>6600</v>
      </c>
      <c r="C577" s="472">
        <v>6171</v>
      </c>
      <c r="D577" s="472" t="s">
        <v>9</v>
      </c>
      <c r="E577" s="472">
        <v>5169</v>
      </c>
      <c r="F577" s="259" t="s">
        <v>316</v>
      </c>
      <c r="G577" s="336"/>
      <c r="H577" s="337">
        <v>21828</v>
      </c>
      <c r="I577" s="337">
        <v>21840</v>
      </c>
      <c r="J577" s="338">
        <v>15945</v>
      </c>
      <c r="K577" s="339">
        <f t="shared" si="41"/>
        <v>-5895</v>
      </c>
      <c r="L577" s="343">
        <f t="shared" si="42"/>
        <v>73.00824175824175</v>
      </c>
      <c r="N577" s="344">
        <f t="shared" si="40"/>
        <v>0</v>
      </c>
    </row>
    <row r="578" spans="1:14" ht="12.75" customHeight="1">
      <c r="A578" s="326">
        <f t="shared" si="39"/>
        <v>577</v>
      </c>
      <c r="B578" s="533">
        <v>6600</v>
      </c>
      <c r="C578" s="472">
        <v>6171</v>
      </c>
      <c r="D578" s="472" t="s">
        <v>9</v>
      </c>
      <c r="E578" s="472">
        <v>5171</v>
      </c>
      <c r="F578" s="389" t="s">
        <v>384</v>
      </c>
      <c r="G578" s="420"/>
      <c r="H578" s="337">
        <v>21308</v>
      </c>
      <c r="I578" s="337">
        <v>15608</v>
      </c>
      <c r="J578" s="338">
        <v>12205</v>
      </c>
      <c r="K578" s="339">
        <f t="shared" si="41"/>
        <v>-3403</v>
      </c>
      <c r="L578" s="343">
        <f t="shared" si="42"/>
        <v>78.1970784213224</v>
      </c>
      <c r="N578" s="344">
        <f t="shared" si="40"/>
        <v>0</v>
      </c>
    </row>
    <row r="579" spans="1:14" ht="12.75" customHeight="1">
      <c r="A579" s="326">
        <f t="shared" si="39"/>
        <v>578</v>
      </c>
      <c r="B579" s="446"/>
      <c r="C579" s="447" t="s">
        <v>319</v>
      </c>
      <c r="D579" s="447"/>
      <c r="E579" s="447"/>
      <c r="F579" s="421"/>
      <c r="G579" s="422"/>
      <c r="H579" s="349">
        <f>SUBTOTAL(9,H566:H578)</f>
        <v>69386</v>
      </c>
      <c r="I579" s="349">
        <f>SUBTOTAL(9,I566:I578)</f>
        <v>63732</v>
      </c>
      <c r="J579" s="349">
        <f>SUBTOTAL(9,J566:J578)</f>
        <v>50302</v>
      </c>
      <c r="K579" s="450">
        <f t="shared" si="41"/>
        <v>-13430</v>
      </c>
      <c r="L579" s="451">
        <f t="shared" si="42"/>
        <v>78.92738341806313</v>
      </c>
      <c r="N579" s="344">
        <f t="shared" si="40"/>
        <v>0</v>
      </c>
    </row>
    <row r="580" spans="1:14" ht="12.75" customHeight="1">
      <c r="A580" s="326">
        <f aca="true" t="shared" si="43" ref="A580:A643">A579+1</f>
        <v>579</v>
      </c>
      <c r="B580" s="533">
        <v>6600</v>
      </c>
      <c r="C580" s="472">
        <v>6211</v>
      </c>
      <c r="D580" s="356" t="s">
        <v>56</v>
      </c>
      <c r="E580" s="259">
        <v>5137</v>
      </c>
      <c r="F580" s="259" t="s">
        <v>346</v>
      </c>
      <c r="G580" s="551"/>
      <c r="H580" s="467"/>
      <c r="I580" s="467">
        <v>18</v>
      </c>
      <c r="J580" s="361">
        <v>18</v>
      </c>
      <c r="K580" s="552">
        <f t="shared" si="41"/>
        <v>0</v>
      </c>
      <c r="L580" s="553">
        <f t="shared" si="42"/>
        <v>100</v>
      </c>
      <c r="N580" s="344">
        <f aca="true" t="shared" si="44" ref="N580:N643">I580-J580+K580</f>
        <v>0</v>
      </c>
    </row>
    <row r="581" spans="1:14" ht="12.75" customHeight="1">
      <c r="A581" s="326">
        <f t="shared" si="43"/>
        <v>580</v>
      </c>
      <c r="B581" s="533">
        <v>6600</v>
      </c>
      <c r="C581" s="472">
        <v>6211</v>
      </c>
      <c r="D581" s="356" t="s">
        <v>56</v>
      </c>
      <c r="E581" s="472">
        <v>5139</v>
      </c>
      <c r="F581" s="389" t="s">
        <v>342</v>
      </c>
      <c r="G581" s="425"/>
      <c r="H581" s="337">
        <v>20</v>
      </c>
      <c r="I581" s="337">
        <v>20</v>
      </c>
      <c r="J581" s="338">
        <v>17</v>
      </c>
      <c r="K581" s="339">
        <f t="shared" si="41"/>
        <v>-3</v>
      </c>
      <c r="L581" s="343">
        <f t="shared" si="42"/>
        <v>85</v>
      </c>
      <c r="N581" s="344">
        <f t="shared" si="44"/>
        <v>0</v>
      </c>
    </row>
    <row r="582" spans="1:14" ht="12.75" customHeight="1">
      <c r="A582" s="326">
        <f t="shared" si="43"/>
        <v>581</v>
      </c>
      <c r="B582" s="533">
        <v>6600</v>
      </c>
      <c r="C582" s="472">
        <v>6211</v>
      </c>
      <c r="D582" s="356" t="s">
        <v>56</v>
      </c>
      <c r="E582" s="472">
        <v>5151</v>
      </c>
      <c r="F582" s="389" t="s">
        <v>451</v>
      </c>
      <c r="G582" s="425"/>
      <c r="H582" s="337">
        <v>150</v>
      </c>
      <c r="I582" s="337">
        <v>150</v>
      </c>
      <c r="J582" s="338">
        <v>134</v>
      </c>
      <c r="K582" s="339">
        <f t="shared" si="41"/>
        <v>-16</v>
      </c>
      <c r="L582" s="343">
        <f t="shared" si="42"/>
        <v>89.33333333333333</v>
      </c>
      <c r="N582" s="344">
        <f t="shared" si="44"/>
        <v>0</v>
      </c>
    </row>
    <row r="583" spans="1:14" ht="12.75" customHeight="1">
      <c r="A583" s="326">
        <f t="shared" si="43"/>
        <v>582</v>
      </c>
      <c r="B583" s="533">
        <v>6600</v>
      </c>
      <c r="C583" s="472">
        <v>6211</v>
      </c>
      <c r="D583" s="356" t="s">
        <v>56</v>
      </c>
      <c r="E583" s="472">
        <v>5152</v>
      </c>
      <c r="F583" s="389" t="s">
        <v>464</v>
      </c>
      <c r="G583" s="425"/>
      <c r="H583" s="337">
        <v>808</v>
      </c>
      <c r="I583" s="337">
        <v>808</v>
      </c>
      <c r="J583" s="338">
        <v>808</v>
      </c>
      <c r="K583" s="339">
        <f t="shared" si="41"/>
        <v>0</v>
      </c>
      <c r="L583" s="343">
        <f t="shared" si="42"/>
        <v>100</v>
      </c>
      <c r="N583" s="344">
        <f t="shared" si="44"/>
        <v>0</v>
      </c>
    </row>
    <row r="584" spans="1:14" ht="12.75" customHeight="1">
      <c r="A584" s="326">
        <f t="shared" si="43"/>
        <v>583</v>
      </c>
      <c r="B584" s="533">
        <v>6600</v>
      </c>
      <c r="C584" s="472">
        <v>6211</v>
      </c>
      <c r="D584" s="356" t="s">
        <v>56</v>
      </c>
      <c r="E584" s="472">
        <v>5154</v>
      </c>
      <c r="F584" s="389" t="s">
        <v>347</v>
      </c>
      <c r="G584" s="425"/>
      <c r="H584" s="337">
        <v>1195</v>
      </c>
      <c r="I584" s="337">
        <v>1108</v>
      </c>
      <c r="J584" s="338">
        <v>694</v>
      </c>
      <c r="K584" s="339">
        <f t="shared" si="41"/>
        <v>-414</v>
      </c>
      <c r="L584" s="343">
        <f t="shared" si="42"/>
        <v>62.63537906137184</v>
      </c>
      <c r="N584" s="344">
        <f t="shared" si="44"/>
        <v>0</v>
      </c>
    </row>
    <row r="585" spans="1:14" ht="12.75" customHeight="1">
      <c r="A585" s="326">
        <f t="shared" si="43"/>
        <v>584</v>
      </c>
      <c r="B585" s="533">
        <v>6600</v>
      </c>
      <c r="C585" s="472">
        <v>6211</v>
      </c>
      <c r="D585" s="356" t="s">
        <v>56</v>
      </c>
      <c r="E585" s="259">
        <v>5169</v>
      </c>
      <c r="F585" s="259" t="s">
        <v>316</v>
      </c>
      <c r="G585" s="336"/>
      <c r="H585" s="337">
        <v>1397</v>
      </c>
      <c r="I585" s="337">
        <v>1397</v>
      </c>
      <c r="J585" s="338">
        <v>947</v>
      </c>
      <c r="K585" s="339">
        <f aca="true" t="shared" si="45" ref="K585:K671">J585-I585</f>
        <v>-450</v>
      </c>
      <c r="L585" s="343">
        <f aca="true" t="shared" si="46" ref="L585:L671">J585/I585*100</f>
        <v>67.7881173944166</v>
      </c>
      <c r="N585" s="344">
        <f t="shared" si="44"/>
        <v>0</v>
      </c>
    </row>
    <row r="586" spans="1:14" ht="12.75" customHeight="1">
      <c r="A586" s="326">
        <f t="shared" si="43"/>
        <v>585</v>
      </c>
      <c r="B586" s="533">
        <v>6600</v>
      </c>
      <c r="C586" s="472">
        <v>6211</v>
      </c>
      <c r="D586" s="356" t="s">
        <v>56</v>
      </c>
      <c r="E586" s="259">
        <v>5171</v>
      </c>
      <c r="F586" s="389" t="s">
        <v>384</v>
      </c>
      <c r="G586" s="425"/>
      <c r="H586" s="337">
        <v>620</v>
      </c>
      <c r="I586" s="337">
        <v>620</v>
      </c>
      <c r="J586" s="338">
        <v>456</v>
      </c>
      <c r="K586" s="339">
        <f t="shared" si="45"/>
        <v>-164</v>
      </c>
      <c r="L586" s="343">
        <f t="shared" si="46"/>
        <v>73.54838709677419</v>
      </c>
      <c r="N586" s="344">
        <f t="shared" si="44"/>
        <v>0</v>
      </c>
    </row>
    <row r="587" spans="1:14" ht="12.75" customHeight="1">
      <c r="A587" s="326">
        <f t="shared" si="43"/>
        <v>586</v>
      </c>
      <c r="B587" s="446"/>
      <c r="C587" s="447" t="s">
        <v>398</v>
      </c>
      <c r="D587" s="381"/>
      <c r="E587" s="347"/>
      <c r="F587" s="421"/>
      <c r="G587" s="425"/>
      <c r="H587" s="349">
        <f>SUBTOTAL(9,H580:H586)</f>
        <v>4190</v>
      </c>
      <c r="I587" s="349">
        <f>SUBTOTAL(9,I580:I586)</f>
        <v>4121</v>
      </c>
      <c r="J587" s="349">
        <f>SUBTOTAL(9,J580:J586)</f>
        <v>3074</v>
      </c>
      <c r="K587" s="450">
        <f t="shared" si="45"/>
        <v>-1047</v>
      </c>
      <c r="L587" s="451">
        <f t="shared" si="46"/>
        <v>74.59354525600583</v>
      </c>
      <c r="N587" s="344">
        <f t="shared" si="44"/>
        <v>0</v>
      </c>
    </row>
    <row r="588" spans="1:14" ht="13.5" customHeight="1" thickBot="1">
      <c r="A588" s="326">
        <f t="shared" si="43"/>
        <v>587</v>
      </c>
      <c r="B588" s="366" t="s">
        <v>82</v>
      </c>
      <c r="C588" s="367"/>
      <c r="D588" s="367"/>
      <c r="E588" s="367"/>
      <c r="F588" s="367"/>
      <c r="G588" s="368"/>
      <c r="H588" s="369">
        <f>SUBTOTAL(9,H521:H587)</f>
        <v>156438</v>
      </c>
      <c r="I588" s="369">
        <f>SUBTOTAL(9,I521:I587)</f>
        <v>174419</v>
      </c>
      <c r="J588" s="369">
        <f>SUBTOTAL(9,J521:J587)</f>
        <v>139129</v>
      </c>
      <c r="K588" s="370">
        <f t="shared" si="45"/>
        <v>-35290</v>
      </c>
      <c r="L588" s="371">
        <f t="shared" si="46"/>
        <v>79.76711252787827</v>
      </c>
      <c r="N588" s="344">
        <f t="shared" si="44"/>
        <v>0</v>
      </c>
    </row>
    <row r="589" spans="1:14" ht="12.75">
      <c r="A589" s="326">
        <f t="shared" si="43"/>
        <v>588</v>
      </c>
      <c r="B589" s="446"/>
      <c r="C589" s="447"/>
      <c r="D589" s="447"/>
      <c r="E589" s="447"/>
      <c r="F589" s="421"/>
      <c r="G589" s="422"/>
      <c r="H589" s="448">
        <v>0</v>
      </c>
      <c r="I589" s="448"/>
      <c r="J589" s="449"/>
      <c r="K589" s="450"/>
      <c r="L589" s="451"/>
      <c r="N589" s="344">
        <f t="shared" si="44"/>
        <v>0</v>
      </c>
    </row>
    <row r="590" spans="1:14" ht="15.75">
      <c r="A590" s="326">
        <f t="shared" si="43"/>
        <v>589</v>
      </c>
      <c r="B590" s="380" t="s">
        <v>187</v>
      </c>
      <c r="C590" s="356"/>
      <c r="D590" s="356"/>
      <c r="E590" s="554"/>
      <c r="F590" s="488"/>
      <c r="G590" s="555"/>
      <c r="H590" s="463">
        <v>0</v>
      </c>
      <c r="I590" s="463"/>
      <c r="J590" s="464"/>
      <c r="K590" s="465"/>
      <c r="L590" s="466"/>
      <c r="N590" s="344">
        <f t="shared" si="44"/>
        <v>0</v>
      </c>
    </row>
    <row r="591" spans="1:14" ht="12.75" customHeight="1">
      <c r="A591" s="326">
        <f t="shared" si="43"/>
        <v>590</v>
      </c>
      <c r="B591" s="486">
        <v>7100</v>
      </c>
      <c r="C591" s="356">
        <v>3511</v>
      </c>
      <c r="D591" s="356" t="s">
        <v>13</v>
      </c>
      <c r="E591" s="554">
        <v>5331</v>
      </c>
      <c r="F591" s="389" t="s">
        <v>337</v>
      </c>
      <c r="G591" s="336" t="s">
        <v>469</v>
      </c>
      <c r="H591" s="337">
        <v>10653</v>
      </c>
      <c r="I591" s="337">
        <v>13153</v>
      </c>
      <c r="J591" s="338">
        <v>13153</v>
      </c>
      <c r="K591" s="339">
        <f>J591-I591</f>
        <v>0</v>
      </c>
      <c r="L591" s="343">
        <f>J591/I591*100</f>
        <v>100</v>
      </c>
      <c r="N591" s="344">
        <f t="shared" si="44"/>
        <v>0</v>
      </c>
    </row>
    <row r="592" spans="1:14" ht="12.75" customHeight="1">
      <c r="A592" s="326">
        <f t="shared" si="43"/>
        <v>591</v>
      </c>
      <c r="B592" s="486">
        <v>7100</v>
      </c>
      <c r="C592" s="356">
        <v>3511</v>
      </c>
      <c r="D592" s="356" t="s">
        <v>13</v>
      </c>
      <c r="E592" s="554">
        <v>5336</v>
      </c>
      <c r="F592" s="389" t="s">
        <v>339</v>
      </c>
      <c r="G592" s="336" t="s">
        <v>469</v>
      </c>
      <c r="H592" s="337">
        <v>0</v>
      </c>
      <c r="I592" s="337">
        <v>1446</v>
      </c>
      <c r="J592" s="338">
        <v>1446</v>
      </c>
      <c r="K592" s="339">
        <f t="shared" si="45"/>
        <v>0</v>
      </c>
      <c r="L592" s="343">
        <f t="shared" si="46"/>
        <v>100</v>
      </c>
      <c r="N592" s="344">
        <f t="shared" si="44"/>
        <v>0</v>
      </c>
    </row>
    <row r="593" spans="1:14" ht="12.75" customHeight="1">
      <c r="A593" s="326">
        <f t="shared" si="43"/>
        <v>592</v>
      </c>
      <c r="B593" s="487"/>
      <c r="C593" s="381" t="s">
        <v>314</v>
      </c>
      <c r="D593" s="381"/>
      <c r="E593" s="556"/>
      <c r="F593" s="347"/>
      <c r="G593" s="348"/>
      <c r="H593" s="349">
        <f>SUBTOTAL(9,H591:H592)</f>
        <v>10653</v>
      </c>
      <c r="I593" s="349">
        <f>SUBTOTAL(9,I591:I592)</f>
        <v>14599</v>
      </c>
      <c r="J593" s="349">
        <f>SUBTOTAL(9,J591:J592)</f>
        <v>14599</v>
      </c>
      <c r="K593" s="557">
        <f t="shared" si="45"/>
        <v>0</v>
      </c>
      <c r="L593" s="558">
        <f t="shared" si="46"/>
        <v>100</v>
      </c>
      <c r="N593" s="344">
        <f t="shared" si="44"/>
        <v>0</v>
      </c>
    </row>
    <row r="594" spans="1:14" ht="12.75" customHeight="1">
      <c r="A594" s="326">
        <f t="shared" si="43"/>
        <v>593</v>
      </c>
      <c r="B594" s="486">
        <v>7100</v>
      </c>
      <c r="C594" s="356">
        <v>3522</v>
      </c>
      <c r="D594" s="356" t="s">
        <v>201</v>
      </c>
      <c r="E594" s="554">
        <v>5331</v>
      </c>
      <c r="F594" s="389" t="s">
        <v>337</v>
      </c>
      <c r="G594" s="336" t="s">
        <v>470</v>
      </c>
      <c r="H594" s="337">
        <v>21512</v>
      </c>
      <c r="I594" s="337">
        <v>11012</v>
      </c>
      <c r="J594" s="338">
        <v>11012</v>
      </c>
      <c r="K594" s="339">
        <f t="shared" si="45"/>
        <v>0</v>
      </c>
      <c r="L594" s="343">
        <f t="shared" si="46"/>
        <v>100</v>
      </c>
      <c r="N594" s="344">
        <f t="shared" si="44"/>
        <v>0</v>
      </c>
    </row>
    <row r="595" spans="1:14" ht="12.75" customHeight="1">
      <c r="A595" s="326">
        <f t="shared" si="43"/>
        <v>594</v>
      </c>
      <c r="B595" s="486">
        <v>7100</v>
      </c>
      <c r="C595" s="356">
        <v>3522</v>
      </c>
      <c r="D595" s="356" t="s">
        <v>201</v>
      </c>
      <c r="E595" s="554">
        <v>5331</v>
      </c>
      <c r="F595" s="389" t="s">
        <v>337</v>
      </c>
      <c r="G595" s="336" t="s">
        <v>471</v>
      </c>
      <c r="H595" s="337">
        <v>0</v>
      </c>
      <c r="I595" s="337">
        <v>35000</v>
      </c>
      <c r="J595" s="338">
        <v>35000</v>
      </c>
      <c r="K595" s="339">
        <f t="shared" si="45"/>
        <v>0</v>
      </c>
      <c r="L595" s="343">
        <f t="shared" si="46"/>
        <v>100</v>
      </c>
      <c r="N595" s="344">
        <f t="shared" si="44"/>
        <v>0</v>
      </c>
    </row>
    <row r="596" spans="1:14" ht="12.75" customHeight="1">
      <c r="A596" s="326">
        <f t="shared" si="43"/>
        <v>595</v>
      </c>
      <c r="B596" s="486">
        <v>7100</v>
      </c>
      <c r="C596" s="356">
        <v>3522</v>
      </c>
      <c r="D596" s="356" t="s">
        <v>201</v>
      </c>
      <c r="E596" s="554">
        <v>5336</v>
      </c>
      <c r="F596" s="389" t="s">
        <v>339</v>
      </c>
      <c r="G596" s="336" t="s">
        <v>471</v>
      </c>
      <c r="H596" s="337">
        <v>0</v>
      </c>
      <c r="I596" s="337">
        <v>592</v>
      </c>
      <c r="J596" s="338">
        <v>592</v>
      </c>
      <c r="K596" s="339">
        <f t="shared" si="45"/>
        <v>0</v>
      </c>
      <c r="L596" s="343">
        <f t="shared" si="46"/>
        <v>100</v>
      </c>
      <c r="N596" s="344">
        <f t="shared" si="44"/>
        <v>0</v>
      </c>
    </row>
    <row r="597" spans="1:14" ht="12.75" customHeight="1">
      <c r="A597" s="326">
        <f t="shared" si="43"/>
        <v>596</v>
      </c>
      <c r="B597" s="486">
        <v>7100</v>
      </c>
      <c r="C597" s="356">
        <v>3522</v>
      </c>
      <c r="D597" s="356" t="s">
        <v>201</v>
      </c>
      <c r="E597" s="554">
        <v>5651</v>
      </c>
      <c r="F597" s="259" t="s">
        <v>472</v>
      </c>
      <c r="G597" s="336" t="s">
        <v>471</v>
      </c>
      <c r="H597" s="337">
        <v>20000</v>
      </c>
      <c r="I597" s="337">
        <v>20000</v>
      </c>
      <c r="J597" s="338">
        <v>20000</v>
      </c>
      <c r="K597" s="339">
        <f t="shared" si="45"/>
        <v>0</v>
      </c>
      <c r="L597" s="343">
        <f t="shared" si="46"/>
        <v>100</v>
      </c>
      <c r="N597" s="344">
        <f t="shared" si="44"/>
        <v>0</v>
      </c>
    </row>
    <row r="598" spans="1:14" ht="12.75" customHeight="1">
      <c r="A598" s="326">
        <f t="shared" si="43"/>
        <v>597</v>
      </c>
      <c r="B598" s="487"/>
      <c r="C598" s="381" t="s">
        <v>473</v>
      </c>
      <c r="D598" s="381"/>
      <c r="E598" s="556"/>
      <c r="F598" s="347"/>
      <c r="G598" s="348"/>
      <c r="H598" s="349">
        <f>SUBTOTAL(9,H594:H597)</f>
        <v>41512</v>
      </c>
      <c r="I598" s="349">
        <f>SUBTOTAL(9,I594:I597)</f>
        <v>66604</v>
      </c>
      <c r="J598" s="349">
        <f>SUBTOTAL(9,J594:J597)</f>
        <v>66604</v>
      </c>
      <c r="K598" s="559">
        <f t="shared" si="45"/>
        <v>0</v>
      </c>
      <c r="L598" s="560">
        <f t="shared" si="46"/>
        <v>100</v>
      </c>
      <c r="N598" s="344">
        <f t="shared" si="44"/>
        <v>0</v>
      </c>
    </row>
    <row r="599" spans="1:14" ht="12.75" customHeight="1">
      <c r="A599" s="326">
        <f t="shared" si="43"/>
        <v>598</v>
      </c>
      <c r="B599" s="486">
        <v>7100</v>
      </c>
      <c r="C599" s="356">
        <v>3523</v>
      </c>
      <c r="D599" s="356" t="s">
        <v>84</v>
      </c>
      <c r="E599" s="554">
        <v>5331</v>
      </c>
      <c r="F599" s="389" t="s">
        <v>337</v>
      </c>
      <c r="G599" s="336" t="s">
        <v>469</v>
      </c>
      <c r="H599" s="337">
        <v>10881</v>
      </c>
      <c r="I599" s="337">
        <v>11115</v>
      </c>
      <c r="J599" s="338">
        <v>11115</v>
      </c>
      <c r="K599" s="339">
        <f t="shared" si="45"/>
        <v>0</v>
      </c>
      <c r="L599" s="343">
        <f t="shared" si="46"/>
        <v>100</v>
      </c>
      <c r="N599" s="344">
        <f t="shared" si="44"/>
        <v>0</v>
      </c>
    </row>
    <row r="600" spans="1:14" ht="12.75" customHeight="1">
      <c r="A600" s="326">
        <f t="shared" si="43"/>
        <v>599</v>
      </c>
      <c r="B600" s="487"/>
      <c r="C600" s="381" t="s">
        <v>474</v>
      </c>
      <c r="D600" s="381"/>
      <c r="E600" s="556"/>
      <c r="F600" s="347"/>
      <c r="G600" s="348"/>
      <c r="H600" s="349">
        <f>SUBTOTAL(9,H599:H599)</f>
        <v>10881</v>
      </c>
      <c r="I600" s="349">
        <f>SUBTOTAL(9,I599:I599)</f>
        <v>11115</v>
      </c>
      <c r="J600" s="349">
        <f>SUBTOTAL(9,J599:J599)</f>
        <v>11115</v>
      </c>
      <c r="K600" s="470">
        <f t="shared" si="45"/>
        <v>0</v>
      </c>
      <c r="L600" s="396">
        <f t="shared" si="46"/>
        <v>100</v>
      </c>
      <c r="N600" s="344">
        <f t="shared" si="44"/>
        <v>0</v>
      </c>
    </row>
    <row r="601" spans="1:14" ht="12.75" customHeight="1">
      <c r="A601" s="326">
        <f t="shared" si="43"/>
        <v>600</v>
      </c>
      <c r="B601" s="486">
        <v>7100</v>
      </c>
      <c r="C601" s="356">
        <v>3529</v>
      </c>
      <c r="D601" s="356" t="s">
        <v>47</v>
      </c>
      <c r="E601" s="554">
        <v>5331</v>
      </c>
      <c r="F601" s="389" t="s">
        <v>337</v>
      </c>
      <c r="G601" s="561" t="s">
        <v>475</v>
      </c>
      <c r="H601" s="337">
        <v>39601</v>
      </c>
      <c r="I601" s="337">
        <v>39601</v>
      </c>
      <c r="J601" s="338">
        <v>39601</v>
      </c>
      <c r="K601" s="339">
        <f t="shared" si="45"/>
        <v>0</v>
      </c>
      <c r="L601" s="343">
        <f t="shared" si="46"/>
        <v>100</v>
      </c>
      <c r="N601" s="344">
        <f t="shared" si="44"/>
        <v>0</v>
      </c>
    </row>
    <row r="602" spans="1:14" ht="12.75" customHeight="1">
      <c r="A602" s="326">
        <f t="shared" si="43"/>
        <v>601</v>
      </c>
      <c r="B602" s="487"/>
      <c r="C602" s="381" t="s">
        <v>476</v>
      </c>
      <c r="D602" s="381"/>
      <c r="E602" s="556"/>
      <c r="F602" s="381"/>
      <c r="G602" s="406"/>
      <c r="H602" s="349">
        <f>SUBTOTAL(9,H601:H601)</f>
        <v>39601</v>
      </c>
      <c r="I602" s="349">
        <f>SUBTOTAL(9,I601:I601)</f>
        <v>39601</v>
      </c>
      <c r="J602" s="349">
        <f>SUBTOTAL(9,J601:J601)</f>
        <v>39601</v>
      </c>
      <c r="K602" s="470">
        <f t="shared" si="45"/>
        <v>0</v>
      </c>
      <c r="L602" s="471">
        <f t="shared" si="46"/>
        <v>100</v>
      </c>
      <c r="N602" s="344">
        <f t="shared" si="44"/>
        <v>0</v>
      </c>
    </row>
    <row r="603" spans="1:14" ht="12.75" customHeight="1">
      <c r="A603" s="326">
        <f t="shared" si="43"/>
        <v>602</v>
      </c>
      <c r="B603" s="486">
        <v>7100</v>
      </c>
      <c r="C603" s="356">
        <v>3599</v>
      </c>
      <c r="D603" s="356" t="s">
        <v>86</v>
      </c>
      <c r="E603" s="554">
        <v>5136</v>
      </c>
      <c r="F603" s="562" t="s">
        <v>341</v>
      </c>
      <c r="G603" s="336"/>
      <c r="H603" s="337">
        <v>123</v>
      </c>
      <c r="I603" s="337">
        <v>2</v>
      </c>
      <c r="J603" s="338">
        <v>1</v>
      </c>
      <c r="K603" s="339">
        <f t="shared" si="45"/>
        <v>-1</v>
      </c>
      <c r="L603" s="343">
        <f t="shared" si="46"/>
        <v>50</v>
      </c>
      <c r="N603" s="344">
        <f t="shared" si="44"/>
        <v>0</v>
      </c>
    </row>
    <row r="604" spans="1:14" ht="12.75" customHeight="1">
      <c r="A604" s="326">
        <f t="shared" si="43"/>
        <v>603</v>
      </c>
      <c r="B604" s="486">
        <v>7100</v>
      </c>
      <c r="C604" s="356">
        <v>3599</v>
      </c>
      <c r="D604" s="356" t="s">
        <v>86</v>
      </c>
      <c r="E604" s="554">
        <v>5137</v>
      </c>
      <c r="F604" s="259" t="s">
        <v>346</v>
      </c>
      <c r="G604" s="336"/>
      <c r="H604" s="337">
        <v>0</v>
      </c>
      <c r="I604" s="337">
        <v>42</v>
      </c>
      <c r="J604" s="338">
        <v>40</v>
      </c>
      <c r="K604" s="339">
        <f t="shared" si="45"/>
        <v>-2</v>
      </c>
      <c r="L604" s="343">
        <f t="shared" si="46"/>
        <v>95.23809523809523</v>
      </c>
      <c r="N604" s="344">
        <f t="shared" si="44"/>
        <v>0</v>
      </c>
    </row>
    <row r="605" spans="1:14" ht="12.75" customHeight="1">
      <c r="A605" s="326">
        <f t="shared" si="43"/>
        <v>604</v>
      </c>
      <c r="B605" s="486">
        <v>7100</v>
      </c>
      <c r="C605" s="356">
        <v>3599</v>
      </c>
      <c r="D605" s="356" t="s">
        <v>86</v>
      </c>
      <c r="E605" s="554">
        <v>5139</v>
      </c>
      <c r="F605" s="259" t="s">
        <v>342</v>
      </c>
      <c r="G605" s="336"/>
      <c r="H605" s="337">
        <v>220</v>
      </c>
      <c r="I605" s="337">
        <v>403</v>
      </c>
      <c r="J605" s="338">
        <v>380</v>
      </c>
      <c r="K605" s="339">
        <f t="shared" si="45"/>
        <v>-23</v>
      </c>
      <c r="L605" s="343">
        <f t="shared" si="46"/>
        <v>94.29280397022333</v>
      </c>
      <c r="N605" s="344">
        <f t="shared" si="44"/>
        <v>0</v>
      </c>
    </row>
    <row r="606" spans="1:14" ht="12.75" customHeight="1">
      <c r="A606" s="326">
        <f t="shared" si="43"/>
        <v>605</v>
      </c>
      <c r="B606" s="486">
        <v>7100</v>
      </c>
      <c r="C606" s="356">
        <v>3599</v>
      </c>
      <c r="D606" s="356" t="s">
        <v>86</v>
      </c>
      <c r="E606" s="554">
        <v>5154</v>
      </c>
      <c r="F606" s="488" t="s">
        <v>347</v>
      </c>
      <c r="G606" s="555"/>
      <c r="H606" s="337">
        <v>1</v>
      </c>
      <c r="I606" s="337">
        <v>6</v>
      </c>
      <c r="J606" s="338">
        <v>6</v>
      </c>
      <c r="K606" s="339">
        <f t="shared" si="45"/>
        <v>0</v>
      </c>
      <c r="L606" s="343">
        <f t="shared" si="46"/>
        <v>100</v>
      </c>
      <c r="N606" s="344">
        <f t="shared" si="44"/>
        <v>0</v>
      </c>
    </row>
    <row r="607" spans="1:14" ht="12.75" customHeight="1">
      <c r="A607" s="326">
        <f t="shared" si="43"/>
        <v>606</v>
      </c>
      <c r="B607" s="486">
        <v>7100</v>
      </c>
      <c r="C607" s="356">
        <v>3599</v>
      </c>
      <c r="D607" s="356" t="s">
        <v>86</v>
      </c>
      <c r="E607" s="554">
        <v>5163</v>
      </c>
      <c r="F607" s="259" t="s">
        <v>323</v>
      </c>
      <c r="G607" s="336"/>
      <c r="H607" s="337">
        <v>0</v>
      </c>
      <c r="I607" s="337">
        <v>11</v>
      </c>
      <c r="J607" s="338">
        <v>10</v>
      </c>
      <c r="K607" s="339">
        <f t="shared" si="45"/>
        <v>-1</v>
      </c>
      <c r="L607" s="343">
        <f t="shared" si="46"/>
        <v>90.9090909090909</v>
      </c>
      <c r="N607" s="344">
        <f t="shared" si="44"/>
        <v>0</v>
      </c>
    </row>
    <row r="608" spans="1:14" ht="12.75" customHeight="1">
      <c r="A608" s="326">
        <f t="shared" si="43"/>
        <v>607</v>
      </c>
      <c r="B608" s="486">
        <v>7100</v>
      </c>
      <c r="C608" s="356">
        <v>3599</v>
      </c>
      <c r="D608" s="356" t="s">
        <v>86</v>
      </c>
      <c r="E608" s="554">
        <v>5164</v>
      </c>
      <c r="F608" s="488" t="s">
        <v>348</v>
      </c>
      <c r="G608" s="555"/>
      <c r="H608" s="337">
        <v>15</v>
      </c>
      <c r="I608" s="337">
        <v>21</v>
      </c>
      <c r="J608" s="338">
        <v>20</v>
      </c>
      <c r="K608" s="339">
        <f t="shared" si="45"/>
        <v>-1</v>
      </c>
      <c r="L608" s="343">
        <f t="shared" si="46"/>
        <v>95.23809523809523</v>
      </c>
      <c r="N608" s="344">
        <f t="shared" si="44"/>
        <v>0</v>
      </c>
    </row>
    <row r="609" spans="1:14" ht="12.75" customHeight="1">
      <c r="A609" s="326">
        <f t="shared" si="43"/>
        <v>608</v>
      </c>
      <c r="B609" s="486">
        <v>7100</v>
      </c>
      <c r="C609" s="356">
        <v>3599</v>
      </c>
      <c r="D609" s="356" t="s">
        <v>86</v>
      </c>
      <c r="E609" s="554">
        <v>5166</v>
      </c>
      <c r="F609" s="259" t="s">
        <v>315</v>
      </c>
      <c r="G609" s="336"/>
      <c r="H609" s="337">
        <v>134</v>
      </c>
      <c r="I609" s="337">
        <v>42</v>
      </c>
      <c r="J609" s="338">
        <v>42</v>
      </c>
      <c r="K609" s="339">
        <f t="shared" si="45"/>
        <v>0</v>
      </c>
      <c r="L609" s="343">
        <f t="shared" si="46"/>
        <v>100</v>
      </c>
      <c r="N609" s="344">
        <f t="shared" si="44"/>
        <v>0</v>
      </c>
    </row>
    <row r="610" spans="1:14" ht="12.75" customHeight="1">
      <c r="A610" s="326">
        <f t="shared" si="43"/>
        <v>609</v>
      </c>
      <c r="B610" s="486">
        <v>7100</v>
      </c>
      <c r="C610" s="356">
        <v>3599</v>
      </c>
      <c r="D610" s="356" t="s">
        <v>86</v>
      </c>
      <c r="E610" s="554">
        <v>5169</v>
      </c>
      <c r="F610" s="259" t="s">
        <v>316</v>
      </c>
      <c r="G610" s="336"/>
      <c r="H610" s="337">
        <v>1451</v>
      </c>
      <c r="I610" s="337">
        <v>1487</v>
      </c>
      <c r="J610" s="338">
        <v>1466</v>
      </c>
      <c r="K610" s="339">
        <f t="shared" si="45"/>
        <v>-21</v>
      </c>
      <c r="L610" s="343">
        <f t="shared" si="46"/>
        <v>98.58776059179556</v>
      </c>
      <c r="N610" s="344">
        <f t="shared" si="44"/>
        <v>0</v>
      </c>
    </row>
    <row r="611" spans="1:14" ht="12.75" customHeight="1">
      <c r="A611" s="326">
        <f t="shared" si="43"/>
        <v>610</v>
      </c>
      <c r="B611" s="486">
        <v>7100</v>
      </c>
      <c r="C611" s="356">
        <v>3599</v>
      </c>
      <c r="D611" s="356" t="s">
        <v>86</v>
      </c>
      <c r="E611" s="554">
        <v>5171</v>
      </c>
      <c r="F611" s="488" t="s">
        <v>384</v>
      </c>
      <c r="G611" s="555"/>
      <c r="H611" s="337">
        <v>20</v>
      </c>
      <c r="I611" s="337">
        <v>7</v>
      </c>
      <c r="J611" s="338">
        <v>0</v>
      </c>
      <c r="K611" s="339">
        <f t="shared" si="45"/>
        <v>-7</v>
      </c>
      <c r="L611" s="343">
        <f t="shared" si="46"/>
        <v>0</v>
      </c>
      <c r="N611" s="344">
        <f t="shared" si="44"/>
        <v>0</v>
      </c>
    </row>
    <row r="612" spans="1:14" ht="12.75" customHeight="1">
      <c r="A612" s="326">
        <f t="shared" si="43"/>
        <v>611</v>
      </c>
      <c r="B612" s="486">
        <v>7100</v>
      </c>
      <c r="C612" s="356">
        <v>3599</v>
      </c>
      <c r="D612" s="356" t="s">
        <v>86</v>
      </c>
      <c r="E612" s="554">
        <v>5175</v>
      </c>
      <c r="F612" s="488" t="s">
        <v>334</v>
      </c>
      <c r="G612" s="555"/>
      <c r="H612" s="337">
        <v>38</v>
      </c>
      <c r="I612" s="337">
        <v>18</v>
      </c>
      <c r="J612" s="338">
        <v>18</v>
      </c>
      <c r="K612" s="339">
        <f t="shared" si="45"/>
        <v>0</v>
      </c>
      <c r="L612" s="343">
        <f t="shared" si="46"/>
        <v>100</v>
      </c>
      <c r="N612" s="344">
        <f t="shared" si="44"/>
        <v>0</v>
      </c>
    </row>
    <row r="613" spans="1:14" ht="12.75" customHeight="1">
      <c r="A613" s="326">
        <f t="shared" si="43"/>
        <v>612</v>
      </c>
      <c r="B613" s="486">
        <v>7100</v>
      </c>
      <c r="C613" s="356">
        <v>3599</v>
      </c>
      <c r="D613" s="356" t="s">
        <v>86</v>
      </c>
      <c r="E613" s="554">
        <v>5194</v>
      </c>
      <c r="F613" s="259" t="s">
        <v>343</v>
      </c>
      <c r="G613" s="336"/>
      <c r="H613" s="337">
        <v>0</v>
      </c>
      <c r="I613" s="337">
        <v>4</v>
      </c>
      <c r="J613" s="338">
        <v>3</v>
      </c>
      <c r="K613" s="339">
        <f t="shared" si="45"/>
        <v>-1</v>
      </c>
      <c r="L613" s="343">
        <f t="shared" si="46"/>
        <v>75</v>
      </c>
      <c r="N613" s="344">
        <f t="shared" si="44"/>
        <v>0</v>
      </c>
    </row>
    <row r="614" spans="1:14" ht="12.75" customHeight="1">
      <c r="A614" s="326">
        <f t="shared" si="43"/>
        <v>613</v>
      </c>
      <c r="B614" s="486">
        <v>7100</v>
      </c>
      <c r="C614" s="356">
        <v>3599</v>
      </c>
      <c r="D614" s="356" t="s">
        <v>86</v>
      </c>
      <c r="E614" s="554">
        <v>5212</v>
      </c>
      <c r="F614" s="359" t="s">
        <v>477</v>
      </c>
      <c r="G614" s="360"/>
      <c r="H614" s="337">
        <v>0</v>
      </c>
      <c r="I614" s="337">
        <v>11</v>
      </c>
      <c r="J614" s="338">
        <v>10</v>
      </c>
      <c r="K614" s="339">
        <f t="shared" si="45"/>
        <v>-1</v>
      </c>
      <c r="L614" s="343">
        <f t="shared" si="46"/>
        <v>90.9090909090909</v>
      </c>
      <c r="N614" s="344">
        <f t="shared" si="44"/>
        <v>0</v>
      </c>
    </row>
    <row r="615" spans="1:14" ht="12.75" customHeight="1">
      <c r="A615" s="326">
        <f t="shared" si="43"/>
        <v>614</v>
      </c>
      <c r="B615" s="486">
        <v>7100</v>
      </c>
      <c r="C615" s="356">
        <v>3599</v>
      </c>
      <c r="D615" s="356" t="s">
        <v>86</v>
      </c>
      <c r="E615" s="554">
        <v>5221</v>
      </c>
      <c r="F615" s="359" t="s">
        <v>427</v>
      </c>
      <c r="G615" s="360"/>
      <c r="H615" s="337">
        <v>498</v>
      </c>
      <c r="I615" s="337">
        <v>1276</v>
      </c>
      <c r="J615" s="338">
        <v>1275</v>
      </c>
      <c r="K615" s="339">
        <f t="shared" si="45"/>
        <v>-1</v>
      </c>
      <c r="L615" s="343">
        <f t="shared" si="46"/>
        <v>99.92163009404389</v>
      </c>
      <c r="N615" s="344">
        <f t="shared" si="44"/>
        <v>0</v>
      </c>
    </row>
    <row r="616" spans="1:14" ht="12.75" customHeight="1">
      <c r="A616" s="326">
        <f t="shared" si="43"/>
        <v>615</v>
      </c>
      <c r="B616" s="486">
        <v>7100</v>
      </c>
      <c r="C616" s="356">
        <v>3599</v>
      </c>
      <c r="D616" s="356" t="s">
        <v>86</v>
      </c>
      <c r="E616" s="554">
        <v>5222</v>
      </c>
      <c r="F616" s="359" t="s">
        <v>407</v>
      </c>
      <c r="G616" s="360"/>
      <c r="H616" s="337">
        <v>880</v>
      </c>
      <c r="I616" s="337">
        <v>1540</v>
      </c>
      <c r="J616" s="338">
        <v>1540</v>
      </c>
      <c r="K616" s="339">
        <f t="shared" si="45"/>
        <v>0</v>
      </c>
      <c r="L616" s="343">
        <f t="shared" si="46"/>
        <v>100</v>
      </c>
      <c r="N616" s="344">
        <f t="shared" si="44"/>
        <v>0</v>
      </c>
    </row>
    <row r="617" spans="1:14" ht="12.75" customHeight="1">
      <c r="A617" s="326">
        <f t="shared" si="43"/>
        <v>616</v>
      </c>
      <c r="B617" s="486">
        <v>7100</v>
      </c>
      <c r="C617" s="356">
        <v>3599</v>
      </c>
      <c r="D617" s="356" t="s">
        <v>86</v>
      </c>
      <c r="E617" s="554">
        <v>5223</v>
      </c>
      <c r="F617" s="259" t="s">
        <v>478</v>
      </c>
      <c r="G617" s="360"/>
      <c r="H617" s="337">
        <v>2565</v>
      </c>
      <c r="I617" s="337">
        <v>2710</v>
      </c>
      <c r="J617" s="338">
        <v>2710</v>
      </c>
      <c r="K617" s="339">
        <f t="shared" si="45"/>
        <v>0</v>
      </c>
      <c r="L617" s="343">
        <f t="shared" si="46"/>
        <v>100</v>
      </c>
      <c r="N617" s="344">
        <f t="shared" si="44"/>
        <v>0</v>
      </c>
    </row>
    <row r="618" spans="1:14" ht="12.75" customHeight="1">
      <c r="A618" s="326">
        <f t="shared" si="43"/>
        <v>617</v>
      </c>
      <c r="B618" s="486">
        <v>7100</v>
      </c>
      <c r="C618" s="356">
        <v>3599</v>
      </c>
      <c r="D618" s="356" t="s">
        <v>86</v>
      </c>
      <c r="E618" s="554">
        <v>5229</v>
      </c>
      <c r="F618" s="389" t="s">
        <v>336</v>
      </c>
      <c r="G618" s="360"/>
      <c r="H618" s="337">
        <v>1500</v>
      </c>
      <c r="I618" s="337">
        <v>30</v>
      </c>
      <c r="J618" s="338">
        <v>30</v>
      </c>
      <c r="K618" s="339">
        <f t="shared" si="45"/>
        <v>0</v>
      </c>
      <c r="L618" s="343">
        <f t="shared" si="46"/>
        <v>100</v>
      </c>
      <c r="N618" s="344">
        <f t="shared" si="44"/>
        <v>0</v>
      </c>
    </row>
    <row r="619" spans="1:14" ht="12.75" customHeight="1">
      <c r="A619" s="326">
        <f t="shared" si="43"/>
        <v>618</v>
      </c>
      <c r="B619" s="486">
        <v>7100</v>
      </c>
      <c r="C619" s="356">
        <v>3599</v>
      </c>
      <c r="D619" s="356" t="s">
        <v>86</v>
      </c>
      <c r="E619" s="554">
        <v>5332</v>
      </c>
      <c r="F619" s="389" t="s">
        <v>479</v>
      </c>
      <c r="G619" s="360"/>
      <c r="H619" s="337">
        <v>0</v>
      </c>
      <c r="I619" s="337">
        <v>15</v>
      </c>
      <c r="J619" s="338">
        <v>15</v>
      </c>
      <c r="K619" s="339">
        <f t="shared" si="45"/>
        <v>0</v>
      </c>
      <c r="L619" s="343">
        <f t="shared" si="46"/>
        <v>100</v>
      </c>
      <c r="N619" s="344">
        <f t="shared" si="44"/>
        <v>0</v>
      </c>
    </row>
    <row r="620" spans="1:14" ht="12.75" customHeight="1">
      <c r="A620" s="326">
        <f t="shared" si="43"/>
        <v>619</v>
      </c>
      <c r="B620" s="486">
        <v>7100</v>
      </c>
      <c r="C620" s="356">
        <v>3599</v>
      </c>
      <c r="D620" s="356" t="s">
        <v>86</v>
      </c>
      <c r="E620" s="554">
        <v>5339</v>
      </c>
      <c r="F620" s="389" t="s">
        <v>480</v>
      </c>
      <c r="G620" s="360"/>
      <c r="H620" s="337">
        <v>0</v>
      </c>
      <c r="I620" s="337">
        <v>160</v>
      </c>
      <c r="J620" s="338">
        <v>160</v>
      </c>
      <c r="K620" s="339">
        <f t="shared" si="45"/>
        <v>0</v>
      </c>
      <c r="L620" s="343">
        <f t="shared" si="46"/>
        <v>100</v>
      </c>
      <c r="N620" s="344">
        <f t="shared" si="44"/>
        <v>0</v>
      </c>
    </row>
    <row r="621" spans="1:14" ht="12.75" customHeight="1">
      <c r="A621" s="326">
        <f t="shared" si="43"/>
        <v>620</v>
      </c>
      <c r="B621" s="487"/>
      <c r="C621" s="381" t="s">
        <v>481</v>
      </c>
      <c r="D621" s="381"/>
      <c r="E621" s="556"/>
      <c r="F621" s="381"/>
      <c r="G621" s="358"/>
      <c r="H621" s="349">
        <f>SUBTOTAL(9,H603:H620)</f>
        <v>7445</v>
      </c>
      <c r="I621" s="349">
        <f>SUBTOTAL(9,I603:I620)</f>
        <v>7785</v>
      </c>
      <c r="J621" s="349">
        <f>SUBTOTAL(9,J603:J620)</f>
        <v>7726</v>
      </c>
      <c r="K621" s="470">
        <f t="shared" si="45"/>
        <v>-59</v>
      </c>
      <c r="L621" s="471">
        <f t="shared" si="46"/>
        <v>99.24213230571613</v>
      </c>
      <c r="N621" s="344">
        <f t="shared" si="44"/>
        <v>0</v>
      </c>
    </row>
    <row r="622" spans="1:14" ht="12.75" customHeight="1">
      <c r="A622" s="326">
        <f t="shared" si="43"/>
        <v>621</v>
      </c>
      <c r="B622" s="486">
        <v>7100</v>
      </c>
      <c r="C622" s="356">
        <v>3900</v>
      </c>
      <c r="D622" s="356" t="s">
        <v>482</v>
      </c>
      <c r="E622" s="554">
        <v>5331</v>
      </c>
      <c r="F622" s="389" t="s">
        <v>337</v>
      </c>
      <c r="G622" s="336" t="s">
        <v>469</v>
      </c>
      <c r="H622" s="337">
        <v>8381</v>
      </c>
      <c r="I622" s="337">
        <v>8381</v>
      </c>
      <c r="J622" s="338">
        <v>8381</v>
      </c>
      <c r="K622" s="339">
        <f t="shared" si="45"/>
        <v>0</v>
      </c>
      <c r="L622" s="343">
        <f t="shared" si="46"/>
        <v>100</v>
      </c>
      <c r="N622" s="344">
        <f t="shared" si="44"/>
        <v>0</v>
      </c>
    </row>
    <row r="623" spans="1:14" ht="12.75" customHeight="1">
      <c r="A623" s="326">
        <f t="shared" si="43"/>
        <v>622</v>
      </c>
      <c r="B623" s="487"/>
      <c r="C623" s="381" t="s">
        <v>196</v>
      </c>
      <c r="D623" s="381"/>
      <c r="E623" s="556"/>
      <c r="F623" s="381"/>
      <c r="G623" s="358"/>
      <c r="H623" s="349">
        <f>SUBTOTAL(9,H622:H622)</f>
        <v>8381</v>
      </c>
      <c r="I623" s="349">
        <f>SUBTOTAL(9,I622:I622)</f>
        <v>8381</v>
      </c>
      <c r="J623" s="349">
        <f>SUBTOTAL(9,J622:J622)</f>
        <v>8381</v>
      </c>
      <c r="K623" s="470">
        <f t="shared" si="45"/>
        <v>0</v>
      </c>
      <c r="L623" s="471">
        <f t="shared" si="46"/>
        <v>100</v>
      </c>
      <c r="N623" s="344">
        <f t="shared" si="44"/>
        <v>0</v>
      </c>
    </row>
    <row r="624" spans="1:14" ht="13.5" customHeight="1" thickBot="1">
      <c r="A624" s="326">
        <f t="shared" si="43"/>
        <v>623</v>
      </c>
      <c r="B624" s="366" t="s">
        <v>14</v>
      </c>
      <c r="C624" s="367"/>
      <c r="D624" s="367"/>
      <c r="E624" s="367"/>
      <c r="F624" s="367"/>
      <c r="G624" s="368"/>
      <c r="H624" s="369">
        <f>SUBTOTAL(9,H591:H623)</f>
        <v>118473</v>
      </c>
      <c r="I624" s="369">
        <f>SUBTOTAL(9,I591:I623)</f>
        <v>148085</v>
      </c>
      <c r="J624" s="369">
        <f>SUBTOTAL(9,J591:J623)</f>
        <v>148026</v>
      </c>
      <c r="K624" s="370">
        <f t="shared" si="45"/>
        <v>-59</v>
      </c>
      <c r="L624" s="371">
        <f t="shared" si="46"/>
        <v>99.9601580173549</v>
      </c>
      <c r="N624" s="344">
        <f t="shared" si="44"/>
        <v>0</v>
      </c>
    </row>
    <row r="625" spans="1:14" ht="12.75">
      <c r="A625" s="326">
        <f t="shared" si="43"/>
        <v>624</v>
      </c>
      <c r="B625" s="372"/>
      <c r="C625" s="373"/>
      <c r="D625" s="373"/>
      <c r="E625" s="373"/>
      <c r="F625" s="374"/>
      <c r="G625" s="375"/>
      <c r="H625" s="376">
        <v>0</v>
      </c>
      <c r="I625" s="376"/>
      <c r="J625" s="377"/>
      <c r="K625" s="378"/>
      <c r="L625" s="379"/>
      <c r="N625" s="344">
        <f t="shared" si="44"/>
        <v>0</v>
      </c>
    </row>
    <row r="626" spans="1:14" ht="15.75">
      <c r="A626" s="326">
        <f t="shared" si="43"/>
        <v>625</v>
      </c>
      <c r="B626" s="531" t="s">
        <v>39</v>
      </c>
      <c r="C626" s="532"/>
      <c r="D626" s="532"/>
      <c r="E626" s="472"/>
      <c r="F626" s="389"/>
      <c r="G626" s="420"/>
      <c r="H626" s="506">
        <v>0</v>
      </c>
      <c r="I626" s="506"/>
      <c r="J626" s="507"/>
      <c r="K626" s="508"/>
      <c r="L626" s="509"/>
      <c r="N626" s="344">
        <f t="shared" si="44"/>
        <v>0</v>
      </c>
    </row>
    <row r="627" spans="1:14" ht="12.75" customHeight="1">
      <c r="A627" s="326">
        <f t="shared" si="43"/>
        <v>626</v>
      </c>
      <c r="B627" s="486">
        <v>7200</v>
      </c>
      <c r="C627" s="356">
        <v>3541</v>
      </c>
      <c r="D627" s="356" t="s">
        <v>483</v>
      </c>
      <c r="E627" s="554">
        <v>5221</v>
      </c>
      <c r="F627" s="359" t="s">
        <v>427</v>
      </c>
      <c r="G627" s="360"/>
      <c r="H627" s="337"/>
      <c r="I627" s="337">
        <v>4813</v>
      </c>
      <c r="J627" s="338">
        <v>4813</v>
      </c>
      <c r="K627" s="339">
        <f>J627-I627</f>
        <v>0</v>
      </c>
      <c r="L627" s="343">
        <f>J627/I627*100</f>
        <v>100</v>
      </c>
      <c r="N627" s="344">
        <f t="shared" si="44"/>
        <v>0</v>
      </c>
    </row>
    <row r="628" spans="1:14" ht="12.75" customHeight="1">
      <c r="A628" s="326">
        <f t="shared" si="43"/>
        <v>627</v>
      </c>
      <c r="B628" s="486">
        <v>7200</v>
      </c>
      <c r="C628" s="356">
        <v>3541</v>
      </c>
      <c r="D628" s="356" t="s">
        <v>483</v>
      </c>
      <c r="E628" s="554">
        <v>5222</v>
      </c>
      <c r="F628" s="359" t="s">
        <v>407</v>
      </c>
      <c r="G628" s="360"/>
      <c r="H628" s="337">
        <v>3973</v>
      </c>
      <c r="I628" s="337">
        <v>90</v>
      </c>
      <c r="J628" s="338">
        <v>90</v>
      </c>
      <c r="K628" s="339">
        <f t="shared" si="45"/>
        <v>0</v>
      </c>
      <c r="L628" s="343">
        <f t="shared" si="46"/>
        <v>100</v>
      </c>
      <c r="N628" s="344">
        <f t="shared" si="44"/>
        <v>0</v>
      </c>
    </row>
    <row r="629" spans="1:14" ht="12.75" customHeight="1">
      <c r="A629" s="326">
        <f t="shared" si="43"/>
        <v>628</v>
      </c>
      <c r="B629" s="486">
        <v>7200</v>
      </c>
      <c r="C629" s="356">
        <v>3541</v>
      </c>
      <c r="D629" s="356" t="s">
        <v>483</v>
      </c>
      <c r="E629" s="554">
        <v>5223</v>
      </c>
      <c r="F629" s="259" t="s">
        <v>478</v>
      </c>
      <c r="G629" s="360"/>
      <c r="H629" s="337"/>
      <c r="I629" s="337">
        <v>70</v>
      </c>
      <c r="J629" s="338">
        <v>70</v>
      </c>
      <c r="K629" s="339">
        <f t="shared" si="45"/>
        <v>0</v>
      </c>
      <c r="L629" s="343">
        <f t="shared" si="46"/>
        <v>100</v>
      </c>
      <c r="N629" s="344">
        <f t="shared" si="44"/>
        <v>0</v>
      </c>
    </row>
    <row r="630" spans="1:14" ht="12.75" customHeight="1">
      <c r="A630" s="326">
        <f t="shared" si="43"/>
        <v>629</v>
      </c>
      <c r="B630" s="486">
        <v>7200</v>
      </c>
      <c r="C630" s="356">
        <v>3541</v>
      </c>
      <c r="D630" s="356" t="s">
        <v>483</v>
      </c>
      <c r="E630" s="554">
        <v>5339</v>
      </c>
      <c r="F630" s="356" t="s">
        <v>428</v>
      </c>
      <c r="G630" s="419"/>
      <c r="H630" s="337">
        <v>1882</v>
      </c>
      <c r="I630" s="337">
        <v>1882</v>
      </c>
      <c r="J630" s="338">
        <v>1882</v>
      </c>
      <c r="K630" s="339">
        <f t="shared" si="45"/>
        <v>0</v>
      </c>
      <c r="L630" s="343">
        <f t="shared" si="46"/>
        <v>100</v>
      </c>
      <c r="N630" s="344">
        <f t="shared" si="44"/>
        <v>0</v>
      </c>
    </row>
    <row r="631" spans="1:14" ht="12.75" customHeight="1">
      <c r="A631" s="326">
        <f t="shared" si="43"/>
        <v>630</v>
      </c>
      <c r="B631" s="487"/>
      <c r="C631" s="381" t="s">
        <v>484</v>
      </c>
      <c r="D631" s="381"/>
      <c r="E631" s="556"/>
      <c r="F631" s="381"/>
      <c r="G631" s="406"/>
      <c r="H631" s="349">
        <f>SUBTOTAL(9,H627:H630)</f>
        <v>5855</v>
      </c>
      <c r="I631" s="349">
        <f>SUBTOTAL(9,I627:I630)</f>
        <v>6855</v>
      </c>
      <c r="J631" s="349">
        <f>SUBTOTAL(9,J627:J630)</f>
        <v>6855</v>
      </c>
      <c r="K631" s="470">
        <f t="shared" si="45"/>
        <v>0</v>
      </c>
      <c r="L631" s="471">
        <f t="shared" si="46"/>
        <v>100</v>
      </c>
      <c r="N631" s="344">
        <f t="shared" si="44"/>
        <v>0</v>
      </c>
    </row>
    <row r="632" spans="1:14" ht="12.75" customHeight="1">
      <c r="A632" s="326">
        <f t="shared" si="43"/>
        <v>631</v>
      </c>
      <c r="B632" s="486">
        <v>7200</v>
      </c>
      <c r="C632" s="356">
        <v>4312</v>
      </c>
      <c r="D632" s="356" t="s">
        <v>485</v>
      </c>
      <c r="E632" s="554">
        <v>5221</v>
      </c>
      <c r="F632" s="359" t="s">
        <v>427</v>
      </c>
      <c r="G632" s="360"/>
      <c r="H632" s="337"/>
      <c r="I632" s="337">
        <v>490</v>
      </c>
      <c r="J632" s="338">
        <v>490</v>
      </c>
      <c r="K632" s="339">
        <f t="shared" si="45"/>
        <v>0</v>
      </c>
      <c r="L632" s="343">
        <f t="shared" si="46"/>
        <v>100</v>
      </c>
      <c r="N632" s="344">
        <f t="shared" si="44"/>
        <v>0</v>
      </c>
    </row>
    <row r="633" spans="1:14" ht="12.75" customHeight="1">
      <c r="A633" s="326">
        <f t="shared" si="43"/>
        <v>632</v>
      </c>
      <c r="B633" s="486">
        <v>7200</v>
      </c>
      <c r="C633" s="356">
        <v>4312</v>
      </c>
      <c r="D633" s="356" t="s">
        <v>485</v>
      </c>
      <c r="E633" s="554">
        <v>5222</v>
      </c>
      <c r="F633" s="359" t="s">
        <v>407</v>
      </c>
      <c r="G633" s="360"/>
      <c r="H633" s="337"/>
      <c r="I633" s="337">
        <v>1260</v>
      </c>
      <c r="J633" s="338">
        <v>1260</v>
      </c>
      <c r="K633" s="339">
        <f t="shared" si="45"/>
        <v>0</v>
      </c>
      <c r="L633" s="343">
        <f t="shared" si="46"/>
        <v>100</v>
      </c>
      <c r="N633" s="344">
        <f t="shared" si="44"/>
        <v>0</v>
      </c>
    </row>
    <row r="634" spans="1:14" ht="12.75" customHeight="1">
      <c r="A634" s="326">
        <f t="shared" si="43"/>
        <v>633</v>
      </c>
      <c r="B634" s="486">
        <v>7200</v>
      </c>
      <c r="C634" s="356">
        <v>4312</v>
      </c>
      <c r="D634" s="356" t="s">
        <v>485</v>
      </c>
      <c r="E634" s="554">
        <v>5223</v>
      </c>
      <c r="F634" s="259" t="s">
        <v>478</v>
      </c>
      <c r="G634" s="360"/>
      <c r="H634" s="337"/>
      <c r="I634" s="337">
        <v>80</v>
      </c>
      <c r="J634" s="338">
        <v>80</v>
      </c>
      <c r="K634" s="339">
        <f t="shared" si="45"/>
        <v>0</v>
      </c>
      <c r="L634" s="343">
        <f t="shared" si="46"/>
        <v>100</v>
      </c>
      <c r="N634" s="344">
        <f t="shared" si="44"/>
        <v>0</v>
      </c>
    </row>
    <row r="635" spans="1:14" ht="12.75" customHeight="1">
      <c r="A635" s="326">
        <f t="shared" si="43"/>
        <v>634</v>
      </c>
      <c r="B635" s="487"/>
      <c r="C635" s="381" t="s">
        <v>486</v>
      </c>
      <c r="D635" s="381"/>
      <c r="E635" s="556"/>
      <c r="F635" s="381"/>
      <c r="G635" s="406"/>
      <c r="H635" s="349">
        <f>SUBTOTAL(9,H632:H634)</f>
        <v>0</v>
      </c>
      <c r="I635" s="349">
        <f>SUBTOTAL(9,I632:I634)</f>
        <v>1830</v>
      </c>
      <c r="J635" s="349">
        <f>SUBTOTAL(9,J632:J634)</f>
        <v>1830</v>
      </c>
      <c r="K635" s="470">
        <f t="shared" si="45"/>
        <v>0</v>
      </c>
      <c r="L635" s="471">
        <f t="shared" si="46"/>
        <v>100</v>
      </c>
      <c r="N635" s="344">
        <f t="shared" si="44"/>
        <v>0</v>
      </c>
    </row>
    <row r="636" spans="1:14" ht="12.75" customHeight="1">
      <c r="A636" s="326">
        <f t="shared" si="43"/>
        <v>635</v>
      </c>
      <c r="B636" s="486">
        <v>7200</v>
      </c>
      <c r="C636" s="356">
        <v>4324</v>
      </c>
      <c r="D636" s="356" t="s">
        <v>487</v>
      </c>
      <c r="E636" s="554">
        <v>5136</v>
      </c>
      <c r="F636" s="389" t="s">
        <v>341</v>
      </c>
      <c r="G636" s="419"/>
      <c r="H636" s="337"/>
      <c r="I636" s="337">
        <v>11</v>
      </c>
      <c r="J636" s="338">
        <v>10</v>
      </c>
      <c r="K636" s="339">
        <f t="shared" si="45"/>
        <v>-1</v>
      </c>
      <c r="L636" s="343">
        <f t="shared" si="46"/>
        <v>90.9090909090909</v>
      </c>
      <c r="N636" s="344">
        <f t="shared" si="44"/>
        <v>0</v>
      </c>
    </row>
    <row r="637" spans="1:14" ht="12.75" customHeight="1">
      <c r="A637" s="326">
        <f t="shared" si="43"/>
        <v>636</v>
      </c>
      <c r="B637" s="486">
        <v>7200</v>
      </c>
      <c r="C637" s="356">
        <v>4324</v>
      </c>
      <c r="D637" s="356" t="s">
        <v>487</v>
      </c>
      <c r="E637" s="554">
        <v>5139</v>
      </c>
      <c r="F637" s="259" t="s">
        <v>342</v>
      </c>
      <c r="G637" s="419"/>
      <c r="H637" s="337"/>
      <c r="I637" s="337">
        <v>26</v>
      </c>
      <c r="J637" s="338">
        <v>23</v>
      </c>
      <c r="K637" s="339">
        <f t="shared" si="45"/>
        <v>-3</v>
      </c>
      <c r="L637" s="343">
        <f t="shared" si="46"/>
        <v>88.46153846153845</v>
      </c>
      <c r="N637" s="344">
        <f t="shared" si="44"/>
        <v>0</v>
      </c>
    </row>
    <row r="638" spans="1:14" ht="12.75" customHeight="1">
      <c r="A638" s="326">
        <f t="shared" si="43"/>
        <v>637</v>
      </c>
      <c r="B638" s="486">
        <v>7200</v>
      </c>
      <c r="C638" s="356">
        <v>4324</v>
      </c>
      <c r="D638" s="356" t="s">
        <v>487</v>
      </c>
      <c r="E638" s="554">
        <v>5167</v>
      </c>
      <c r="F638" s="389" t="s">
        <v>383</v>
      </c>
      <c r="G638" s="419"/>
      <c r="H638" s="337"/>
      <c r="I638" s="337">
        <v>21</v>
      </c>
      <c r="J638" s="338">
        <v>16</v>
      </c>
      <c r="K638" s="339">
        <f t="shared" si="45"/>
        <v>-5</v>
      </c>
      <c r="L638" s="343">
        <f t="shared" si="46"/>
        <v>76.19047619047619</v>
      </c>
      <c r="N638" s="344">
        <f t="shared" si="44"/>
        <v>0</v>
      </c>
    </row>
    <row r="639" spans="1:14" ht="12.75" customHeight="1">
      <c r="A639" s="326">
        <f t="shared" si="43"/>
        <v>638</v>
      </c>
      <c r="B639" s="486">
        <v>7200</v>
      </c>
      <c r="C639" s="356">
        <v>4324</v>
      </c>
      <c r="D639" s="356" t="s">
        <v>487</v>
      </c>
      <c r="E639" s="554">
        <v>5169</v>
      </c>
      <c r="F639" s="259" t="s">
        <v>316</v>
      </c>
      <c r="G639" s="419"/>
      <c r="H639" s="337"/>
      <c r="I639" s="337">
        <v>15</v>
      </c>
      <c r="J639" s="338">
        <v>6</v>
      </c>
      <c r="K639" s="339">
        <f t="shared" si="45"/>
        <v>-9</v>
      </c>
      <c r="L639" s="343">
        <f t="shared" si="46"/>
        <v>40</v>
      </c>
      <c r="N639" s="344">
        <f t="shared" si="44"/>
        <v>0</v>
      </c>
    </row>
    <row r="640" spans="1:14" ht="12.75" customHeight="1">
      <c r="A640" s="326">
        <f t="shared" si="43"/>
        <v>639</v>
      </c>
      <c r="B640" s="486">
        <v>7200</v>
      </c>
      <c r="C640" s="356">
        <v>4324</v>
      </c>
      <c r="D640" s="356" t="s">
        <v>487</v>
      </c>
      <c r="E640" s="554">
        <v>5171</v>
      </c>
      <c r="F640" s="389" t="s">
        <v>384</v>
      </c>
      <c r="G640" s="419"/>
      <c r="H640" s="337"/>
      <c r="I640" s="337">
        <v>10</v>
      </c>
      <c r="J640" s="338">
        <v>5</v>
      </c>
      <c r="K640" s="339">
        <f t="shared" si="45"/>
        <v>-5</v>
      </c>
      <c r="L640" s="343">
        <f t="shared" si="46"/>
        <v>50</v>
      </c>
      <c r="N640" s="344">
        <f t="shared" si="44"/>
        <v>0</v>
      </c>
    </row>
    <row r="641" spans="1:14" ht="12.75" customHeight="1">
      <c r="A641" s="326">
        <f t="shared" si="43"/>
        <v>640</v>
      </c>
      <c r="B641" s="486">
        <v>7200</v>
      </c>
      <c r="C641" s="356">
        <v>4324</v>
      </c>
      <c r="D641" s="356" t="s">
        <v>487</v>
      </c>
      <c r="E641" s="554">
        <v>5194</v>
      </c>
      <c r="F641" s="389" t="s">
        <v>343</v>
      </c>
      <c r="G641" s="419"/>
      <c r="H641" s="337"/>
      <c r="I641" s="337">
        <v>8</v>
      </c>
      <c r="J641" s="338">
        <v>8</v>
      </c>
      <c r="K641" s="339">
        <f t="shared" si="45"/>
        <v>0</v>
      </c>
      <c r="L641" s="343">
        <f t="shared" si="46"/>
        <v>100</v>
      </c>
      <c r="N641" s="344">
        <f t="shared" si="44"/>
        <v>0</v>
      </c>
    </row>
    <row r="642" spans="1:14" ht="12.75" customHeight="1">
      <c r="A642" s="326">
        <f t="shared" si="43"/>
        <v>641</v>
      </c>
      <c r="B642" s="487"/>
      <c r="C642" s="381" t="s">
        <v>488</v>
      </c>
      <c r="D642" s="381"/>
      <c r="E642" s="556"/>
      <c r="F642" s="381"/>
      <c r="G642" s="406"/>
      <c r="H642" s="349">
        <f>SUBTOTAL(9,H636:H641)</f>
        <v>0</v>
      </c>
      <c r="I642" s="349">
        <f>SUBTOTAL(9,I636:I641)</f>
        <v>91</v>
      </c>
      <c r="J642" s="349">
        <f>SUBTOTAL(9,J636:J641)</f>
        <v>68</v>
      </c>
      <c r="K642" s="470">
        <f t="shared" si="45"/>
        <v>-23</v>
      </c>
      <c r="L642" s="471">
        <f t="shared" si="46"/>
        <v>74.72527472527473</v>
      </c>
      <c r="N642" s="344">
        <f t="shared" si="44"/>
        <v>0</v>
      </c>
    </row>
    <row r="643" spans="1:14" ht="12.75" customHeight="1">
      <c r="A643" s="326">
        <f t="shared" si="43"/>
        <v>642</v>
      </c>
      <c r="B643" s="533">
        <v>7200</v>
      </c>
      <c r="C643" s="472">
        <v>4341</v>
      </c>
      <c r="D643" s="472" t="s">
        <v>466</v>
      </c>
      <c r="E643" s="472">
        <v>5133</v>
      </c>
      <c r="F643" s="389" t="s">
        <v>378</v>
      </c>
      <c r="G643" s="348"/>
      <c r="H643" s="337">
        <v>6</v>
      </c>
      <c r="I643" s="337">
        <v>16</v>
      </c>
      <c r="J643" s="338">
        <v>15</v>
      </c>
      <c r="K643" s="339">
        <f t="shared" si="45"/>
        <v>-1</v>
      </c>
      <c r="L643" s="343">
        <f t="shared" si="46"/>
        <v>93.75</v>
      </c>
      <c r="N643" s="344">
        <f t="shared" si="44"/>
        <v>0</v>
      </c>
    </row>
    <row r="644" spans="1:14" ht="12.75" customHeight="1">
      <c r="A644" s="326">
        <f aca="true" t="shared" si="47" ref="A644:A707">A643+1</f>
        <v>643</v>
      </c>
      <c r="B644" s="533">
        <v>7200</v>
      </c>
      <c r="C644" s="472">
        <v>4341</v>
      </c>
      <c r="D644" s="472" t="s">
        <v>466</v>
      </c>
      <c r="E644" s="472">
        <v>5134</v>
      </c>
      <c r="F644" s="389" t="s">
        <v>379</v>
      </c>
      <c r="G644" s="420"/>
      <c r="H644" s="337">
        <v>20</v>
      </c>
      <c r="I644" s="337">
        <v>30</v>
      </c>
      <c r="J644" s="338">
        <v>26</v>
      </c>
      <c r="K644" s="339">
        <f t="shared" si="45"/>
        <v>-4</v>
      </c>
      <c r="L644" s="343">
        <f t="shared" si="46"/>
        <v>86.66666666666667</v>
      </c>
      <c r="N644" s="344">
        <f aca="true" t="shared" si="48" ref="N644:N707">I644-J644+K644</f>
        <v>0</v>
      </c>
    </row>
    <row r="645" spans="1:14" ht="12.75" customHeight="1">
      <c r="A645" s="326">
        <f t="shared" si="47"/>
        <v>644</v>
      </c>
      <c r="B645" s="533">
        <v>7200</v>
      </c>
      <c r="C645" s="472">
        <v>4341</v>
      </c>
      <c r="D645" s="472" t="s">
        <v>466</v>
      </c>
      <c r="E645" s="472">
        <v>5136</v>
      </c>
      <c r="F645" s="389" t="s">
        <v>341</v>
      </c>
      <c r="G645" s="420"/>
      <c r="H645" s="337">
        <v>25</v>
      </c>
      <c r="I645" s="337">
        <v>25</v>
      </c>
      <c r="J645" s="338">
        <v>13</v>
      </c>
      <c r="K645" s="339">
        <f t="shared" si="45"/>
        <v>-12</v>
      </c>
      <c r="L645" s="343">
        <f t="shared" si="46"/>
        <v>52</v>
      </c>
      <c r="N645" s="344">
        <f t="shared" si="48"/>
        <v>0</v>
      </c>
    </row>
    <row r="646" spans="1:14" ht="12.75" customHeight="1">
      <c r="A646" s="326">
        <f t="shared" si="47"/>
        <v>645</v>
      </c>
      <c r="B646" s="533">
        <v>7200</v>
      </c>
      <c r="C646" s="472">
        <v>4341</v>
      </c>
      <c r="D646" s="472" t="s">
        <v>466</v>
      </c>
      <c r="E646" s="472">
        <v>5137</v>
      </c>
      <c r="F646" s="259" t="s">
        <v>346</v>
      </c>
      <c r="G646" s="419"/>
      <c r="H646" s="337">
        <v>1095</v>
      </c>
      <c r="I646" s="337">
        <v>935</v>
      </c>
      <c r="J646" s="338">
        <v>596</v>
      </c>
      <c r="K646" s="339">
        <f t="shared" si="45"/>
        <v>-339</v>
      </c>
      <c r="L646" s="343">
        <f t="shared" si="46"/>
        <v>63.74331550802139</v>
      </c>
      <c r="N646" s="344">
        <f t="shared" si="48"/>
        <v>0</v>
      </c>
    </row>
    <row r="647" spans="1:14" ht="12.75" customHeight="1">
      <c r="A647" s="326">
        <f t="shared" si="47"/>
        <v>646</v>
      </c>
      <c r="B647" s="533">
        <v>7200</v>
      </c>
      <c r="C647" s="472">
        <v>4341</v>
      </c>
      <c r="D647" s="472" t="s">
        <v>466</v>
      </c>
      <c r="E647" s="472">
        <v>5139</v>
      </c>
      <c r="F647" s="259" t="s">
        <v>342</v>
      </c>
      <c r="G647" s="336"/>
      <c r="H647" s="337">
        <v>955</v>
      </c>
      <c r="I647" s="337">
        <v>852</v>
      </c>
      <c r="J647" s="338">
        <v>292</v>
      </c>
      <c r="K647" s="339">
        <f t="shared" si="45"/>
        <v>-560</v>
      </c>
      <c r="L647" s="343">
        <f t="shared" si="46"/>
        <v>34.27230046948357</v>
      </c>
      <c r="N647" s="344">
        <f t="shared" si="48"/>
        <v>0</v>
      </c>
    </row>
    <row r="648" spans="1:14" ht="12.75" customHeight="1">
      <c r="A648" s="326">
        <f t="shared" si="47"/>
        <v>647</v>
      </c>
      <c r="B648" s="533">
        <v>7200</v>
      </c>
      <c r="C648" s="472">
        <v>4341</v>
      </c>
      <c r="D648" s="472" t="s">
        <v>466</v>
      </c>
      <c r="E648" s="472">
        <v>5151</v>
      </c>
      <c r="F648" s="259" t="s">
        <v>451</v>
      </c>
      <c r="G648" s="336"/>
      <c r="H648" s="337">
        <v>10</v>
      </c>
      <c r="I648" s="337">
        <v>10</v>
      </c>
      <c r="J648" s="338">
        <v>6</v>
      </c>
      <c r="K648" s="339">
        <f t="shared" si="45"/>
        <v>-4</v>
      </c>
      <c r="L648" s="343">
        <f t="shared" si="46"/>
        <v>60</v>
      </c>
      <c r="N648" s="344">
        <f t="shared" si="48"/>
        <v>0</v>
      </c>
    </row>
    <row r="649" spans="1:14" ht="12.75" customHeight="1">
      <c r="A649" s="326">
        <f t="shared" si="47"/>
        <v>648</v>
      </c>
      <c r="B649" s="533">
        <v>7200</v>
      </c>
      <c r="C649" s="472">
        <v>4341</v>
      </c>
      <c r="D649" s="472" t="s">
        <v>466</v>
      </c>
      <c r="E649" s="472">
        <v>5152</v>
      </c>
      <c r="F649" s="259" t="s">
        <v>464</v>
      </c>
      <c r="G649" s="336"/>
      <c r="H649" s="337">
        <v>20</v>
      </c>
      <c r="I649" s="337">
        <v>20</v>
      </c>
      <c r="J649" s="338">
        <v>15</v>
      </c>
      <c r="K649" s="339">
        <f t="shared" si="45"/>
        <v>-5</v>
      </c>
      <c r="L649" s="343">
        <f t="shared" si="46"/>
        <v>75</v>
      </c>
      <c r="N649" s="344">
        <f t="shared" si="48"/>
        <v>0</v>
      </c>
    </row>
    <row r="650" spans="1:14" ht="12.75" customHeight="1">
      <c r="A650" s="326">
        <f t="shared" si="47"/>
        <v>649</v>
      </c>
      <c r="B650" s="533">
        <v>7200</v>
      </c>
      <c r="C650" s="472">
        <v>4341</v>
      </c>
      <c r="D650" s="472" t="s">
        <v>466</v>
      </c>
      <c r="E650" s="472">
        <v>5154</v>
      </c>
      <c r="F650" s="389" t="s">
        <v>347</v>
      </c>
      <c r="G650" s="420"/>
      <c r="H650" s="337">
        <v>30</v>
      </c>
      <c r="I650" s="337">
        <v>30</v>
      </c>
      <c r="J650" s="338">
        <v>11</v>
      </c>
      <c r="K650" s="339">
        <f t="shared" si="45"/>
        <v>-19</v>
      </c>
      <c r="L650" s="343">
        <f t="shared" si="46"/>
        <v>36.666666666666664</v>
      </c>
      <c r="N650" s="344">
        <f t="shared" si="48"/>
        <v>0</v>
      </c>
    </row>
    <row r="651" spans="1:14" ht="12.75" customHeight="1">
      <c r="A651" s="326">
        <f t="shared" si="47"/>
        <v>650</v>
      </c>
      <c r="B651" s="533">
        <v>7200</v>
      </c>
      <c r="C651" s="472">
        <v>4341</v>
      </c>
      <c r="D651" s="472" t="s">
        <v>466</v>
      </c>
      <c r="E651" s="472">
        <v>5156</v>
      </c>
      <c r="F651" s="389" t="s">
        <v>372</v>
      </c>
      <c r="G651" s="420"/>
      <c r="H651" s="337">
        <v>178</v>
      </c>
      <c r="I651" s="337">
        <v>178</v>
      </c>
      <c r="J651" s="338">
        <v>74</v>
      </c>
      <c r="K651" s="339">
        <f t="shared" si="45"/>
        <v>-104</v>
      </c>
      <c r="L651" s="343">
        <f t="shared" si="46"/>
        <v>41.57303370786517</v>
      </c>
      <c r="N651" s="344">
        <f t="shared" si="48"/>
        <v>0</v>
      </c>
    </row>
    <row r="652" spans="1:14" ht="12.75" customHeight="1">
      <c r="A652" s="326">
        <f t="shared" si="47"/>
        <v>651</v>
      </c>
      <c r="B652" s="533">
        <v>7200</v>
      </c>
      <c r="C652" s="472">
        <v>4341</v>
      </c>
      <c r="D652" s="472" t="s">
        <v>466</v>
      </c>
      <c r="E652" s="472">
        <v>5157</v>
      </c>
      <c r="F652" s="389" t="s">
        <v>489</v>
      </c>
      <c r="G652" s="420"/>
      <c r="H652" s="337">
        <v>10</v>
      </c>
      <c r="I652" s="337">
        <v>10</v>
      </c>
      <c r="J652" s="338">
        <v>8</v>
      </c>
      <c r="K652" s="339">
        <f t="shared" si="45"/>
        <v>-2</v>
      </c>
      <c r="L652" s="343">
        <f t="shared" si="46"/>
        <v>80</v>
      </c>
      <c r="N652" s="344">
        <f t="shared" si="48"/>
        <v>0</v>
      </c>
    </row>
    <row r="653" spans="1:14" ht="12.75" customHeight="1">
      <c r="A653" s="326">
        <f t="shared" si="47"/>
        <v>652</v>
      </c>
      <c r="B653" s="533">
        <v>7200</v>
      </c>
      <c r="C653" s="472">
        <v>4341</v>
      </c>
      <c r="D653" s="472" t="s">
        <v>466</v>
      </c>
      <c r="E653" s="472">
        <v>5162</v>
      </c>
      <c r="F653" s="259" t="s">
        <v>382</v>
      </c>
      <c r="G653" s="420"/>
      <c r="H653" s="337">
        <v>337</v>
      </c>
      <c r="I653" s="337">
        <v>337</v>
      </c>
      <c r="J653" s="338">
        <v>174</v>
      </c>
      <c r="K653" s="339">
        <f t="shared" si="45"/>
        <v>-163</v>
      </c>
      <c r="L653" s="343">
        <f t="shared" si="46"/>
        <v>51.632047477744806</v>
      </c>
      <c r="N653" s="344">
        <f t="shared" si="48"/>
        <v>0</v>
      </c>
    </row>
    <row r="654" spans="1:14" ht="12.75" customHeight="1">
      <c r="A654" s="326">
        <f t="shared" si="47"/>
        <v>653</v>
      </c>
      <c r="B654" s="533">
        <v>7200</v>
      </c>
      <c r="C654" s="472">
        <v>4341</v>
      </c>
      <c r="D654" s="472" t="s">
        <v>466</v>
      </c>
      <c r="E654" s="472">
        <v>5163</v>
      </c>
      <c r="F654" s="389" t="s">
        <v>323</v>
      </c>
      <c r="G654" s="420"/>
      <c r="H654" s="337">
        <v>149</v>
      </c>
      <c r="I654" s="337">
        <v>149</v>
      </c>
      <c r="J654" s="338">
        <v>98</v>
      </c>
      <c r="K654" s="339">
        <f t="shared" si="45"/>
        <v>-51</v>
      </c>
      <c r="L654" s="343">
        <f t="shared" si="46"/>
        <v>65.77181208053692</v>
      </c>
      <c r="N654" s="344">
        <f t="shared" si="48"/>
        <v>0</v>
      </c>
    </row>
    <row r="655" spans="1:14" ht="12.75" customHeight="1">
      <c r="A655" s="326">
        <f t="shared" si="47"/>
        <v>654</v>
      </c>
      <c r="B655" s="533">
        <v>7200</v>
      </c>
      <c r="C655" s="472">
        <v>4341</v>
      </c>
      <c r="D655" s="472" t="s">
        <v>466</v>
      </c>
      <c r="E655" s="472">
        <v>5164</v>
      </c>
      <c r="F655" s="389" t="s">
        <v>348</v>
      </c>
      <c r="G655" s="420"/>
      <c r="H655" s="337">
        <v>59</v>
      </c>
      <c r="I655" s="337">
        <v>59</v>
      </c>
      <c r="J655" s="338">
        <v>56</v>
      </c>
      <c r="K655" s="339">
        <f t="shared" si="45"/>
        <v>-3</v>
      </c>
      <c r="L655" s="343">
        <f t="shared" si="46"/>
        <v>94.91525423728814</v>
      </c>
      <c r="N655" s="344">
        <f t="shared" si="48"/>
        <v>0</v>
      </c>
    </row>
    <row r="656" spans="1:14" ht="12.75" customHeight="1">
      <c r="A656" s="326">
        <f t="shared" si="47"/>
        <v>655</v>
      </c>
      <c r="B656" s="533">
        <v>7200</v>
      </c>
      <c r="C656" s="472">
        <v>4341</v>
      </c>
      <c r="D656" s="472" t="s">
        <v>466</v>
      </c>
      <c r="E656" s="472">
        <v>5167</v>
      </c>
      <c r="F656" s="389" t="s">
        <v>383</v>
      </c>
      <c r="G656" s="420"/>
      <c r="H656" s="337">
        <v>40</v>
      </c>
      <c r="I656" s="337">
        <v>40</v>
      </c>
      <c r="J656" s="338">
        <v>5</v>
      </c>
      <c r="K656" s="339">
        <f t="shared" si="45"/>
        <v>-35</v>
      </c>
      <c r="L656" s="343">
        <f t="shared" si="46"/>
        <v>12.5</v>
      </c>
      <c r="N656" s="344">
        <f t="shared" si="48"/>
        <v>0</v>
      </c>
    </row>
    <row r="657" spans="1:14" ht="12.75" customHeight="1">
      <c r="A657" s="326">
        <f t="shared" si="47"/>
        <v>656</v>
      </c>
      <c r="B657" s="533">
        <v>7200</v>
      </c>
      <c r="C657" s="472">
        <v>4341</v>
      </c>
      <c r="D657" s="472" t="s">
        <v>466</v>
      </c>
      <c r="E657" s="472">
        <v>5169</v>
      </c>
      <c r="F657" s="259" t="s">
        <v>316</v>
      </c>
      <c r="G657" s="336"/>
      <c r="H657" s="337">
        <v>633</v>
      </c>
      <c r="I657" s="337">
        <v>618</v>
      </c>
      <c r="J657" s="338">
        <v>227</v>
      </c>
      <c r="K657" s="339">
        <f t="shared" si="45"/>
        <v>-391</v>
      </c>
      <c r="L657" s="343">
        <f t="shared" si="46"/>
        <v>36.73139158576052</v>
      </c>
      <c r="N657" s="344">
        <f t="shared" si="48"/>
        <v>0</v>
      </c>
    </row>
    <row r="658" spans="1:14" ht="12.75" customHeight="1">
      <c r="A658" s="326">
        <f t="shared" si="47"/>
        <v>657</v>
      </c>
      <c r="B658" s="533">
        <v>7200</v>
      </c>
      <c r="C658" s="472">
        <v>4341</v>
      </c>
      <c r="D658" s="472" t="s">
        <v>466</v>
      </c>
      <c r="E658" s="472">
        <v>5171</v>
      </c>
      <c r="F658" s="389" t="s">
        <v>384</v>
      </c>
      <c r="G658" s="420"/>
      <c r="H658" s="337">
        <v>378</v>
      </c>
      <c r="I658" s="337">
        <v>378</v>
      </c>
      <c r="J658" s="338">
        <v>124</v>
      </c>
      <c r="K658" s="339">
        <f t="shared" si="45"/>
        <v>-254</v>
      </c>
      <c r="L658" s="343">
        <f t="shared" si="46"/>
        <v>32.804232804232804</v>
      </c>
      <c r="N658" s="344">
        <f t="shared" si="48"/>
        <v>0</v>
      </c>
    </row>
    <row r="659" spans="1:14" ht="12.75" customHeight="1">
      <c r="A659" s="326">
        <f t="shared" si="47"/>
        <v>658</v>
      </c>
      <c r="B659" s="533">
        <v>7200</v>
      </c>
      <c r="C659" s="472">
        <v>4341</v>
      </c>
      <c r="D659" s="472" t="s">
        <v>466</v>
      </c>
      <c r="E659" s="472">
        <v>5172</v>
      </c>
      <c r="F659" s="389" t="s">
        <v>396</v>
      </c>
      <c r="G659" s="420"/>
      <c r="H659" s="337">
        <v>50</v>
      </c>
      <c r="I659" s="337">
        <v>50</v>
      </c>
      <c r="J659" s="338">
        <v>1</v>
      </c>
      <c r="K659" s="339">
        <f t="shared" si="45"/>
        <v>-49</v>
      </c>
      <c r="L659" s="343">
        <f t="shared" si="46"/>
        <v>2</v>
      </c>
      <c r="N659" s="344">
        <f t="shared" si="48"/>
        <v>0</v>
      </c>
    </row>
    <row r="660" spans="1:14" ht="12.75" customHeight="1">
      <c r="A660" s="326">
        <f t="shared" si="47"/>
        <v>659</v>
      </c>
      <c r="B660" s="533">
        <v>7200</v>
      </c>
      <c r="C660" s="472">
        <v>4341</v>
      </c>
      <c r="D660" s="472" t="s">
        <v>466</v>
      </c>
      <c r="E660" s="472">
        <v>5173</v>
      </c>
      <c r="F660" s="389" t="s">
        <v>355</v>
      </c>
      <c r="G660" s="420"/>
      <c r="H660" s="337">
        <v>100</v>
      </c>
      <c r="I660" s="337">
        <v>120</v>
      </c>
      <c r="J660" s="338">
        <v>101</v>
      </c>
      <c r="K660" s="339">
        <f t="shared" si="45"/>
        <v>-19</v>
      </c>
      <c r="L660" s="343">
        <f t="shared" si="46"/>
        <v>84.16666666666667</v>
      </c>
      <c r="N660" s="344">
        <f t="shared" si="48"/>
        <v>0</v>
      </c>
    </row>
    <row r="661" spans="1:14" ht="12.75" customHeight="1">
      <c r="A661" s="326">
        <f t="shared" si="47"/>
        <v>660</v>
      </c>
      <c r="B661" s="533">
        <v>7200</v>
      </c>
      <c r="C661" s="472">
        <v>4341</v>
      </c>
      <c r="D661" s="472" t="s">
        <v>466</v>
      </c>
      <c r="E661" s="472">
        <v>5175</v>
      </c>
      <c r="F661" s="389" t="s">
        <v>334</v>
      </c>
      <c r="G661" s="420"/>
      <c r="H661" s="337">
        <v>10</v>
      </c>
      <c r="I661" s="337">
        <v>20</v>
      </c>
      <c r="J661" s="338">
        <v>18</v>
      </c>
      <c r="K661" s="339">
        <f t="shared" si="45"/>
        <v>-2</v>
      </c>
      <c r="L661" s="343">
        <f t="shared" si="46"/>
        <v>90</v>
      </c>
      <c r="N661" s="344">
        <f t="shared" si="48"/>
        <v>0</v>
      </c>
    </row>
    <row r="662" spans="1:14" ht="12.75" customHeight="1">
      <c r="A662" s="326">
        <f t="shared" si="47"/>
        <v>661</v>
      </c>
      <c r="B662" s="533">
        <v>7200</v>
      </c>
      <c r="C662" s="472">
        <v>4341</v>
      </c>
      <c r="D662" s="472" t="s">
        <v>466</v>
      </c>
      <c r="E662" s="472">
        <v>5192</v>
      </c>
      <c r="F662" s="259" t="s">
        <v>335</v>
      </c>
      <c r="G662" s="420"/>
      <c r="H662" s="337"/>
      <c r="I662" s="337">
        <v>10</v>
      </c>
      <c r="J662" s="338">
        <v>1</v>
      </c>
      <c r="K662" s="339">
        <f t="shared" si="45"/>
        <v>-9</v>
      </c>
      <c r="L662" s="343">
        <f t="shared" si="46"/>
        <v>10</v>
      </c>
      <c r="N662" s="344">
        <f t="shared" si="48"/>
        <v>0</v>
      </c>
    </row>
    <row r="663" spans="1:14" ht="12.75" customHeight="1">
      <c r="A663" s="326">
        <f t="shared" si="47"/>
        <v>662</v>
      </c>
      <c r="B663" s="533">
        <v>7200</v>
      </c>
      <c r="C663" s="472">
        <v>4341</v>
      </c>
      <c r="D663" s="472" t="s">
        <v>466</v>
      </c>
      <c r="E663" s="472">
        <v>5194</v>
      </c>
      <c r="F663" s="389" t="s">
        <v>343</v>
      </c>
      <c r="G663" s="420"/>
      <c r="H663" s="337">
        <v>10</v>
      </c>
      <c r="I663" s="337">
        <v>11</v>
      </c>
      <c r="J663" s="338">
        <v>10</v>
      </c>
      <c r="K663" s="339">
        <f t="shared" si="45"/>
        <v>-1</v>
      </c>
      <c r="L663" s="343">
        <f t="shared" si="46"/>
        <v>90.9090909090909</v>
      </c>
      <c r="N663" s="344">
        <f t="shared" si="48"/>
        <v>0</v>
      </c>
    </row>
    <row r="664" spans="1:14" ht="12.75" customHeight="1">
      <c r="A664" s="326">
        <f t="shared" si="47"/>
        <v>663</v>
      </c>
      <c r="B664" s="533">
        <v>7200</v>
      </c>
      <c r="C664" s="472">
        <v>4341</v>
      </c>
      <c r="D664" s="472" t="s">
        <v>466</v>
      </c>
      <c r="E664" s="472">
        <v>5362</v>
      </c>
      <c r="F664" s="259" t="s">
        <v>325</v>
      </c>
      <c r="G664" s="420"/>
      <c r="H664" s="337">
        <v>4</v>
      </c>
      <c r="I664" s="337">
        <v>5</v>
      </c>
      <c r="J664" s="338">
        <v>5</v>
      </c>
      <c r="K664" s="339">
        <f t="shared" si="45"/>
        <v>0</v>
      </c>
      <c r="L664" s="343">
        <f t="shared" si="46"/>
        <v>100</v>
      </c>
      <c r="N664" s="344">
        <f t="shared" si="48"/>
        <v>0</v>
      </c>
    </row>
    <row r="665" spans="1:14" ht="12.75" customHeight="1">
      <c r="A665" s="326">
        <f t="shared" si="47"/>
        <v>664</v>
      </c>
      <c r="B665" s="533">
        <v>7200</v>
      </c>
      <c r="C665" s="472">
        <v>4341</v>
      </c>
      <c r="D665" s="472" t="s">
        <v>466</v>
      </c>
      <c r="E665" s="472">
        <v>5909</v>
      </c>
      <c r="F665" s="389" t="s">
        <v>318</v>
      </c>
      <c r="G665" s="420"/>
      <c r="H665" s="337"/>
      <c r="I665" s="337">
        <v>36</v>
      </c>
      <c r="J665" s="338">
        <v>0</v>
      </c>
      <c r="K665" s="339">
        <f t="shared" si="45"/>
        <v>-36</v>
      </c>
      <c r="L665" s="343">
        <f t="shared" si="46"/>
        <v>0</v>
      </c>
      <c r="N665" s="344">
        <f t="shared" si="48"/>
        <v>0</v>
      </c>
    </row>
    <row r="666" spans="1:14" ht="12.75" customHeight="1">
      <c r="A666" s="326">
        <f t="shared" si="47"/>
        <v>665</v>
      </c>
      <c r="B666" s="446"/>
      <c r="C666" s="447" t="s">
        <v>408</v>
      </c>
      <c r="D666" s="447"/>
      <c r="E666" s="447"/>
      <c r="F666" s="421"/>
      <c r="G666" s="422"/>
      <c r="H666" s="349">
        <f>SUBTOTAL(9,H643:H665)</f>
        <v>4119</v>
      </c>
      <c r="I666" s="349">
        <f>SUBTOTAL(9,I643:I665)</f>
        <v>3939</v>
      </c>
      <c r="J666" s="349">
        <f>SUBTOTAL(9,J643:J665)</f>
        <v>1876</v>
      </c>
      <c r="K666" s="450">
        <f t="shared" si="45"/>
        <v>-2063</v>
      </c>
      <c r="L666" s="451">
        <f t="shared" si="46"/>
        <v>47.626301091647626</v>
      </c>
      <c r="N666" s="344">
        <f t="shared" si="48"/>
        <v>0</v>
      </c>
    </row>
    <row r="667" spans="1:14" ht="12.75" customHeight="1">
      <c r="A667" s="326">
        <f t="shared" si="47"/>
        <v>666</v>
      </c>
      <c r="B667" s="533">
        <v>7200</v>
      </c>
      <c r="C667" s="472">
        <v>4342</v>
      </c>
      <c r="D667" s="259" t="s">
        <v>490</v>
      </c>
      <c r="E667" s="472">
        <v>5164</v>
      </c>
      <c r="F667" s="259" t="s">
        <v>348</v>
      </c>
      <c r="G667" s="360"/>
      <c r="H667" s="337">
        <v>0</v>
      </c>
      <c r="I667" s="337">
        <v>152</v>
      </c>
      <c r="J667" s="338">
        <v>152</v>
      </c>
      <c r="K667" s="339">
        <f t="shared" si="45"/>
        <v>0</v>
      </c>
      <c r="L667" s="343">
        <f t="shared" si="46"/>
        <v>100</v>
      </c>
      <c r="N667" s="344">
        <f t="shared" si="48"/>
        <v>0</v>
      </c>
    </row>
    <row r="668" spans="1:14" ht="12.75" customHeight="1">
      <c r="A668" s="326">
        <f t="shared" si="47"/>
        <v>667</v>
      </c>
      <c r="B668" s="533">
        <v>7200</v>
      </c>
      <c r="C668" s="472">
        <v>4342</v>
      </c>
      <c r="D668" s="259" t="s">
        <v>490</v>
      </c>
      <c r="E668" s="472">
        <v>5222</v>
      </c>
      <c r="F668" s="359" t="s">
        <v>407</v>
      </c>
      <c r="G668" s="360"/>
      <c r="H668" s="337">
        <v>950</v>
      </c>
      <c r="I668" s="337">
        <v>950</v>
      </c>
      <c r="J668" s="338">
        <v>950</v>
      </c>
      <c r="K668" s="339">
        <f t="shared" si="45"/>
        <v>0</v>
      </c>
      <c r="L668" s="343">
        <f t="shared" si="46"/>
        <v>100</v>
      </c>
      <c r="N668" s="344">
        <f t="shared" si="48"/>
        <v>0</v>
      </c>
    </row>
    <row r="669" spans="1:14" ht="12.75" customHeight="1">
      <c r="A669" s="326">
        <f t="shared" si="47"/>
        <v>668</v>
      </c>
      <c r="B669" s="446"/>
      <c r="C669" s="447" t="s">
        <v>491</v>
      </c>
      <c r="D669" s="347"/>
      <c r="E669" s="447"/>
      <c r="F669" s="357"/>
      <c r="G669" s="358"/>
      <c r="H669" s="349">
        <f>SUBTOTAL(9,H667:H668)</f>
        <v>950</v>
      </c>
      <c r="I669" s="349">
        <f>SUBTOTAL(9,I667:I668)</f>
        <v>1102</v>
      </c>
      <c r="J669" s="349">
        <f>SUBTOTAL(9,J667:J668)</f>
        <v>1102</v>
      </c>
      <c r="K669" s="450">
        <f t="shared" si="45"/>
        <v>0</v>
      </c>
      <c r="L669" s="451">
        <f t="shared" si="46"/>
        <v>100</v>
      </c>
      <c r="N669" s="344">
        <f t="shared" si="48"/>
        <v>0</v>
      </c>
    </row>
    <row r="670" spans="1:14" ht="12.75" customHeight="1">
      <c r="A670" s="326">
        <f t="shared" si="47"/>
        <v>669</v>
      </c>
      <c r="B670" s="486">
        <v>7200</v>
      </c>
      <c r="C670" s="356">
        <v>4344</v>
      </c>
      <c r="D670" s="356" t="s">
        <v>267</v>
      </c>
      <c r="E670" s="554">
        <v>5221</v>
      </c>
      <c r="F670" s="359" t="s">
        <v>427</v>
      </c>
      <c r="G670" s="360"/>
      <c r="H670" s="337"/>
      <c r="I670" s="337">
        <v>160</v>
      </c>
      <c r="J670" s="338">
        <v>160</v>
      </c>
      <c r="K670" s="339">
        <f t="shared" si="45"/>
        <v>0</v>
      </c>
      <c r="L670" s="343">
        <f t="shared" si="46"/>
        <v>100</v>
      </c>
      <c r="N670" s="344">
        <f t="shared" si="48"/>
        <v>0</v>
      </c>
    </row>
    <row r="671" spans="1:14" ht="12.75" customHeight="1">
      <c r="A671" s="326">
        <f t="shared" si="47"/>
        <v>670</v>
      </c>
      <c r="B671" s="486">
        <v>7200</v>
      </c>
      <c r="C671" s="356">
        <v>4344</v>
      </c>
      <c r="D671" s="356" t="s">
        <v>267</v>
      </c>
      <c r="E671" s="554">
        <v>5222</v>
      </c>
      <c r="F671" s="359" t="s">
        <v>407</v>
      </c>
      <c r="G671" s="360"/>
      <c r="H671" s="337">
        <v>0</v>
      </c>
      <c r="I671" s="337">
        <v>915</v>
      </c>
      <c r="J671" s="338">
        <v>915</v>
      </c>
      <c r="K671" s="339">
        <f t="shared" si="45"/>
        <v>0</v>
      </c>
      <c r="L671" s="343">
        <f t="shared" si="46"/>
        <v>100</v>
      </c>
      <c r="N671" s="344">
        <f t="shared" si="48"/>
        <v>0</v>
      </c>
    </row>
    <row r="672" spans="1:14" ht="12.75" customHeight="1">
      <c r="A672" s="326">
        <f t="shared" si="47"/>
        <v>671</v>
      </c>
      <c r="B672" s="446"/>
      <c r="C672" s="447" t="s">
        <v>492</v>
      </c>
      <c r="D672" s="347"/>
      <c r="E672" s="447"/>
      <c r="F672" s="357"/>
      <c r="G672" s="358"/>
      <c r="H672" s="349">
        <f>SUBTOTAL(9,H670:H671)</f>
        <v>0</v>
      </c>
      <c r="I672" s="349">
        <f>SUBTOTAL(9,I670:I671)</f>
        <v>1075</v>
      </c>
      <c r="J672" s="349">
        <f>SUBTOTAL(9,J670:J671)</f>
        <v>1075</v>
      </c>
      <c r="K672" s="450">
        <f aca="true" t="shared" si="49" ref="K672:K735">J672-I672</f>
        <v>0</v>
      </c>
      <c r="L672" s="451">
        <f aca="true" t="shared" si="50" ref="L672:L735">J672/I672*100</f>
        <v>100</v>
      </c>
      <c r="N672" s="344">
        <f t="shared" si="48"/>
        <v>0</v>
      </c>
    </row>
    <row r="673" spans="1:14" ht="12.75" customHeight="1">
      <c r="A673" s="326">
        <f t="shared" si="47"/>
        <v>672</v>
      </c>
      <c r="B673" s="533">
        <v>7200</v>
      </c>
      <c r="C673" s="472">
        <v>4350</v>
      </c>
      <c r="D673" s="259" t="s">
        <v>252</v>
      </c>
      <c r="E673" s="554">
        <v>5221</v>
      </c>
      <c r="F673" s="359" t="s">
        <v>427</v>
      </c>
      <c r="G673" s="358"/>
      <c r="H673" s="337"/>
      <c r="I673" s="337">
        <v>3000</v>
      </c>
      <c r="J673" s="338">
        <v>3000</v>
      </c>
      <c r="K673" s="339">
        <f t="shared" si="49"/>
        <v>0</v>
      </c>
      <c r="L673" s="343">
        <f t="shared" si="50"/>
        <v>100</v>
      </c>
      <c r="N673" s="344">
        <f t="shared" si="48"/>
        <v>0</v>
      </c>
    </row>
    <row r="674" spans="1:14" ht="12.75" customHeight="1">
      <c r="A674" s="326">
        <f t="shared" si="47"/>
        <v>673</v>
      </c>
      <c r="B674" s="533">
        <v>7200</v>
      </c>
      <c r="C674" s="472">
        <v>4350</v>
      </c>
      <c r="D674" s="259" t="s">
        <v>252</v>
      </c>
      <c r="E674" s="554">
        <v>5222</v>
      </c>
      <c r="F674" s="359" t="s">
        <v>407</v>
      </c>
      <c r="G674" s="358"/>
      <c r="H674" s="337"/>
      <c r="I674" s="337">
        <v>10650</v>
      </c>
      <c r="J674" s="338">
        <v>10650</v>
      </c>
      <c r="K674" s="339">
        <f t="shared" si="49"/>
        <v>0</v>
      </c>
      <c r="L674" s="343">
        <f t="shared" si="50"/>
        <v>100</v>
      </c>
      <c r="N674" s="344">
        <f t="shared" si="48"/>
        <v>0</v>
      </c>
    </row>
    <row r="675" spans="1:14" ht="12.75" customHeight="1">
      <c r="A675" s="326">
        <f t="shared" si="47"/>
        <v>674</v>
      </c>
      <c r="B675" s="533">
        <v>7200</v>
      </c>
      <c r="C675" s="472">
        <v>4350</v>
      </c>
      <c r="D675" s="259" t="s">
        <v>252</v>
      </c>
      <c r="E675" s="554">
        <v>5223</v>
      </c>
      <c r="F675" s="259" t="s">
        <v>478</v>
      </c>
      <c r="G675" s="358"/>
      <c r="H675" s="337"/>
      <c r="I675" s="337">
        <v>2660</v>
      </c>
      <c r="J675" s="338">
        <v>2660</v>
      </c>
      <c r="K675" s="339">
        <f t="shared" si="49"/>
        <v>0</v>
      </c>
      <c r="L675" s="343">
        <f t="shared" si="50"/>
        <v>100</v>
      </c>
      <c r="N675" s="344">
        <f t="shared" si="48"/>
        <v>0</v>
      </c>
    </row>
    <row r="676" spans="1:14" ht="12.75" customHeight="1">
      <c r="A676" s="326">
        <f t="shared" si="47"/>
        <v>675</v>
      </c>
      <c r="B676" s="533">
        <v>7200</v>
      </c>
      <c r="C676" s="472">
        <v>4350</v>
      </c>
      <c r="D676" s="259" t="s">
        <v>252</v>
      </c>
      <c r="E676" s="472">
        <v>5331</v>
      </c>
      <c r="F676" s="389" t="s">
        <v>337</v>
      </c>
      <c r="G676" s="359" t="s">
        <v>493</v>
      </c>
      <c r="H676" s="337">
        <v>27870</v>
      </c>
      <c r="I676" s="337">
        <v>29370</v>
      </c>
      <c r="J676" s="338">
        <v>29370</v>
      </c>
      <c r="K676" s="339">
        <f t="shared" si="49"/>
        <v>0</v>
      </c>
      <c r="L676" s="343">
        <f t="shared" si="50"/>
        <v>100</v>
      </c>
      <c r="N676" s="344">
        <f t="shared" si="48"/>
        <v>0</v>
      </c>
    </row>
    <row r="677" spans="1:14" ht="12.75" customHeight="1">
      <c r="A677" s="326">
        <f t="shared" si="47"/>
        <v>676</v>
      </c>
      <c r="B677" s="533">
        <v>7200</v>
      </c>
      <c r="C677" s="472">
        <v>4350</v>
      </c>
      <c r="D677" s="259" t="s">
        <v>252</v>
      </c>
      <c r="E677" s="472">
        <v>5336</v>
      </c>
      <c r="F677" s="389" t="s">
        <v>339</v>
      </c>
      <c r="G677" s="359" t="s">
        <v>493</v>
      </c>
      <c r="H677" s="337">
        <v>0</v>
      </c>
      <c r="I677" s="337">
        <v>3329</v>
      </c>
      <c r="J677" s="338">
        <v>3329</v>
      </c>
      <c r="K677" s="339">
        <f t="shared" si="49"/>
        <v>0</v>
      </c>
      <c r="L677" s="343">
        <f t="shared" si="50"/>
        <v>100</v>
      </c>
      <c r="N677" s="344">
        <f t="shared" si="48"/>
        <v>0</v>
      </c>
    </row>
    <row r="678" spans="1:14" ht="12.75" customHeight="1">
      <c r="A678" s="326">
        <f t="shared" si="47"/>
        <v>677</v>
      </c>
      <c r="B678" s="533">
        <v>7200</v>
      </c>
      <c r="C678" s="472">
        <v>4350</v>
      </c>
      <c r="D678" s="259" t="s">
        <v>252</v>
      </c>
      <c r="E678" s="472">
        <v>5331</v>
      </c>
      <c r="F678" s="389" t="s">
        <v>337</v>
      </c>
      <c r="G678" s="359" t="s">
        <v>494</v>
      </c>
      <c r="H678" s="337">
        <v>24316</v>
      </c>
      <c r="I678" s="337">
        <v>26116</v>
      </c>
      <c r="J678" s="338">
        <v>26116</v>
      </c>
      <c r="K678" s="339">
        <f t="shared" si="49"/>
        <v>0</v>
      </c>
      <c r="L678" s="343">
        <f t="shared" si="50"/>
        <v>100</v>
      </c>
      <c r="N678" s="344">
        <f t="shared" si="48"/>
        <v>0</v>
      </c>
    </row>
    <row r="679" spans="1:14" ht="12.75" customHeight="1">
      <c r="A679" s="326">
        <f t="shared" si="47"/>
        <v>678</v>
      </c>
      <c r="B679" s="533">
        <v>7200</v>
      </c>
      <c r="C679" s="472">
        <v>4350</v>
      </c>
      <c r="D679" s="259" t="s">
        <v>252</v>
      </c>
      <c r="E679" s="472">
        <v>5336</v>
      </c>
      <c r="F679" s="389" t="s">
        <v>339</v>
      </c>
      <c r="G679" s="359" t="s">
        <v>494</v>
      </c>
      <c r="H679" s="337">
        <v>0</v>
      </c>
      <c r="I679" s="337">
        <v>5611</v>
      </c>
      <c r="J679" s="338">
        <v>5611</v>
      </c>
      <c r="K679" s="339">
        <f t="shared" si="49"/>
        <v>0</v>
      </c>
      <c r="L679" s="343">
        <f t="shared" si="50"/>
        <v>100</v>
      </c>
      <c r="N679" s="344">
        <f t="shared" si="48"/>
        <v>0</v>
      </c>
    </row>
    <row r="680" spans="1:14" ht="12.75" customHeight="1">
      <c r="A680" s="326">
        <f t="shared" si="47"/>
        <v>679</v>
      </c>
      <c r="B680" s="533">
        <v>7200</v>
      </c>
      <c r="C680" s="472">
        <v>4350</v>
      </c>
      <c r="D680" s="259" t="s">
        <v>252</v>
      </c>
      <c r="E680" s="472">
        <v>5331</v>
      </c>
      <c r="F680" s="389" t="s">
        <v>337</v>
      </c>
      <c r="G680" s="359" t="s">
        <v>495</v>
      </c>
      <c r="H680" s="337">
        <v>13834</v>
      </c>
      <c r="I680" s="337">
        <v>13834</v>
      </c>
      <c r="J680" s="338">
        <v>13834</v>
      </c>
      <c r="K680" s="339">
        <f t="shared" si="49"/>
        <v>0</v>
      </c>
      <c r="L680" s="343">
        <f t="shared" si="50"/>
        <v>100</v>
      </c>
      <c r="N680" s="344">
        <f t="shared" si="48"/>
        <v>0</v>
      </c>
    </row>
    <row r="681" spans="1:14" ht="12.75" customHeight="1">
      <c r="A681" s="326">
        <f t="shared" si="47"/>
        <v>680</v>
      </c>
      <c r="B681" s="533">
        <v>7200</v>
      </c>
      <c r="C681" s="472">
        <v>4350</v>
      </c>
      <c r="D681" s="259" t="s">
        <v>252</v>
      </c>
      <c r="E681" s="472">
        <v>5336</v>
      </c>
      <c r="F681" s="389" t="s">
        <v>339</v>
      </c>
      <c r="G681" s="359" t="s">
        <v>495</v>
      </c>
      <c r="H681" s="337">
        <v>0</v>
      </c>
      <c r="I681" s="337">
        <v>1070</v>
      </c>
      <c r="J681" s="338">
        <v>1070</v>
      </c>
      <c r="K681" s="339">
        <f t="shared" si="49"/>
        <v>0</v>
      </c>
      <c r="L681" s="343">
        <f t="shared" si="50"/>
        <v>100</v>
      </c>
      <c r="N681" s="344">
        <f t="shared" si="48"/>
        <v>0</v>
      </c>
    </row>
    <row r="682" spans="1:14" ht="12.75" customHeight="1">
      <c r="A682" s="326">
        <f t="shared" si="47"/>
        <v>681</v>
      </c>
      <c r="B682" s="533">
        <v>7200</v>
      </c>
      <c r="C682" s="472">
        <v>4350</v>
      </c>
      <c r="D682" s="259" t="s">
        <v>252</v>
      </c>
      <c r="E682" s="472">
        <v>5331</v>
      </c>
      <c r="F682" s="389" t="s">
        <v>337</v>
      </c>
      <c r="G682" s="359" t="s">
        <v>496</v>
      </c>
      <c r="H682" s="337">
        <v>15636</v>
      </c>
      <c r="I682" s="337">
        <v>15636</v>
      </c>
      <c r="J682" s="338">
        <v>15636</v>
      </c>
      <c r="K682" s="339">
        <f t="shared" si="49"/>
        <v>0</v>
      </c>
      <c r="L682" s="343">
        <f t="shared" si="50"/>
        <v>100</v>
      </c>
      <c r="N682" s="344">
        <f t="shared" si="48"/>
        <v>0</v>
      </c>
    </row>
    <row r="683" spans="1:14" ht="12.75" customHeight="1">
      <c r="A683" s="326">
        <f t="shared" si="47"/>
        <v>682</v>
      </c>
      <c r="B683" s="533">
        <v>7200</v>
      </c>
      <c r="C683" s="472">
        <v>4350</v>
      </c>
      <c r="D683" s="259" t="s">
        <v>252</v>
      </c>
      <c r="E683" s="472">
        <v>5336</v>
      </c>
      <c r="F683" s="389" t="s">
        <v>339</v>
      </c>
      <c r="G683" s="359" t="s">
        <v>496</v>
      </c>
      <c r="H683" s="337">
        <v>0</v>
      </c>
      <c r="I683" s="337">
        <v>5442</v>
      </c>
      <c r="J683" s="338">
        <v>5442</v>
      </c>
      <c r="K683" s="339">
        <f t="shared" si="49"/>
        <v>0</v>
      </c>
      <c r="L683" s="343">
        <f t="shared" si="50"/>
        <v>100</v>
      </c>
      <c r="N683" s="344">
        <f t="shared" si="48"/>
        <v>0</v>
      </c>
    </row>
    <row r="684" spans="1:14" ht="12.75" customHeight="1">
      <c r="A684" s="326">
        <f t="shared" si="47"/>
        <v>683</v>
      </c>
      <c r="B684" s="533">
        <v>7200</v>
      </c>
      <c r="C684" s="472">
        <v>4350</v>
      </c>
      <c r="D684" s="259" t="s">
        <v>252</v>
      </c>
      <c r="E684" s="472">
        <v>5331</v>
      </c>
      <c r="F684" s="389" t="s">
        <v>337</v>
      </c>
      <c r="G684" s="359" t="s">
        <v>497</v>
      </c>
      <c r="H684" s="337">
        <v>7175</v>
      </c>
      <c r="I684" s="337">
        <v>7175</v>
      </c>
      <c r="J684" s="338">
        <v>7175</v>
      </c>
      <c r="K684" s="339">
        <f t="shared" si="49"/>
        <v>0</v>
      </c>
      <c r="L684" s="343">
        <f t="shared" si="50"/>
        <v>100</v>
      </c>
      <c r="N684" s="344">
        <f t="shared" si="48"/>
        <v>0</v>
      </c>
    </row>
    <row r="685" spans="1:14" ht="12.75" customHeight="1">
      <c r="A685" s="326">
        <f t="shared" si="47"/>
        <v>684</v>
      </c>
      <c r="B685" s="533">
        <v>7200</v>
      </c>
      <c r="C685" s="472">
        <v>4350</v>
      </c>
      <c r="D685" s="259" t="s">
        <v>252</v>
      </c>
      <c r="E685" s="472">
        <v>5336</v>
      </c>
      <c r="F685" s="389" t="s">
        <v>339</v>
      </c>
      <c r="G685" s="359" t="s">
        <v>497</v>
      </c>
      <c r="H685" s="337">
        <v>0</v>
      </c>
      <c r="I685" s="337">
        <v>965</v>
      </c>
      <c r="J685" s="338">
        <v>965</v>
      </c>
      <c r="K685" s="339">
        <f t="shared" si="49"/>
        <v>0</v>
      </c>
      <c r="L685" s="343">
        <f t="shared" si="50"/>
        <v>100</v>
      </c>
      <c r="N685" s="344">
        <f t="shared" si="48"/>
        <v>0</v>
      </c>
    </row>
    <row r="686" spans="1:14" ht="12.75" customHeight="1">
      <c r="A686" s="326">
        <f t="shared" si="47"/>
        <v>685</v>
      </c>
      <c r="B686" s="533">
        <v>7200</v>
      </c>
      <c r="C686" s="472">
        <v>4350</v>
      </c>
      <c r="D686" s="259" t="s">
        <v>252</v>
      </c>
      <c r="E686" s="472">
        <v>5331</v>
      </c>
      <c r="F686" s="389" t="s">
        <v>337</v>
      </c>
      <c r="G686" s="359" t="s">
        <v>498</v>
      </c>
      <c r="H686" s="337">
        <v>6729</v>
      </c>
      <c r="I686" s="337">
        <v>10129</v>
      </c>
      <c r="J686" s="338">
        <v>10129</v>
      </c>
      <c r="K686" s="339">
        <f t="shared" si="49"/>
        <v>0</v>
      </c>
      <c r="L686" s="343">
        <f t="shared" si="50"/>
        <v>100</v>
      </c>
      <c r="N686" s="344">
        <f t="shared" si="48"/>
        <v>0</v>
      </c>
    </row>
    <row r="687" spans="1:14" ht="12.75" customHeight="1">
      <c r="A687" s="326">
        <f t="shared" si="47"/>
        <v>686</v>
      </c>
      <c r="B687" s="533">
        <v>7200</v>
      </c>
      <c r="C687" s="472">
        <v>4350</v>
      </c>
      <c r="D687" s="259" t="s">
        <v>252</v>
      </c>
      <c r="E687" s="472">
        <v>5336</v>
      </c>
      <c r="F687" s="389" t="s">
        <v>339</v>
      </c>
      <c r="G687" s="359" t="s">
        <v>498</v>
      </c>
      <c r="H687" s="337">
        <v>0</v>
      </c>
      <c r="I687" s="337">
        <v>1700</v>
      </c>
      <c r="J687" s="338">
        <v>1700</v>
      </c>
      <c r="K687" s="339">
        <f t="shared" si="49"/>
        <v>0</v>
      </c>
      <c r="L687" s="343">
        <f t="shared" si="50"/>
        <v>100</v>
      </c>
      <c r="N687" s="344">
        <f t="shared" si="48"/>
        <v>0</v>
      </c>
    </row>
    <row r="688" spans="1:14" ht="12.75" customHeight="1">
      <c r="A688" s="326">
        <f t="shared" si="47"/>
        <v>687</v>
      </c>
      <c r="B688" s="533">
        <v>7200</v>
      </c>
      <c r="C688" s="472">
        <v>4350</v>
      </c>
      <c r="D688" s="259" t="s">
        <v>252</v>
      </c>
      <c r="E688" s="472">
        <v>5331</v>
      </c>
      <c r="F688" s="389" t="s">
        <v>337</v>
      </c>
      <c r="G688" s="359" t="s">
        <v>499</v>
      </c>
      <c r="H688" s="337">
        <v>7259</v>
      </c>
      <c r="I688" s="337">
        <v>6859</v>
      </c>
      <c r="J688" s="338">
        <v>6859</v>
      </c>
      <c r="K688" s="339">
        <f t="shared" si="49"/>
        <v>0</v>
      </c>
      <c r="L688" s="343">
        <f t="shared" si="50"/>
        <v>100</v>
      </c>
      <c r="N688" s="344">
        <f t="shared" si="48"/>
        <v>0</v>
      </c>
    </row>
    <row r="689" spans="1:14" ht="12.75" customHeight="1">
      <c r="A689" s="326">
        <f t="shared" si="47"/>
        <v>688</v>
      </c>
      <c r="B689" s="533">
        <v>7200</v>
      </c>
      <c r="C689" s="472">
        <v>4350</v>
      </c>
      <c r="D689" s="259" t="s">
        <v>252</v>
      </c>
      <c r="E689" s="472">
        <v>5336</v>
      </c>
      <c r="F689" s="389" t="s">
        <v>339</v>
      </c>
      <c r="G689" s="359" t="s">
        <v>499</v>
      </c>
      <c r="H689" s="337">
        <v>0</v>
      </c>
      <c r="I689" s="337">
        <v>1082</v>
      </c>
      <c r="J689" s="338">
        <v>1082</v>
      </c>
      <c r="K689" s="339">
        <f t="shared" si="49"/>
        <v>0</v>
      </c>
      <c r="L689" s="343">
        <f t="shared" si="50"/>
        <v>100</v>
      </c>
      <c r="N689" s="344">
        <f t="shared" si="48"/>
        <v>0</v>
      </c>
    </row>
    <row r="690" spans="1:14" ht="12.75" customHeight="1">
      <c r="A690" s="326">
        <f t="shared" si="47"/>
        <v>689</v>
      </c>
      <c r="B690" s="533">
        <v>7200</v>
      </c>
      <c r="C690" s="472">
        <v>4350</v>
      </c>
      <c r="D690" s="259" t="s">
        <v>252</v>
      </c>
      <c r="E690" s="472">
        <v>5331</v>
      </c>
      <c r="F690" s="389" t="s">
        <v>337</v>
      </c>
      <c r="G690" s="359" t="s">
        <v>500</v>
      </c>
      <c r="H690" s="337">
        <v>19791</v>
      </c>
      <c r="I690" s="337">
        <v>22791</v>
      </c>
      <c r="J690" s="338">
        <v>22791</v>
      </c>
      <c r="K690" s="339">
        <f t="shared" si="49"/>
        <v>0</v>
      </c>
      <c r="L690" s="343">
        <f t="shared" si="50"/>
        <v>100</v>
      </c>
      <c r="N690" s="344">
        <f t="shared" si="48"/>
        <v>0</v>
      </c>
    </row>
    <row r="691" spans="1:14" ht="12.75" customHeight="1">
      <c r="A691" s="326">
        <f t="shared" si="47"/>
        <v>690</v>
      </c>
      <c r="B691" s="533">
        <v>7200</v>
      </c>
      <c r="C691" s="472">
        <v>4350</v>
      </c>
      <c r="D691" s="259" t="s">
        <v>252</v>
      </c>
      <c r="E691" s="472">
        <v>5336</v>
      </c>
      <c r="F691" s="389" t="s">
        <v>339</v>
      </c>
      <c r="G691" s="359" t="s">
        <v>500</v>
      </c>
      <c r="H691" s="337">
        <v>0</v>
      </c>
      <c r="I691" s="337">
        <v>1918</v>
      </c>
      <c r="J691" s="338">
        <v>1918</v>
      </c>
      <c r="K691" s="339">
        <f t="shared" si="49"/>
        <v>0</v>
      </c>
      <c r="L691" s="343">
        <f t="shared" si="50"/>
        <v>100</v>
      </c>
      <c r="N691" s="344">
        <f t="shared" si="48"/>
        <v>0</v>
      </c>
    </row>
    <row r="692" spans="1:14" ht="12.75" customHeight="1">
      <c r="A692" s="326">
        <f t="shared" si="47"/>
        <v>691</v>
      </c>
      <c r="B692" s="533">
        <v>7200</v>
      </c>
      <c r="C692" s="472">
        <v>4350</v>
      </c>
      <c r="D692" s="259" t="s">
        <v>252</v>
      </c>
      <c r="E692" s="472">
        <v>5331</v>
      </c>
      <c r="F692" s="389" t="s">
        <v>337</v>
      </c>
      <c r="G692" s="359" t="s">
        <v>501</v>
      </c>
      <c r="H692" s="337">
        <v>13823</v>
      </c>
      <c r="I692" s="337">
        <v>13823</v>
      </c>
      <c r="J692" s="338">
        <v>13823</v>
      </c>
      <c r="K692" s="339">
        <f t="shared" si="49"/>
        <v>0</v>
      </c>
      <c r="L692" s="343">
        <f t="shared" si="50"/>
        <v>100</v>
      </c>
      <c r="N692" s="344">
        <f t="shared" si="48"/>
        <v>0</v>
      </c>
    </row>
    <row r="693" spans="1:14" ht="12.75" customHeight="1">
      <c r="A693" s="326">
        <f t="shared" si="47"/>
        <v>692</v>
      </c>
      <c r="B693" s="533">
        <v>7200</v>
      </c>
      <c r="C693" s="472">
        <v>4350</v>
      </c>
      <c r="D693" s="259" t="s">
        <v>252</v>
      </c>
      <c r="E693" s="472">
        <v>5336</v>
      </c>
      <c r="F693" s="389" t="s">
        <v>339</v>
      </c>
      <c r="G693" s="359" t="s">
        <v>501</v>
      </c>
      <c r="H693" s="337">
        <v>0</v>
      </c>
      <c r="I693" s="337">
        <v>1376</v>
      </c>
      <c r="J693" s="338">
        <v>1376</v>
      </c>
      <c r="K693" s="339">
        <f t="shared" si="49"/>
        <v>0</v>
      </c>
      <c r="L693" s="343">
        <f t="shared" si="50"/>
        <v>100</v>
      </c>
      <c r="N693" s="344">
        <f t="shared" si="48"/>
        <v>0</v>
      </c>
    </row>
    <row r="694" spans="1:14" ht="12.75" customHeight="1">
      <c r="A694" s="326">
        <f t="shared" si="47"/>
        <v>693</v>
      </c>
      <c r="B694" s="446"/>
      <c r="C694" s="447" t="s">
        <v>502</v>
      </c>
      <c r="D694" s="347"/>
      <c r="E694" s="447"/>
      <c r="F694" s="357"/>
      <c r="G694" s="357"/>
      <c r="H694" s="349">
        <f>SUBTOTAL(9,H673:H693)</f>
        <v>136433</v>
      </c>
      <c r="I694" s="349">
        <f>SUBTOTAL(9,I673:I693)</f>
        <v>184536</v>
      </c>
      <c r="J694" s="349">
        <f>SUBTOTAL(9,J673:J693)</f>
        <v>184536</v>
      </c>
      <c r="K694" s="450">
        <f t="shared" si="49"/>
        <v>0</v>
      </c>
      <c r="L694" s="451">
        <f t="shared" si="50"/>
        <v>100</v>
      </c>
      <c r="N694" s="344">
        <f t="shared" si="48"/>
        <v>0</v>
      </c>
    </row>
    <row r="695" spans="1:14" ht="12.75" customHeight="1">
      <c r="A695" s="326">
        <f t="shared" si="47"/>
        <v>694</v>
      </c>
      <c r="B695" s="486">
        <v>7200</v>
      </c>
      <c r="C695" s="356">
        <v>4351</v>
      </c>
      <c r="D695" s="356" t="s">
        <v>503</v>
      </c>
      <c r="E695" s="554">
        <v>5221</v>
      </c>
      <c r="F695" s="359" t="s">
        <v>427</v>
      </c>
      <c r="G695" s="360"/>
      <c r="H695" s="337"/>
      <c r="I695" s="337">
        <v>350</v>
      </c>
      <c r="J695" s="338">
        <v>350</v>
      </c>
      <c r="K695" s="339">
        <f t="shared" si="49"/>
        <v>0</v>
      </c>
      <c r="L695" s="343">
        <f t="shared" si="50"/>
        <v>100</v>
      </c>
      <c r="N695" s="344">
        <f t="shared" si="48"/>
        <v>0</v>
      </c>
    </row>
    <row r="696" spans="1:14" ht="12.75" customHeight="1">
      <c r="A696" s="326">
        <f t="shared" si="47"/>
        <v>695</v>
      </c>
      <c r="B696" s="486">
        <v>7200</v>
      </c>
      <c r="C696" s="356">
        <v>4351</v>
      </c>
      <c r="D696" s="356" t="s">
        <v>503</v>
      </c>
      <c r="E696" s="554">
        <v>5222</v>
      </c>
      <c r="F696" s="359" t="s">
        <v>407</v>
      </c>
      <c r="G696" s="360"/>
      <c r="H696" s="337"/>
      <c r="I696" s="337">
        <v>6280</v>
      </c>
      <c r="J696" s="338">
        <v>6280</v>
      </c>
      <c r="K696" s="339">
        <f t="shared" si="49"/>
        <v>0</v>
      </c>
      <c r="L696" s="343">
        <f t="shared" si="50"/>
        <v>100</v>
      </c>
      <c r="N696" s="344">
        <f t="shared" si="48"/>
        <v>0</v>
      </c>
    </row>
    <row r="697" spans="1:14" ht="12.75" customHeight="1">
      <c r="A697" s="326">
        <f t="shared" si="47"/>
        <v>696</v>
      </c>
      <c r="B697" s="486">
        <v>7200</v>
      </c>
      <c r="C697" s="356">
        <v>4351</v>
      </c>
      <c r="D697" s="356" t="s">
        <v>503</v>
      </c>
      <c r="E697" s="554">
        <v>5223</v>
      </c>
      <c r="F697" s="259" t="s">
        <v>478</v>
      </c>
      <c r="G697" s="360"/>
      <c r="H697" s="337"/>
      <c r="I697" s="337">
        <v>3453</v>
      </c>
      <c r="J697" s="338">
        <v>3453</v>
      </c>
      <c r="K697" s="339">
        <f t="shared" si="49"/>
        <v>0</v>
      </c>
      <c r="L697" s="343">
        <f t="shared" si="50"/>
        <v>100</v>
      </c>
      <c r="N697" s="344">
        <f t="shared" si="48"/>
        <v>0</v>
      </c>
    </row>
    <row r="698" spans="1:14" ht="12.75" customHeight="1">
      <c r="A698" s="326">
        <f t="shared" si="47"/>
        <v>697</v>
      </c>
      <c r="B698" s="487"/>
      <c r="C698" s="381" t="s">
        <v>504</v>
      </c>
      <c r="D698" s="381"/>
      <c r="E698" s="556"/>
      <c r="F698" s="381"/>
      <c r="G698" s="406"/>
      <c r="H698" s="349">
        <f>SUBTOTAL(9,H695:H697)</f>
        <v>0</v>
      </c>
      <c r="I698" s="349">
        <f>SUBTOTAL(9,I695:I697)</f>
        <v>10083</v>
      </c>
      <c r="J698" s="349">
        <f>SUBTOTAL(9,J695:J697)</f>
        <v>10083</v>
      </c>
      <c r="K698" s="470">
        <f t="shared" si="49"/>
        <v>0</v>
      </c>
      <c r="L698" s="471">
        <f t="shared" si="50"/>
        <v>100</v>
      </c>
      <c r="N698" s="344">
        <f t="shared" si="48"/>
        <v>0</v>
      </c>
    </row>
    <row r="699" spans="1:14" ht="12.75" customHeight="1">
      <c r="A699" s="326">
        <f t="shared" si="47"/>
        <v>698</v>
      </c>
      <c r="B699" s="486">
        <v>7200</v>
      </c>
      <c r="C699" s="356">
        <v>4353</v>
      </c>
      <c r="D699" s="356" t="s">
        <v>268</v>
      </c>
      <c r="E699" s="554">
        <v>5221</v>
      </c>
      <c r="F699" s="359" t="s">
        <v>427</v>
      </c>
      <c r="G699" s="360"/>
      <c r="H699" s="337"/>
      <c r="I699" s="337">
        <v>100</v>
      </c>
      <c r="J699" s="338">
        <v>100</v>
      </c>
      <c r="K699" s="339">
        <f t="shared" si="49"/>
        <v>0</v>
      </c>
      <c r="L699" s="343">
        <f t="shared" si="50"/>
        <v>100</v>
      </c>
      <c r="N699" s="344">
        <f t="shared" si="48"/>
        <v>0</v>
      </c>
    </row>
    <row r="700" spans="1:14" ht="12.75" customHeight="1">
      <c r="A700" s="326">
        <f t="shared" si="47"/>
        <v>699</v>
      </c>
      <c r="B700" s="487"/>
      <c r="C700" s="381" t="s">
        <v>505</v>
      </c>
      <c r="D700" s="381"/>
      <c r="E700" s="556"/>
      <c r="F700" s="381"/>
      <c r="G700" s="406"/>
      <c r="H700" s="349">
        <f>SUBTOTAL(9,H697:H699)</f>
        <v>0</v>
      </c>
      <c r="I700" s="349">
        <f>SUBTOTAL(9,I699)</f>
        <v>100</v>
      </c>
      <c r="J700" s="349">
        <f>SUBTOTAL(9,J699)</f>
        <v>100</v>
      </c>
      <c r="K700" s="470">
        <f t="shared" si="49"/>
        <v>0</v>
      </c>
      <c r="L700" s="471">
        <f t="shared" si="50"/>
        <v>100</v>
      </c>
      <c r="N700" s="344">
        <f t="shared" si="48"/>
        <v>0</v>
      </c>
    </row>
    <row r="701" spans="1:14" ht="12.75" customHeight="1">
      <c r="A701" s="326">
        <f t="shared" si="47"/>
        <v>700</v>
      </c>
      <c r="B701" s="486">
        <v>7200</v>
      </c>
      <c r="C701" s="356">
        <v>4354</v>
      </c>
      <c r="D701" s="356" t="s">
        <v>269</v>
      </c>
      <c r="E701" s="554">
        <v>5222</v>
      </c>
      <c r="F701" s="359" t="s">
        <v>407</v>
      </c>
      <c r="G701" s="360"/>
      <c r="H701" s="337"/>
      <c r="I701" s="337">
        <v>280</v>
      </c>
      <c r="J701" s="338">
        <v>280</v>
      </c>
      <c r="K701" s="339">
        <f t="shared" si="49"/>
        <v>0</v>
      </c>
      <c r="L701" s="343">
        <f t="shared" si="50"/>
        <v>100</v>
      </c>
      <c r="N701" s="344">
        <f t="shared" si="48"/>
        <v>0</v>
      </c>
    </row>
    <row r="702" spans="1:14" ht="12.75" customHeight="1">
      <c r="A702" s="326">
        <f t="shared" si="47"/>
        <v>701</v>
      </c>
      <c r="B702" s="486">
        <v>7200</v>
      </c>
      <c r="C702" s="356">
        <v>4354</v>
      </c>
      <c r="D702" s="356" t="s">
        <v>269</v>
      </c>
      <c r="E702" s="554">
        <v>5223</v>
      </c>
      <c r="F702" s="259" t="s">
        <v>478</v>
      </c>
      <c r="G702" s="360"/>
      <c r="H702" s="337"/>
      <c r="I702" s="337">
        <v>2915</v>
      </c>
      <c r="J702" s="338">
        <v>2915</v>
      </c>
      <c r="K702" s="339">
        <f t="shared" si="49"/>
        <v>0</v>
      </c>
      <c r="L702" s="343">
        <f t="shared" si="50"/>
        <v>100</v>
      </c>
      <c r="N702" s="344">
        <f t="shared" si="48"/>
        <v>0</v>
      </c>
    </row>
    <row r="703" spans="1:14" ht="12.75" customHeight="1">
      <c r="A703" s="326">
        <f t="shared" si="47"/>
        <v>702</v>
      </c>
      <c r="B703" s="487"/>
      <c r="C703" s="381" t="s">
        <v>506</v>
      </c>
      <c r="D703" s="381"/>
      <c r="E703" s="556"/>
      <c r="F703" s="381"/>
      <c r="G703" s="406"/>
      <c r="H703" s="349">
        <f>SUBTOTAL(9,H700:H702)</f>
        <v>0</v>
      </c>
      <c r="I703" s="349">
        <f>SUBTOTAL(9,I701:I702)</f>
        <v>3195</v>
      </c>
      <c r="J703" s="349">
        <f>SUBTOTAL(9,J701:J702)</f>
        <v>3195</v>
      </c>
      <c r="K703" s="470">
        <f t="shared" si="49"/>
        <v>0</v>
      </c>
      <c r="L703" s="471">
        <f t="shared" si="50"/>
        <v>100</v>
      </c>
      <c r="N703" s="344">
        <f t="shared" si="48"/>
        <v>0</v>
      </c>
    </row>
    <row r="704" spans="1:14" ht="12.75" customHeight="1">
      <c r="A704" s="326">
        <f t="shared" si="47"/>
        <v>703</v>
      </c>
      <c r="B704" s="486">
        <v>7200</v>
      </c>
      <c r="C704" s="356">
        <v>4356</v>
      </c>
      <c r="D704" s="356" t="s">
        <v>507</v>
      </c>
      <c r="E704" s="554">
        <v>5221</v>
      </c>
      <c r="F704" s="359" t="s">
        <v>427</v>
      </c>
      <c r="G704" s="360"/>
      <c r="H704" s="337"/>
      <c r="I704" s="337">
        <v>200</v>
      </c>
      <c r="J704" s="338">
        <v>200</v>
      </c>
      <c r="K704" s="339">
        <f t="shared" si="49"/>
        <v>0</v>
      </c>
      <c r="L704" s="343">
        <f t="shared" si="50"/>
        <v>100</v>
      </c>
      <c r="N704" s="344">
        <f t="shared" si="48"/>
        <v>0</v>
      </c>
    </row>
    <row r="705" spans="1:14" ht="12.75" customHeight="1">
      <c r="A705" s="326">
        <f t="shared" si="47"/>
        <v>704</v>
      </c>
      <c r="B705" s="486">
        <v>7200</v>
      </c>
      <c r="C705" s="356">
        <v>4356</v>
      </c>
      <c r="D705" s="356" t="s">
        <v>507</v>
      </c>
      <c r="E705" s="554">
        <v>5222</v>
      </c>
      <c r="F705" s="359" t="s">
        <v>407</v>
      </c>
      <c r="G705" s="360"/>
      <c r="H705" s="337"/>
      <c r="I705" s="337">
        <v>1490</v>
      </c>
      <c r="J705" s="338">
        <v>1490</v>
      </c>
      <c r="K705" s="339">
        <f t="shared" si="49"/>
        <v>0</v>
      </c>
      <c r="L705" s="343">
        <f t="shared" si="50"/>
        <v>100</v>
      </c>
      <c r="N705" s="344">
        <f t="shared" si="48"/>
        <v>0</v>
      </c>
    </row>
    <row r="706" spans="1:14" ht="12.75" customHeight="1">
      <c r="A706" s="326">
        <f t="shared" si="47"/>
        <v>705</v>
      </c>
      <c r="B706" s="486">
        <v>7200</v>
      </c>
      <c r="C706" s="356">
        <v>4356</v>
      </c>
      <c r="D706" s="356" t="s">
        <v>507</v>
      </c>
      <c r="E706" s="554">
        <v>5223</v>
      </c>
      <c r="F706" s="259" t="s">
        <v>478</v>
      </c>
      <c r="G706" s="360"/>
      <c r="H706" s="337"/>
      <c r="I706" s="337">
        <v>3070</v>
      </c>
      <c r="J706" s="338">
        <v>3070</v>
      </c>
      <c r="K706" s="339">
        <f t="shared" si="49"/>
        <v>0</v>
      </c>
      <c r="L706" s="343">
        <f t="shared" si="50"/>
        <v>100</v>
      </c>
      <c r="N706" s="344">
        <f t="shared" si="48"/>
        <v>0</v>
      </c>
    </row>
    <row r="707" spans="1:14" ht="12.75" customHeight="1">
      <c r="A707" s="326">
        <f t="shared" si="47"/>
        <v>706</v>
      </c>
      <c r="B707" s="487"/>
      <c r="C707" s="381" t="s">
        <v>508</v>
      </c>
      <c r="D707" s="381"/>
      <c r="E707" s="556"/>
      <c r="F707" s="381"/>
      <c r="G707" s="406"/>
      <c r="H707" s="349">
        <f>SUBTOTAL(9,H704:H706)</f>
        <v>0</v>
      </c>
      <c r="I707" s="349">
        <f>SUBTOTAL(9,I704:I706)</f>
        <v>4760</v>
      </c>
      <c r="J707" s="349">
        <f>SUBTOTAL(9,J704:J706)</f>
        <v>4760</v>
      </c>
      <c r="K707" s="470">
        <f t="shared" si="49"/>
        <v>0</v>
      </c>
      <c r="L707" s="471">
        <f t="shared" si="50"/>
        <v>100</v>
      </c>
      <c r="N707" s="344">
        <f t="shared" si="48"/>
        <v>0</v>
      </c>
    </row>
    <row r="708" spans="1:14" ht="12.75" customHeight="1">
      <c r="A708" s="326">
        <f aca="true" t="shared" si="51" ref="A708:A771">A707+1</f>
        <v>707</v>
      </c>
      <c r="B708" s="533">
        <v>7200</v>
      </c>
      <c r="C708" s="472">
        <v>4357</v>
      </c>
      <c r="D708" s="472" t="s">
        <v>509</v>
      </c>
      <c r="E708" s="554">
        <v>5222</v>
      </c>
      <c r="F708" s="359" t="s">
        <v>407</v>
      </c>
      <c r="G708" s="406"/>
      <c r="H708" s="337">
        <v>0</v>
      </c>
      <c r="I708" s="337">
        <v>4350</v>
      </c>
      <c r="J708" s="338">
        <v>4350</v>
      </c>
      <c r="K708" s="339">
        <f t="shared" si="49"/>
        <v>0</v>
      </c>
      <c r="L708" s="343">
        <f t="shared" si="50"/>
        <v>100</v>
      </c>
      <c r="N708" s="344">
        <f aca="true" t="shared" si="52" ref="N708:N771">I708-J708+K708</f>
        <v>0</v>
      </c>
    </row>
    <row r="709" spans="1:14" ht="12.75" customHeight="1">
      <c r="A709" s="326">
        <f t="shared" si="51"/>
        <v>708</v>
      </c>
      <c r="B709" s="533">
        <v>7200</v>
      </c>
      <c r="C709" s="472">
        <v>4357</v>
      </c>
      <c r="D709" s="472" t="s">
        <v>509</v>
      </c>
      <c r="E709" s="472">
        <v>5331</v>
      </c>
      <c r="F709" s="389" t="s">
        <v>337</v>
      </c>
      <c r="G709" s="259" t="s">
        <v>510</v>
      </c>
      <c r="H709" s="337">
        <v>17621</v>
      </c>
      <c r="I709" s="337">
        <v>18401</v>
      </c>
      <c r="J709" s="338">
        <v>18401</v>
      </c>
      <c r="K709" s="339">
        <f t="shared" si="49"/>
        <v>0</v>
      </c>
      <c r="L709" s="343">
        <f t="shared" si="50"/>
        <v>100</v>
      </c>
      <c r="N709" s="344">
        <f t="shared" si="52"/>
        <v>0</v>
      </c>
    </row>
    <row r="710" spans="1:14" ht="12.75" customHeight="1">
      <c r="A710" s="326">
        <f t="shared" si="51"/>
        <v>709</v>
      </c>
      <c r="B710" s="533">
        <v>7200</v>
      </c>
      <c r="C710" s="472">
        <v>4357</v>
      </c>
      <c r="D710" s="472" t="s">
        <v>509</v>
      </c>
      <c r="E710" s="472">
        <v>5336</v>
      </c>
      <c r="F710" s="389" t="s">
        <v>339</v>
      </c>
      <c r="G710" s="259" t="s">
        <v>510</v>
      </c>
      <c r="H710" s="337">
        <v>0</v>
      </c>
      <c r="I710" s="337">
        <v>1415</v>
      </c>
      <c r="J710" s="338">
        <v>1415</v>
      </c>
      <c r="K710" s="339">
        <f t="shared" si="49"/>
        <v>0</v>
      </c>
      <c r="L710" s="343">
        <f t="shared" si="50"/>
        <v>100</v>
      </c>
      <c r="N710" s="344">
        <f t="shared" si="52"/>
        <v>0</v>
      </c>
    </row>
    <row r="711" spans="1:14" ht="12.75" customHeight="1">
      <c r="A711" s="326">
        <f t="shared" si="51"/>
        <v>710</v>
      </c>
      <c r="B711" s="533">
        <v>7200</v>
      </c>
      <c r="C711" s="472">
        <v>4357</v>
      </c>
      <c r="D711" s="472" t="s">
        <v>509</v>
      </c>
      <c r="E711" s="472">
        <v>5331</v>
      </c>
      <c r="F711" s="389" t="s">
        <v>337</v>
      </c>
      <c r="G711" s="259" t="s">
        <v>511</v>
      </c>
      <c r="H711" s="337">
        <v>9024</v>
      </c>
      <c r="I711" s="337">
        <v>8824</v>
      </c>
      <c r="J711" s="338">
        <v>8824</v>
      </c>
      <c r="K711" s="339">
        <f t="shared" si="49"/>
        <v>0</v>
      </c>
      <c r="L711" s="343">
        <f t="shared" si="50"/>
        <v>100</v>
      </c>
      <c r="N711" s="344">
        <f t="shared" si="52"/>
        <v>0</v>
      </c>
    </row>
    <row r="712" spans="1:14" ht="12.75" customHeight="1">
      <c r="A712" s="326">
        <f t="shared" si="51"/>
        <v>711</v>
      </c>
      <c r="B712" s="533">
        <v>7200</v>
      </c>
      <c r="C712" s="472">
        <v>4357</v>
      </c>
      <c r="D712" s="472" t="s">
        <v>509</v>
      </c>
      <c r="E712" s="472">
        <v>5336</v>
      </c>
      <c r="F712" s="389" t="s">
        <v>339</v>
      </c>
      <c r="G712" s="259" t="s">
        <v>511</v>
      </c>
      <c r="H712" s="337">
        <v>0</v>
      </c>
      <c r="I712" s="337">
        <v>984</v>
      </c>
      <c r="J712" s="338">
        <v>984</v>
      </c>
      <c r="K712" s="339">
        <f t="shared" si="49"/>
        <v>0</v>
      </c>
      <c r="L712" s="343">
        <f t="shared" si="50"/>
        <v>100</v>
      </c>
      <c r="N712" s="344">
        <f t="shared" si="52"/>
        <v>0</v>
      </c>
    </row>
    <row r="713" spans="1:14" ht="12.75" customHeight="1">
      <c r="A713" s="326">
        <f t="shared" si="51"/>
        <v>712</v>
      </c>
      <c r="B713" s="446"/>
      <c r="C713" s="447" t="s">
        <v>512</v>
      </c>
      <c r="D713" s="447"/>
      <c r="E713" s="447"/>
      <c r="F713" s="347"/>
      <c r="G713" s="347"/>
      <c r="H713" s="349">
        <f>SUBTOTAL(9,H708:H712)</f>
        <v>26645</v>
      </c>
      <c r="I713" s="349">
        <f>SUBTOTAL(9,I708:I712)</f>
        <v>33974</v>
      </c>
      <c r="J713" s="349">
        <f>SUBTOTAL(9,J708:J712)</f>
        <v>33974</v>
      </c>
      <c r="K713" s="450">
        <f t="shared" si="49"/>
        <v>0</v>
      </c>
      <c r="L713" s="451">
        <f t="shared" si="50"/>
        <v>100</v>
      </c>
      <c r="N713" s="344">
        <f t="shared" si="52"/>
        <v>0</v>
      </c>
    </row>
    <row r="714" spans="1:14" ht="12.75" customHeight="1">
      <c r="A714" s="326">
        <f t="shared" si="51"/>
        <v>713</v>
      </c>
      <c r="B714" s="533">
        <v>7200</v>
      </c>
      <c r="C714" s="472">
        <v>4359</v>
      </c>
      <c r="D714" s="472" t="s">
        <v>513</v>
      </c>
      <c r="E714" s="554">
        <v>5221</v>
      </c>
      <c r="F714" s="359" t="s">
        <v>427</v>
      </c>
      <c r="G714" s="347"/>
      <c r="H714" s="337">
        <v>0</v>
      </c>
      <c r="I714" s="337">
        <v>680</v>
      </c>
      <c r="J714" s="338">
        <v>680</v>
      </c>
      <c r="K714" s="339">
        <f t="shared" si="49"/>
        <v>0</v>
      </c>
      <c r="L714" s="343">
        <f t="shared" si="50"/>
        <v>100</v>
      </c>
      <c r="N714" s="344">
        <f t="shared" si="52"/>
        <v>0</v>
      </c>
    </row>
    <row r="715" spans="1:14" ht="12.75" customHeight="1">
      <c r="A715" s="326">
        <f t="shared" si="51"/>
        <v>714</v>
      </c>
      <c r="B715" s="533">
        <v>7200</v>
      </c>
      <c r="C715" s="472">
        <v>4359</v>
      </c>
      <c r="D715" s="472" t="s">
        <v>513</v>
      </c>
      <c r="E715" s="472">
        <v>5222</v>
      </c>
      <c r="F715" s="359" t="s">
        <v>407</v>
      </c>
      <c r="G715" s="259"/>
      <c r="H715" s="337">
        <v>47200</v>
      </c>
      <c r="I715" s="337">
        <v>795</v>
      </c>
      <c r="J715" s="338">
        <v>795</v>
      </c>
      <c r="K715" s="339">
        <f t="shared" si="49"/>
        <v>0</v>
      </c>
      <c r="L715" s="343">
        <f t="shared" si="50"/>
        <v>100</v>
      </c>
      <c r="N715" s="344">
        <f t="shared" si="52"/>
        <v>0</v>
      </c>
    </row>
    <row r="716" spans="1:14" ht="12.75" customHeight="1">
      <c r="A716" s="326">
        <f t="shared" si="51"/>
        <v>715</v>
      </c>
      <c r="B716" s="533">
        <v>7200</v>
      </c>
      <c r="C716" s="472">
        <v>4359</v>
      </c>
      <c r="D716" s="472" t="s">
        <v>513</v>
      </c>
      <c r="E716" s="554">
        <v>5223</v>
      </c>
      <c r="F716" s="259" t="s">
        <v>478</v>
      </c>
      <c r="G716" s="259"/>
      <c r="H716" s="337">
        <v>0</v>
      </c>
      <c r="I716" s="337">
        <v>1160</v>
      </c>
      <c r="J716" s="338">
        <v>1160</v>
      </c>
      <c r="K716" s="339">
        <f t="shared" si="49"/>
        <v>0</v>
      </c>
      <c r="L716" s="343">
        <f t="shared" si="50"/>
        <v>100</v>
      </c>
      <c r="N716" s="344">
        <f t="shared" si="52"/>
        <v>0</v>
      </c>
    </row>
    <row r="717" spans="1:14" ht="12.75" customHeight="1">
      <c r="A717" s="326">
        <f t="shared" si="51"/>
        <v>716</v>
      </c>
      <c r="B717" s="446"/>
      <c r="C717" s="447" t="s">
        <v>514</v>
      </c>
      <c r="D717" s="447"/>
      <c r="E717" s="447"/>
      <c r="F717" s="347"/>
      <c r="G717" s="347"/>
      <c r="H717" s="349">
        <f>SUBTOTAL(9,H714:H716)</f>
        <v>47200</v>
      </c>
      <c r="I717" s="349">
        <f>SUBTOTAL(9,I714:I716)</f>
        <v>2635</v>
      </c>
      <c r="J717" s="349">
        <f>SUBTOTAL(9,J714:J716)</f>
        <v>2635</v>
      </c>
      <c r="K717" s="450">
        <f t="shared" si="49"/>
        <v>0</v>
      </c>
      <c r="L717" s="451">
        <f t="shared" si="50"/>
        <v>100</v>
      </c>
      <c r="N717" s="344">
        <f t="shared" si="52"/>
        <v>0</v>
      </c>
    </row>
    <row r="718" spans="1:14" ht="12.75" customHeight="1">
      <c r="A718" s="326">
        <f t="shared" si="51"/>
        <v>717</v>
      </c>
      <c r="B718" s="533">
        <v>7200</v>
      </c>
      <c r="C718" s="472">
        <v>4371</v>
      </c>
      <c r="D718" s="472" t="s">
        <v>515</v>
      </c>
      <c r="E718" s="554">
        <v>5221</v>
      </c>
      <c r="F718" s="359" t="s">
        <v>427</v>
      </c>
      <c r="G718" s="347"/>
      <c r="H718" s="337">
        <v>0</v>
      </c>
      <c r="I718" s="337">
        <v>170</v>
      </c>
      <c r="J718" s="338">
        <v>170</v>
      </c>
      <c r="K718" s="339">
        <f t="shared" si="49"/>
        <v>0</v>
      </c>
      <c r="L718" s="343">
        <f t="shared" si="50"/>
        <v>100</v>
      </c>
      <c r="N718" s="344">
        <f t="shared" si="52"/>
        <v>0</v>
      </c>
    </row>
    <row r="719" spans="1:14" ht="12.75" customHeight="1">
      <c r="A719" s="326">
        <f t="shared" si="51"/>
        <v>718</v>
      </c>
      <c r="B719" s="533">
        <v>7200</v>
      </c>
      <c r="C719" s="472">
        <v>4371</v>
      </c>
      <c r="D719" s="472" t="s">
        <v>515</v>
      </c>
      <c r="E719" s="472">
        <v>5222</v>
      </c>
      <c r="F719" s="359" t="s">
        <v>407</v>
      </c>
      <c r="G719" s="259"/>
      <c r="H719" s="337">
        <v>0</v>
      </c>
      <c r="I719" s="337">
        <v>622</v>
      </c>
      <c r="J719" s="338">
        <v>622</v>
      </c>
      <c r="K719" s="339">
        <f t="shared" si="49"/>
        <v>0</v>
      </c>
      <c r="L719" s="343">
        <f t="shared" si="50"/>
        <v>100</v>
      </c>
      <c r="N719" s="344">
        <f t="shared" si="52"/>
        <v>0</v>
      </c>
    </row>
    <row r="720" spans="1:14" ht="12.75" customHeight="1">
      <c r="A720" s="326">
        <f t="shared" si="51"/>
        <v>719</v>
      </c>
      <c r="B720" s="533">
        <v>7200</v>
      </c>
      <c r="C720" s="472">
        <v>4371</v>
      </c>
      <c r="D720" s="472" t="s">
        <v>515</v>
      </c>
      <c r="E720" s="554">
        <v>5223</v>
      </c>
      <c r="F720" s="259" t="s">
        <v>478</v>
      </c>
      <c r="G720" s="259"/>
      <c r="H720" s="337">
        <v>0</v>
      </c>
      <c r="I720" s="337">
        <v>295</v>
      </c>
      <c r="J720" s="338">
        <v>295</v>
      </c>
      <c r="K720" s="339">
        <f t="shared" si="49"/>
        <v>0</v>
      </c>
      <c r="L720" s="343">
        <f t="shared" si="50"/>
        <v>100</v>
      </c>
      <c r="N720" s="344">
        <f t="shared" si="52"/>
        <v>0</v>
      </c>
    </row>
    <row r="721" spans="1:14" ht="12.75" customHeight="1">
      <c r="A721" s="326">
        <f t="shared" si="51"/>
        <v>720</v>
      </c>
      <c r="B721" s="446"/>
      <c r="C721" s="447" t="s">
        <v>516</v>
      </c>
      <c r="D721" s="447"/>
      <c r="E721" s="447"/>
      <c r="F721" s="347"/>
      <c r="G721" s="347"/>
      <c r="H721" s="349">
        <f>SUBTOTAL(9,H718:H720)</f>
        <v>0</v>
      </c>
      <c r="I721" s="349">
        <f>SUBTOTAL(9,I718:I720)</f>
        <v>1087</v>
      </c>
      <c r="J721" s="349">
        <f>SUBTOTAL(9,J718:J720)</f>
        <v>1087</v>
      </c>
      <c r="K721" s="450">
        <f t="shared" si="49"/>
        <v>0</v>
      </c>
      <c r="L721" s="451">
        <f t="shared" si="50"/>
        <v>100</v>
      </c>
      <c r="N721" s="344">
        <f t="shared" si="52"/>
        <v>0</v>
      </c>
    </row>
    <row r="722" spans="1:14" ht="12.75" customHeight="1">
      <c r="A722" s="326">
        <f t="shared" si="51"/>
        <v>721</v>
      </c>
      <c r="B722" s="486">
        <v>7200</v>
      </c>
      <c r="C722" s="356">
        <v>4372</v>
      </c>
      <c r="D722" s="356" t="s">
        <v>517</v>
      </c>
      <c r="E722" s="554">
        <v>5221</v>
      </c>
      <c r="F722" s="359" t="s">
        <v>427</v>
      </c>
      <c r="G722" s="360"/>
      <c r="H722" s="337"/>
      <c r="I722" s="337">
        <v>220</v>
      </c>
      <c r="J722" s="338">
        <v>220</v>
      </c>
      <c r="K722" s="339">
        <f t="shared" si="49"/>
        <v>0</v>
      </c>
      <c r="L722" s="343">
        <f t="shared" si="50"/>
        <v>100</v>
      </c>
      <c r="N722" s="344">
        <f t="shared" si="52"/>
        <v>0</v>
      </c>
    </row>
    <row r="723" spans="1:14" ht="12.75" customHeight="1">
      <c r="A723" s="326">
        <f t="shared" si="51"/>
        <v>722</v>
      </c>
      <c r="B723" s="487"/>
      <c r="C723" s="381" t="s">
        <v>518</v>
      </c>
      <c r="D723" s="381"/>
      <c r="E723" s="556"/>
      <c r="F723" s="381"/>
      <c r="G723" s="406"/>
      <c r="H723" s="349">
        <f>SUBTOTAL(9,H720:H722)</f>
        <v>0</v>
      </c>
      <c r="I723" s="349">
        <f>SUBTOTAL(9,I722)</f>
        <v>220</v>
      </c>
      <c r="J723" s="349">
        <f>SUBTOTAL(9,J722)</f>
        <v>220</v>
      </c>
      <c r="K723" s="470">
        <f t="shared" si="49"/>
        <v>0</v>
      </c>
      <c r="L723" s="471">
        <f t="shared" si="50"/>
        <v>100</v>
      </c>
      <c r="N723" s="344">
        <f t="shared" si="52"/>
        <v>0</v>
      </c>
    </row>
    <row r="724" spans="1:14" ht="12.75" customHeight="1">
      <c r="A724" s="326">
        <f t="shared" si="51"/>
        <v>723</v>
      </c>
      <c r="B724" s="533">
        <v>7200</v>
      </c>
      <c r="C724" s="472">
        <v>4374</v>
      </c>
      <c r="D724" s="472" t="s">
        <v>519</v>
      </c>
      <c r="E724" s="472">
        <v>5222</v>
      </c>
      <c r="F724" s="359" t="s">
        <v>407</v>
      </c>
      <c r="G724" s="259"/>
      <c r="H724" s="337">
        <v>0</v>
      </c>
      <c r="I724" s="337">
        <v>690</v>
      </c>
      <c r="J724" s="338">
        <v>690</v>
      </c>
      <c r="K724" s="339">
        <f t="shared" si="49"/>
        <v>0</v>
      </c>
      <c r="L724" s="343">
        <f t="shared" si="50"/>
        <v>100</v>
      </c>
      <c r="N724" s="344">
        <f t="shared" si="52"/>
        <v>0</v>
      </c>
    </row>
    <row r="725" spans="1:14" ht="12.75" customHeight="1">
      <c r="A725" s="326">
        <f t="shared" si="51"/>
        <v>724</v>
      </c>
      <c r="B725" s="533">
        <v>7200</v>
      </c>
      <c r="C725" s="472">
        <v>4374</v>
      </c>
      <c r="D725" s="472" t="s">
        <v>519</v>
      </c>
      <c r="E725" s="554">
        <v>5223</v>
      </c>
      <c r="F725" s="259" t="s">
        <v>478</v>
      </c>
      <c r="G725" s="259"/>
      <c r="H725" s="337">
        <v>0</v>
      </c>
      <c r="I725" s="337">
        <v>340</v>
      </c>
      <c r="J725" s="338">
        <v>340</v>
      </c>
      <c r="K725" s="339">
        <f t="shared" si="49"/>
        <v>0</v>
      </c>
      <c r="L725" s="343">
        <f t="shared" si="50"/>
        <v>100</v>
      </c>
      <c r="N725" s="344">
        <f t="shared" si="52"/>
        <v>0</v>
      </c>
    </row>
    <row r="726" spans="1:14" ht="12.75" customHeight="1">
      <c r="A726" s="326">
        <f t="shared" si="51"/>
        <v>725</v>
      </c>
      <c r="B726" s="533">
        <v>7200</v>
      </c>
      <c r="C726" s="472">
        <v>4374</v>
      </c>
      <c r="D726" s="472" t="s">
        <v>519</v>
      </c>
      <c r="E726" s="472">
        <v>5331</v>
      </c>
      <c r="F726" s="389" t="s">
        <v>337</v>
      </c>
      <c r="G726" s="259" t="s">
        <v>520</v>
      </c>
      <c r="H726" s="337">
        <v>66248</v>
      </c>
      <c r="I726" s="337">
        <v>71248</v>
      </c>
      <c r="J726" s="338">
        <v>71248</v>
      </c>
      <c r="K726" s="339">
        <f t="shared" si="49"/>
        <v>0</v>
      </c>
      <c r="L726" s="343">
        <f t="shared" si="50"/>
        <v>100</v>
      </c>
      <c r="N726" s="344">
        <f t="shared" si="52"/>
        <v>0</v>
      </c>
    </row>
    <row r="727" spans="1:14" ht="12.75" customHeight="1">
      <c r="A727" s="326">
        <f t="shared" si="51"/>
        <v>726</v>
      </c>
      <c r="B727" s="533">
        <v>7200</v>
      </c>
      <c r="C727" s="472">
        <v>4374</v>
      </c>
      <c r="D727" s="472" t="s">
        <v>519</v>
      </c>
      <c r="E727" s="472">
        <v>5336</v>
      </c>
      <c r="F727" s="389" t="s">
        <v>339</v>
      </c>
      <c r="G727" s="259" t="s">
        <v>520</v>
      </c>
      <c r="H727" s="337">
        <v>0</v>
      </c>
      <c r="I727" s="337">
        <v>2833</v>
      </c>
      <c r="J727" s="338">
        <v>2833</v>
      </c>
      <c r="K727" s="339">
        <f t="shared" si="49"/>
        <v>0</v>
      </c>
      <c r="L727" s="343">
        <f t="shared" si="50"/>
        <v>100</v>
      </c>
      <c r="N727" s="344">
        <f t="shared" si="52"/>
        <v>0</v>
      </c>
    </row>
    <row r="728" spans="1:14" ht="12.75" customHeight="1">
      <c r="A728" s="326">
        <f t="shared" si="51"/>
        <v>727</v>
      </c>
      <c r="B728" s="533"/>
      <c r="C728" s="447" t="s">
        <v>521</v>
      </c>
      <c r="D728" s="472"/>
      <c r="E728" s="472"/>
      <c r="F728" s="259"/>
      <c r="G728" s="259"/>
      <c r="H728" s="349">
        <f>SUBTOTAL(9,H724:H727)</f>
        <v>66248</v>
      </c>
      <c r="I728" s="349">
        <f>SUBTOTAL(9,I724:I727)</f>
        <v>75111</v>
      </c>
      <c r="J728" s="349">
        <f>SUBTOTAL(9,J724:J727)</f>
        <v>75111</v>
      </c>
      <c r="K728" s="450">
        <f t="shared" si="49"/>
        <v>0</v>
      </c>
      <c r="L728" s="451">
        <f t="shared" si="50"/>
        <v>100</v>
      </c>
      <c r="N728" s="344">
        <f t="shared" si="52"/>
        <v>0</v>
      </c>
    </row>
    <row r="729" spans="1:14" ht="12.75" customHeight="1">
      <c r="A729" s="326">
        <f t="shared" si="51"/>
        <v>728</v>
      </c>
      <c r="B729" s="486">
        <v>7200</v>
      </c>
      <c r="C729" s="356">
        <v>4375</v>
      </c>
      <c r="D729" s="356" t="s">
        <v>273</v>
      </c>
      <c r="E729" s="554">
        <v>5222</v>
      </c>
      <c r="F729" s="359" t="s">
        <v>407</v>
      </c>
      <c r="G729" s="360"/>
      <c r="H729" s="337"/>
      <c r="I729" s="337">
        <v>560</v>
      </c>
      <c r="J729" s="338">
        <v>560</v>
      </c>
      <c r="K729" s="339">
        <f t="shared" si="49"/>
        <v>0</v>
      </c>
      <c r="L729" s="343">
        <f t="shared" si="50"/>
        <v>100</v>
      </c>
      <c r="N729" s="344">
        <f t="shared" si="52"/>
        <v>0</v>
      </c>
    </row>
    <row r="730" spans="1:14" ht="12.75" customHeight="1">
      <c r="A730" s="326">
        <f t="shared" si="51"/>
        <v>729</v>
      </c>
      <c r="B730" s="486">
        <v>7200</v>
      </c>
      <c r="C730" s="356">
        <v>4375</v>
      </c>
      <c r="D730" s="356" t="s">
        <v>273</v>
      </c>
      <c r="E730" s="554">
        <v>5223</v>
      </c>
      <c r="F730" s="259" t="s">
        <v>478</v>
      </c>
      <c r="G730" s="360"/>
      <c r="H730" s="337"/>
      <c r="I730" s="337">
        <v>80</v>
      </c>
      <c r="J730" s="338">
        <v>80</v>
      </c>
      <c r="K730" s="339">
        <f t="shared" si="49"/>
        <v>0</v>
      </c>
      <c r="L730" s="343">
        <f t="shared" si="50"/>
        <v>100</v>
      </c>
      <c r="N730" s="344">
        <f t="shared" si="52"/>
        <v>0</v>
      </c>
    </row>
    <row r="731" spans="1:14" ht="12.75" customHeight="1">
      <c r="A731" s="326">
        <f t="shared" si="51"/>
        <v>730</v>
      </c>
      <c r="B731" s="487"/>
      <c r="C731" s="381" t="s">
        <v>522</v>
      </c>
      <c r="D731" s="381"/>
      <c r="E731" s="556"/>
      <c r="F731" s="381"/>
      <c r="G731" s="406"/>
      <c r="H731" s="349">
        <f>SUBTOTAL(9,H728:H730)</f>
        <v>0</v>
      </c>
      <c r="I731" s="349">
        <f>SUBTOTAL(9,I729:I730)</f>
        <v>640</v>
      </c>
      <c r="J731" s="349">
        <f>SUBTOTAL(9,J729:J730)</f>
        <v>640</v>
      </c>
      <c r="K731" s="470">
        <f t="shared" si="49"/>
        <v>0</v>
      </c>
      <c r="L731" s="471">
        <f t="shared" si="50"/>
        <v>100</v>
      </c>
      <c r="N731" s="344">
        <f t="shared" si="52"/>
        <v>0</v>
      </c>
    </row>
    <row r="732" spans="1:14" ht="12.75" customHeight="1">
      <c r="A732" s="326">
        <f t="shared" si="51"/>
        <v>731</v>
      </c>
      <c r="B732" s="486">
        <v>7200</v>
      </c>
      <c r="C732" s="356">
        <v>4376</v>
      </c>
      <c r="D732" s="356" t="s">
        <v>523</v>
      </c>
      <c r="E732" s="554">
        <v>5221</v>
      </c>
      <c r="F732" s="359" t="s">
        <v>427</v>
      </c>
      <c r="G732" s="360"/>
      <c r="H732" s="337"/>
      <c r="I732" s="337">
        <v>440</v>
      </c>
      <c r="J732" s="338">
        <v>440</v>
      </c>
      <c r="K732" s="339">
        <f t="shared" si="49"/>
        <v>0</v>
      </c>
      <c r="L732" s="343">
        <f t="shared" si="50"/>
        <v>100</v>
      </c>
      <c r="N732" s="344">
        <f t="shared" si="52"/>
        <v>0</v>
      </c>
    </row>
    <row r="733" spans="1:14" ht="12.75" customHeight="1">
      <c r="A733" s="326">
        <f t="shared" si="51"/>
        <v>732</v>
      </c>
      <c r="B733" s="487"/>
      <c r="C733" s="381" t="s">
        <v>524</v>
      </c>
      <c r="D733" s="381"/>
      <c r="E733" s="556"/>
      <c r="F733" s="381"/>
      <c r="G733" s="406"/>
      <c r="H733" s="349">
        <f>SUBTOTAL(9,H730:H732)</f>
        <v>0</v>
      </c>
      <c r="I733" s="349">
        <f>SUBTOTAL(9,I732)</f>
        <v>440</v>
      </c>
      <c r="J733" s="349">
        <f>SUBTOTAL(9,J732)</f>
        <v>440</v>
      </c>
      <c r="K733" s="470">
        <f t="shared" si="49"/>
        <v>0</v>
      </c>
      <c r="L733" s="471">
        <f t="shared" si="50"/>
        <v>100</v>
      </c>
      <c r="N733" s="344">
        <f t="shared" si="52"/>
        <v>0</v>
      </c>
    </row>
    <row r="734" spans="1:14" ht="12.75" customHeight="1">
      <c r="A734" s="326">
        <f t="shared" si="51"/>
        <v>733</v>
      </c>
      <c r="B734" s="486">
        <v>7200</v>
      </c>
      <c r="C734" s="356">
        <v>4378</v>
      </c>
      <c r="D734" s="356" t="s">
        <v>275</v>
      </c>
      <c r="E734" s="554">
        <v>5221</v>
      </c>
      <c r="F734" s="359" t="s">
        <v>427</v>
      </c>
      <c r="G734" s="360"/>
      <c r="H734" s="337"/>
      <c r="I734" s="337">
        <v>50</v>
      </c>
      <c r="J734" s="338">
        <v>50</v>
      </c>
      <c r="K734" s="339">
        <f t="shared" si="49"/>
        <v>0</v>
      </c>
      <c r="L734" s="343">
        <f t="shared" si="50"/>
        <v>100</v>
      </c>
      <c r="N734" s="344">
        <f t="shared" si="52"/>
        <v>0</v>
      </c>
    </row>
    <row r="735" spans="1:14" ht="12.75" customHeight="1">
      <c r="A735" s="326">
        <f t="shared" si="51"/>
        <v>734</v>
      </c>
      <c r="B735" s="486">
        <v>7200</v>
      </c>
      <c r="C735" s="356">
        <v>4378</v>
      </c>
      <c r="D735" s="356" t="s">
        <v>275</v>
      </c>
      <c r="E735" s="554">
        <v>5222</v>
      </c>
      <c r="F735" s="359" t="s">
        <v>407</v>
      </c>
      <c r="G735" s="360"/>
      <c r="H735" s="337">
        <v>0</v>
      </c>
      <c r="I735" s="337">
        <v>260</v>
      </c>
      <c r="J735" s="338">
        <v>260</v>
      </c>
      <c r="K735" s="339">
        <f t="shared" si="49"/>
        <v>0</v>
      </c>
      <c r="L735" s="343">
        <f t="shared" si="50"/>
        <v>100</v>
      </c>
      <c r="N735" s="344">
        <f t="shared" si="52"/>
        <v>0</v>
      </c>
    </row>
    <row r="736" spans="1:14" ht="12.75" customHeight="1">
      <c r="A736" s="326">
        <f t="shared" si="51"/>
        <v>735</v>
      </c>
      <c r="B736" s="446"/>
      <c r="C736" s="447" t="s">
        <v>525</v>
      </c>
      <c r="D736" s="347"/>
      <c r="E736" s="447"/>
      <c r="F736" s="357"/>
      <c r="G736" s="358"/>
      <c r="H736" s="349">
        <f>SUBTOTAL(9,H734:H735)</f>
        <v>0</v>
      </c>
      <c r="I736" s="349">
        <f>SUBTOTAL(9,I734:I735)</f>
        <v>310</v>
      </c>
      <c r="J736" s="349">
        <f>SUBTOTAL(9,J734:J735)</f>
        <v>310</v>
      </c>
      <c r="K736" s="450">
        <f aca="true" t="shared" si="53" ref="K736:K799">J736-I736</f>
        <v>0</v>
      </c>
      <c r="L736" s="451">
        <f aca="true" t="shared" si="54" ref="L736:L799">J736/I736*100</f>
        <v>100</v>
      </c>
      <c r="N736" s="344">
        <f t="shared" si="52"/>
        <v>0</v>
      </c>
    </row>
    <row r="737" spans="1:14" ht="12.75" customHeight="1">
      <c r="A737" s="326">
        <f t="shared" si="51"/>
        <v>736</v>
      </c>
      <c r="B737" s="533">
        <v>7200</v>
      </c>
      <c r="C737" s="472">
        <v>4379</v>
      </c>
      <c r="D737" s="472" t="s">
        <v>526</v>
      </c>
      <c r="E737" s="554">
        <v>5221</v>
      </c>
      <c r="F737" s="359" t="s">
        <v>427</v>
      </c>
      <c r="G737" s="347"/>
      <c r="H737" s="337">
        <v>0</v>
      </c>
      <c r="I737" s="337">
        <v>80</v>
      </c>
      <c r="J737" s="338">
        <v>80</v>
      </c>
      <c r="K737" s="339">
        <f t="shared" si="53"/>
        <v>0</v>
      </c>
      <c r="L737" s="343">
        <f t="shared" si="54"/>
        <v>100</v>
      </c>
      <c r="N737" s="344">
        <f t="shared" si="52"/>
        <v>0</v>
      </c>
    </row>
    <row r="738" spans="1:14" ht="12.75" customHeight="1">
      <c r="A738" s="326">
        <f t="shared" si="51"/>
        <v>737</v>
      </c>
      <c r="B738" s="533">
        <v>7200</v>
      </c>
      <c r="C738" s="472">
        <v>4379</v>
      </c>
      <c r="D738" s="472" t="s">
        <v>526</v>
      </c>
      <c r="E738" s="472">
        <v>5222</v>
      </c>
      <c r="F738" s="359" t="s">
        <v>407</v>
      </c>
      <c r="G738" s="259"/>
      <c r="H738" s="337">
        <v>0</v>
      </c>
      <c r="I738" s="337">
        <v>1270</v>
      </c>
      <c r="J738" s="338">
        <v>1270</v>
      </c>
      <c r="K738" s="339">
        <f t="shared" si="53"/>
        <v>0</v>
      </c>
      <c r="L738" s="343">
        <f t="shared" si="54"/>
        <v>100</v>
      </c>
      <c r="N738" s="344">
        <f t="shared" si="52"/>
        <v>0</v>
      </c>
    </row>
    <row r="739" spans="1:14" ht="12.75" customHeight="1">
      <c r="A739" s="326">
        <f t="shared" si="51"/>
        <v>738</v>
      </c>
      <c r="B739" s="533">
        <v>7200</v>
      </c>
      <c r="C739" s="472">
        <v>4379</v>
      </c>
      <c r="D739" s="472" t="s">
        <v>526</v>
      </c>
      <c r="E739" s="554">
        <v>5223</v>
      </c>
      <c r="F739" s="259" t="s">
        <v>478</v>
      </c>
      <c r="G739" s="259"/>
      <c r="H739" s="337">
        <v>0</v>
      </c>
      <c r="I739" s="337">
        <v>115</v>
      </c>
      <c r="J739" s="338">
        <v>115</v>
      </c>
      <c r="K739" s="339">
        <f t="shared" si="53"/>
        <v>0</v>
      </c>
      <c r="L739" s="343">
        <f t="shared" si="54"/>
        <v>100</v>
      </c>
      <c r="N739" s="344">
        <f t="shared" si="52"/>
        <v>0</v>
      </c>
    </row>
    <row r="740" spans="1:14" ht="12.75" customHeight="1">
      <c r="A740" s="326">
        <f t="shared" si="51"/>
        <v>739</v>
      </c>
      <c r="B740" s="533">
        <v>7200</v>
      </c>
      <c r="C740" s="472">
        <v>4379</v>
      </c>
      <c r="D740" s="472" t="s">
        <v>526</v>
      </c>
      <c r="E740" s="472">
        <v>5339</v>
      </c>
      <c r="F740" s="356" t="s">
        <v>428</v>
      </c>
      <c r="G740" s="259"/>
      <c r="H740" s="337">
        <v>995</v>
      </c>
      <c r="I740" s="337">
        <v>995</v>
      </c>
      <c r="J740" s="338">
        <v>995</v>
      </c>
      <c r="K740" s="339">
        <f t="shared" si="53"/>
        <v>0</v>
      </c>
      <c r="L740" s="343">
        <f t="shared" si="54"/>
        <v>100</v>
      </c>
      <c r="N740" s="344">
        <f t="shared" si="52"/>
        <v>0</v>
      </c>
    </row>
    <row r="741" spans="1:14" ht="12.75" customHeight="1">
      <c r="A741" s="326">
        <f t="shared" si="51"/>
        <v>740</v>
      </c>
      <c r="B741" s="533"/>
      <c r="C741" s="447" t="s">
        <v>527</v>
      </c>
      <c r="D741" s="472"/>
      <c r="E741" s="472"/>
      <c r="F741" s="259"/>
      <c r="G741" s="259"/>
      <c r="H741" s="349">
        <f>SUBTOTAL(9,H737:H740)</f>
        <v>995</v>
      </c>
      <c r="I741" s="349">
        <f>SUBTOTAL(9,I737:I740)</f>
        <v>2460</v>
      </c>
      <c r="J741" s="349">
        <f>SUBTOTAL(9,J737:J740)</f>
        <v>2460</v>
      </c>
      <c r="K741" s="450">
        <f t="shared" si="53"/>
        <v>0</v>
      </c>
      <c r="L741" s="451">
        <f t="shared" si="54"/>
        <v>100</v>
      </c>
      <c r="N741" s="344">
        <f t="shared" si="52"/>
        <v>0</v>
      </c>
    </row>
    <row r="742" spans="1:14" ht="12.75" customHeight="1">
      <c r="A742" s="326">
        <f t="shared" si="51"/>
        <v>741</v>
      </c>
      <c r="B742" s="533">
        <v>7200</v>
      </c>
      <c r="C742" s="472">
        <v>4399</v>
      </c>
      <c r="D742" s="472" t="s">
        <v>528</v>
      </c>
      <c r="E742" s="472">
        <v>5137</v>
      </c>
      <c r="F742" s="356" t="s">
        <v>346</v>
      </c>
      <c r="G742" s="259"/>
      <c r="H742" s="337"/>
      <c r="I742" s="337">
        <v>250</v>
      </c>
      <c r="J742" s="338">
        <v>250</v>
      </c>
      <c r="K742" s="339">
        <f t="shared" si="53"/>
        <v>0</v>
      </c>
      <c r="L742" s="343">
        <f t="shared" si="54"/>
        <v>100</v>
      </c>
      <c r="N742" s="344">
        <f t="shared" si="52"/>
        <v>0</v>
      </c>
    </row>
    <row r="743" spans="1:14" ht="12.75" customHeight="1">
      <c r="A743" s="326">
        <f t="shared" si="51"/>
        <v>742</v>
      </c>
      <c r="B743" s="533">
        <v>7200</v>
      </c>
      <c r="C743" s="472">
        <v>4399</v>
      </c>
      <c r="D743" s="472" t="s">
        <v>528</v>
      </c>
      <c r="E743" s="472">
        <v>5139</v>
      </c>
      <c r="F743" s="259" t="s">
        <v>342</v>
      </c>
      <c r="G743" s="259"/>
      <c r="H743" s="337"/>
      <c r="I743" s="337">
        <v>60</v>
      </c>
      <c r="J743" s="338">
        <v>45</v>
      </c>
      <c r="K743" s="339">
        <f t="shared" si="53"/>
        <v>-15</v>
      </c>
      <c r="L743" s="343">
        <f t="shared" si="54"/>
        <v>75</v>
      </c>
      <c r="N743" s="344">
        <f t="shared" si="52"/>
        <v>0</v>
      </c>
    </row>
    <row r="744" spans="1:14" ht="12.75" customHeight="1">
      <c r="A744" s="326">
        <f t="shared" si="51"/>
        <v>743</v>
      </c>
      <c r="B744" s="533">
        <v>7200</v>
      </c>
      <c r="C744" s="472">
        <v>4399</v>
      </c>
      <c r="D744" s="472" t="s">
        <v>528</v>
      </c>
      <c r="E744" s="472">
        <v>5162</v>
      </c>
      <c r="F744" s="259" t="s">
        <v>382</v>
      </c>
      <c r="G744" s="259"/>
      <c r="H744" s="337"/>
      <c r="I744" s="337">
        <v>106</v>
      </c>
      <c r="J744" s="338">
        <v>76</v>
      </c>
      <c r="K744" s="339">
        <f t="shared" si="53"/>
        <v>-30</v>
      </c>
      <c r="L744" s="343">
        <f t="shared" si="54"/>
        <v>71.69811320754717</v>
      </c>
      <c r="N744" s="344">
        <f t="shared" si="52"/>
        <v>0</v>
      </c>
    </row>
    <row r="745" spans="1:14" ht="12.75" customHeight="1">
      <c r="A745" s="326">
        <f t="shared" si="51"/>
        <v>744</v>
      </c>
      <c r="B745" s="533">
        <v>7200</v>
      </c>
      <c r="C745" s="472">
        <v>4399</v>
      </c>
      <c r="D745" s="472" t="s">
        <v>528</v>
      </c>
      <c r="E745" s="472">
        <v>5167</v>
      </c>
      <c r="F745" s="389" t="s">
        <v>383</v>
      </c>
      <c r="G745" s="259"/>
      <c r="H745" s="337"/>
      <c r="I745" s="337">
        <v>40</v>
      </c>
      <c r="J745" s="338">
        <v>10</v>
      </c>
      <c r="K745" s="339">
        <f t="shared" si="53"/>
        <v>-30</v>
      </c>
      <c r="L745" s="343">
        <f t="shared" si="54"/>
        <v>25</v>
      </c>
      <c r="N745" s="344">
        <f t="shared" si="52"/>
        <v>0</v>
      </c>
    </row>
    <row r="746" spans="1:14" ht="12.75" customHeight="1">
      <c r="A746" s="326">
        <f t="shared" si="51"/>
        <v>745</v>
      </c>
      <c r="B746" s="533">
        <v>7200</v>
      </c>
      <c r="C746" s="472">
        <v>4399</v>
      </c>
      <c r="D746" s="472" t="s">
        <v>528</v>
      </c>
      <c r="E746" s="472">
        <v>5169</v>
      </c>
      <c r="F746" s="259" t="s">
        <v>316</v>
      </c>
      <c r="G746" s="259"/>
      <c r="H746" s="337"/>
      <c r="I746" s="337">
        <v>2820</v>
      </c>
      <c r="J746" s="338">
        <v>574</v>
      </c>
      <c r="K746" s="339">
        <f t="shared" si="53"/>
        <v>-2246</v>
      </c>
      <c r="L746" s="343">
        <f t="shared" si="54"/>
        <v>20.354609929078013</v>
      </c>
      <c r="N746" s="344">
        <f t="shared" si="52"/>
        <v>0</v>
      </c>
    </row>
    <row r="747" spans="1:14" ht="12.75" customHeight="1">
      <c r="A747" s="326">
        <f t="shared" si="51"/>
        <v>746</v>
      </c>
      <c r="B747" s="533">
        <v>7200</v>
      </c>
      <c r="C747" s="472">
        <v>4399</v>
      </c>
      <c r="D747" s="472" t="s">
        <v>528</v>
      </c>
      <c r="E747" s="472">
        <v>5499</v>
      </c>
      <c r="F747" s="259" t="s">
        <v>391</v>
      </c>
      <c r="G747" s="259"/>
      <c r="H747" s="337"/>
      <c r="I747" s="337">
        <v>1902</v>
      </c>
      <c r="J747" s="338">
        <v>192</v>
      </c>
      <c r="K747" s="339">
        <f t="shared" si="53"/>
        <v>-1710</v>
      </c>
      <c r="L747" s="343">
        <f t="shared" si="54"/>
        <v>10.094637223974763</v>
      </c>
      <c r="N747" s="344">
        <f t="shared" si="52"/>
        <v>0</v>
      </c>
    </row>
    <row r="748" spans="1:14" ht="12.75" customHeight="1">
      <c r="A748" s="326">
        <f t="shared" si="51"/>
        <v>747</v>
      </c>
      <c r="B748" s="533"/>
      <c r="C748" s="447" t="s">
        <v>468</v>
      </c>
      <c r="D748" s="472"/>
      <c r="E748" s="472"/>
      <c r="F748" s="259"/>
      <c r="G748" s="259"/>
      <c r="H748" s="349">
        <f>SUBTOTAL(9,H742:H747)</f>
        <v>0</v>
      </c>
      <c r="I748" s="349">
        <f>SUBTOTAL(9,I742:I747)</f>
        <v>5178</v>
      </c>
      <c r="J748" s="349">
        <f>SUBTOTAL(9,J742:J747)</f>
        <v>1147</v>
      </c>
      <c r="K748" s="450">
        <f t="shared" si="53"/>
        <v>-4031</v>
      </c>
      <c r="L748" s="451">
        <f t="shared" si="54"/>
        <v>22.15140981073774</v>
      </c>
      <c r="N748" s="344">
        <f t="shared" si="52"/>
        <v>0</v>
      </c>
    </row>
    <row r="749" spans="1:14" ht="12.75" customHeight="1">
      <c r="A749" s="326">
        <f t="shared" si="51"/>
        <v>748</v>
      </c>
      <c r="B749" s="533">
        <v>7200</v>
      </c>
      <c r="C749" s="472">
        <v>5319</v>
      </c>
      <c r="D749" s="472" t="s">
        <v>529</v>
      </c>
      <c r="E749" s="472">
        <v>5139</v>
      </c>
      <c r="F749" s="259" t="s">
        <v>342</v>
      </c>
      <c r="G749" s="419"/>
      <c r="H749" s="337"/>
      <c r="I749" s="337">
        <v>69</v>
      </c>
      <c r="J749" s="338">
        <v>69</v>
      </c>
      <c r="K749" s="339">
        <f t="shared" si="53"/>
        <v>0</v>
      </c>
      <c r="L749" s="343">
        <f t="shared" si="54"/>
        <v>100</v>
      </c>
      <c r="N749" s="344">
        <f t="shared" si="52"/>
        <v>0</v>
      </c>
    </row>
    <row r="750" spans="1:14" ht="12.75" customHeight="1">
      <c r="A750" s="326">
        <f t="shared" si="51"/>
        <v>749</v>
      </c>
      <c r="B750" s="533">
        <v>7200</v>
      </c>
      <c r="C750" s="472">
        <v>5319</v>
      </c>
      <c r="D750" s="472" t="s">
        <v>529</v>
      </c>
      <c r="E750" s="472">
        <v>5169</v>
      </c>
      <c r="F750" s="259" t="s">
        <v>316</v>
      </c>
      <c r="G750" s="419"/>
      <c r="H750" s="337"/>
      <c r="I750" s="337">
        <v>766</v>
      </c>
      <c r="J750" s="338">
        <v>766</v>
      </c>
      <c r="K750" s="339">
        <f t="shared" si="53"/>
        <v>0</v>
      </c>
      <c r="L750" s="343">
        <f t="shared" si="54"/>
        <v>100</v>
      </c>
      <c r="N750" s="344">
        <f t="shared" si="52"/>
        <v>0</v>
      </c>
    </row>
    <row r="751" spans="1:14" ht="12.75" customHeight="1">
      <c r="A751" s="326">
        <f t="shared" si="51"/>
        <v>750</v>
      </c>
      <c r="B751" s="533">
        <v>7200</v>
      </c>
      <c r="C751" s="472">
        <v>5319</v>
      </c>
      <c r="D751" s="472" t="s">
        <v>529</v>
      </c>
      <c r="E751" s="472">
        <v>5213</v>
      </c>
      <c r="F751" s="488" t="s">
        <v>431</v>
      </c>
      <c r="G751" s="419"/>
      <c r="H751" s="337">
        <v>2500</v>
      </c>
      <c r="I751" s="337">
        <v>0</v>
      </c>
      <c r="J751" s="338">
        <v>0</v>
      </c>
      <c r="K751" s="339">
        <f t="shared" si="53"/>
        <v>0</v>
      </c>
      <c r="L751" s="343"/>
      <c r="N751" s="344">
        <f t="shared" si="52"/>
        <v>0</v>
      </c>
    </row>
    <row r="752" spans="1:14" ht="12.75" customHeight="1">
      <c r="A752" s="326">
        <f t="shared" si="51"/>
        <v>751</v>
      </c>
      <c r="B752" s="533">
        <v>7200</v>
      </c>
      <c r="C752" s="472">
        <v>5319</v>
      </c>
      <c r="D752" s="472" t="s">
        <v>529</v>
      </c>
      <c r="E752" s="472">
        <v>5221</v>
      </c>
      <c r="F752" s="359" t="s">
        <v>427</v>
      </c>
      <c r="G752" s="419"/>
      <c r="H752" s="337"/>
      <c r="I752" s="337">
        <v>233</v>
      </c>
      <c r="J752" s="338">
        <v>233</v>
      </c>
      <c r="K752" s="339">
        <f t="shared" si="53"/>
        <v>0</v>
      </c>
      <c r="L752" s="343">
        <f t="shared" si="54"/>
        <v>100</v>
      </c>
      <c r="N752" s="344">
        <f t="shared" si="52"/>
        <v>0</v>
      </c>
    </row>
    <row r="753" spans="1:14" ht="12.75" customHeight="1">
      <c r="A753" s="326">
        <f t="shared" si="51"/>
        <v>752</v>
      </c>
      <c r="B753" s="533">
        <v>7200</v>
      </c>
      <c r="C753" s="472">
        <v>5319</v>
      </c>
      <c r="D753" s="472" t="s">
        <v>529</v>
      </c>
      <c r="E753" s="472">
        <v>5222</v>
      </c>
      <c r="F753" s="359" t="s">
        <v>407</v>
      </c>
      <c r="G753" s="419"/>
      <c r="H753" s="337"/>
      <c r="I753" s="337">
        <v>950</v>
      </c>
      <c r="J753" s="338">
        <v>950</v>
      </c>
      <c r="K753" s="339">
        <f t="shared" si="53"/>
        <v>0</v>
      </c>
      <c r="L753" s="343">
        <f t="shared" si="54"/>
        <v>100</v>
      </c>
      <c r="N753" s="344">
        <f t="shared" si="52"/>
        <v>0</v>
      </c>
    </row>
    <row r="754" spans="1:14" ht="12.75" customHeight="1">
      <c r="A754" s="326">
        <f t="shared" si="51"/>
        <v>753</v>
      </c>
      <c r="B754" s="533">
        <v>7200</v>
      </c>
      <c r="C754" s="472">
        <v>5319</v>
      </c>
      <c r="D754" s="472" t="s">
        <v>529</v>
      </c>
      <c r="E754" s="472">
        <v>5223</v>
      </c>
      <c r="F754" s="259" t="s">
        <v>478</v>
      </c>
      <c r="G754" s="419"/>
      <c r="H754" s="337"/>
      <c r="I754" s="337">
        <v>185</v>
      </c>
      <c r="J754" s="338">
        <v>185</v>
      </c>
      <c r="K754" s="339">
        <f t="shared" si="53"/>
        <v>0</v>
      </c>
      <c r="L754" s="343">
        <f t="shared" si="54"/>
        <v>100</v>
      </c>
      <c r="N754" s="344">
        <f t="shared" si="52"/>
        <v>0</v>
      </c>
    </row>
    <row r="755" spans="1:14" ht="12.75" customHeight="1">
      <c r="A755" s="326">
        <f t="shared" si="51"/>
        <v>754</v>
      </c>
      <c r="B755" s="533">
        <v>7200</v>
      </c>
      <c r="C755" s="472">
        <v>5319</v>
      </c>
      <c r="D755" s="472" t="s">
        <v>529</v>
      </c>
      <c r="E755" s="472">
        <v>5311</v>
      </c>
      <c r="F755" s="259" t="s">
        <v>530</v>
      </c>
      <c r="G755" s="419"/>
      <c r="H755" s="337"/>
      <c r="I755" s="337">
        <v>69</v>
      </c>
      <c r="J755" s="338">
        <v>69</v>
      </c>
      <c r="K755" s="339">
        <f t="shared" si="53"/>
        <v>0</v>
      </c>
      <c r="L755" s="343">
        <f t="shared" si="54"/>
        <v>100</v>
      </c>
      <c r="N755" s="344">
        <f t="shared" si="52"/>
        <v>0</v>
      </c>
    </row>
    <row r="756" spans="1:14" ht="12.75" customHeight="1">
      <c r="A756" s="326">
        <f t="shared" si="51"/>
        <v>755</v>
      </c>
      <c r="B756" s="533">
        <v>7200</v>
      </c>
      <c r="C756" s="472">
        <v>5319</v>
      </c>
      <c r="D756" s="472" t="s">
        <v>529</v>
      </c>
      <c r="E756" s="472">
        <v>5339</v>
      </c>
      <c r="F756" s="356" t="s">
        <v>428</v>
      </c>
      <c r="G756" s="419"/>
      <c r="H756" s="337"/>
      <c r="I756" s="337">
        <v>92</v>
      </c>
      <c r="J756" s="338">
        <v>92</v>
      </c>
      <c r="K756" s="339">
        <f t="shared" si="53"/>
        <v>0</v>
      </c>
      <c r="L756" s="343">
        <f t="shared" si="54"/>
        <v>100</v>
      </c>
      <c r="N756" s="344">
        <f t="shared" si="52"/>
        <v>0</v>
      </c>
    </row>
    <row r="757" spans="1:14" ht="12.75" customHeight="1">
      <c r="A757" s="326">
        <f t="shared" si="51"/>
        <v>756</v>
      </c>
      <c r="B757" s="446"/>
      <c r="C757" s="447" t="s">
        <v>364</v>
      </c>
      <c r="D757" s="472"/>
      <c r="E757" s="472"/>
      <c r="F757" s="259"/>
      <c r="G757" s="259"/>
      <c r="H757" s="349">
        <f>SUBTOTAL(9,H749:H756)</f>
        <v>2500</v>
      </c>
      <c r="I757" s="349">
        <f>SUBTOTAL(9,I749:I756)</f>
        <v>2364</v>
      </c>
      <c r="J757" s="349">
        <f>SUBTOTAL(9,J749:J756)</f>
        <v>2364</v>
      </c>
      <c r="K757" s="450">
        <f t="shared" si="53"/>
        <v>0</v>
      </c>
      <c r="L757" s="451">
        <f t="shared" si="54"/>
        <v>100</v>
      </c>
      <c r="N757" s="344">
        <f t="shared" si="52"/>
        <v>0</v>
      </c>
    </row>
    <row r="758" spans="1:14" ht="12.75" customHeight="1">
      <c r="A758" s="326">
        <f t="shared" si="51"/>
        <v>757</v>
      </c>
      <c r="B758" s="486">
        <v>7200</v>
      </c>
      <c r="C758" s="356">
        <v>6409</v>
      </c>
      <c r="D758" s="472" t="s">
        <v>281</v>
      </c>
      <c r="E758" s="554">
        <v>5321</v>
      </c>
      <c r="F758" s="389" t="s">
        <v>331</v>
      </c>
      <c r="G758" s="360"/>
      <c r="H758" s="337"/>
      <c r="I758" s="337">
        <v>970</v>
      </c>
      <c r="J758" s="338">
        <v>970</v>
      </c>
      <c r="K758" s="339">
        <f t="shared" si="53"/>
        <v>0</v>
      </c>
      <c r="L758" s="343">
        <f t="shared" si="54"/>
        <v>100</v>
      </c>
      <c r="N758" s="344">
        <f t="shared" si="52"/>
        <v>0</v>
      </c>
    </row>
    <row r="759" spans="1:14" ht="12.75" customHeight="1">
      <c r="A759" s="326">
        <f t="shared" si="51"/>
        <v>758</v>
      </c>
      <c r="B759" s="487"/>
      <c r="C759" s="381" t="s">
        <v>333</v>
      </c>
      <c r="D759" s="381"/>
      <c r="E759" s="556"/>
      <c r="F759" s="381"/>
      <c r="G759" s="406"/>
      <c r="H759" s="349">
        <f>SUBTOTAL(9,H756:H758)</f>
        <v>0</v>
      </c>
      <c r="I759" s="349">
        <f>SUBTOTAL(9,I758)</f>
        <v>970</v>
      </c>
      <c r="J759" s="349">
        <f>SUBTOTAL(9,J758)</f>
        <v>970</v>
      </c>
      <c r="K759" s="470">
        <f t="shared" si="53"/>
        <v>0</v>
      </c>
      <c r="L759" s="471">
        <f t="shared" si="54"/>
        <v>100</v>
      </c>
      <c r="N759" s="344">
        <f t="shared" si="52"/>
        <v>0</v>
      </c>
    </row>
    <row r="760" spans="1:14" ht="13.5" customHeight="1" thickBot="1">
      <c r="A760" s="326">
        <f t="shared" si="51"/>
        <v>759</v>
      </c>
      <c r="B760" s="366" t="s">
        <v>34</v>
      </c>
      <c r="C760" s="367"/>
      <c r="D760" s="367"/>
      <c r="E760" s="367"/>
      <c r="F760" s="367"/>
      <c r="G760" s="368"/>
      <c r="H760" s="426">
        <f>SUBTOTAL(9,H627:H759)</f>
        <v>290945</v>
      </c>
      <c r="I760" s="426">
        <f>SUBTOTAL(9,I627:I759)</f>
        <v>342955</v>
      </c>
      <c r="J760" s="426">
        <f>SUBTOTAL(9,J627:J759)</f>
        <v>336838</v>
      </c>
      <c r="K760" s="545">
        <f t="shared" si="53"/>
        <v>-6117</v>
      </c>
      <c r="L760" s="546">
        <f t="shared" si="54"/>
        <v>98.21638407371229</v>
      </c>
      <c r="N760" s="344">
        <f t="shared" si="52"/>
        <v>0</v>
      </c>
    </row>
    <row r="761" spans="1:14" ht="12.75">
      <c r="A761" s="326">
        <f t="shared" si="51"/>
        <v>760</v>
      </c>
      <c r="B761" s="446"/>
      <c r="C761" s="447"/>
      <c r="D761" s="447"/>
      <c r="E761" s="447"/>
      <c r="F761" s="421"/>
      <c r="G761" s="422"/>
      <c r="H761" s="438">
        <v>0</v>
      </c>
      <c r="I761" s="438"/>
      <c r="J761" s="439"/>
      <c r="K761" s="440"/>
      <c r="L761" s="441"/>
      <c r="N761" s="344">
        <f t="shared" si="52"/>
        <v>0</v>
      </c>
    </row>
    <row r="762" spans="1:14" ht="15.75">
      <c r="A762" s="326">
        <f t="shared" si="51"/>
        <v>761</v>
      </c>
      <c r="B762" s="335" t="s">
        <v>29</v>
      </c>
      <c r="C762" s="359"/>
      <c r="D762" s="359"/>
      <c r="E762" s="359"/>
      <c r="F762" s="359"/>
      <c r="G762" s="360"/>
      <c r="H762" s="506">
        <v>0</v>
      </c>
      <c r="I762" s="506"/>
      <c r="J762" s="507"/>
      <c r="K762" s="508"/>
      <c r="L762" s="509"/>
      <c r="N762" s="344">
        <f t="shared" si="52"/>
        <v>0</v>
      </c>
    </row>
    <row r="763" spans="1:14" ht="12.75" customHeight="1">
      <c r="A763" s="326">
        <f t="shared" si="51"/>
        <v>762</v>
      </c>
      <c r="B763" s="468">
        <v>7300</v>
      </c>
      <c r="C763" s="359">
        <v>3311</v>
      </c>
      <c r="D763" s="359" t="s">
        <v>24</v>
      </c>
      <c r="E763" s="359">
        <v>5213</v>
      </c>
      <c r="F763" s="488" t="s">
        <v>431</v>
      </c>
      <c r="G763" s="360"/>
      <c r="H763" s="506"/>
      <c r="I763" s="506">
        <v>50</v>
      </c>
      <c r="J763" s="507">
        <v>50</v>
      </c>
      <c r="K763" s="508">
        <f>J763-I763</f>
        <v>0</v>
      </c>
      <c r="L763" s="509">
        <f>J763/I763*100</f>
        <v>100</v>
      </c>
      <c r="N763" s="344">
        <f t="shared" si="52"/>
        <v>0</v>
      </c>
    </row>
    <row r="764" spans="1:14" ht="12.75" customHeight="1">
      <c r="A764" s="326">
        <f t="shared" si="51"/>
        <v>763</v>
      </c>
      <c r="B764" s="468">
        <v>7300</v>
      </c>
      <c r="C764" s="359">
        <v>3311</v>
      </c>
      <c r="D764" s="359" t="s">
        <v>24</v>
      </c>
      <c r="E764" s="359">
        <v>5222</v>
      </c>
      <c r="F764" s="359" t="s">
        <v>407</v>
      </c>
      <c r="G764" s="360"/>
      <c r="H764" s="506"/>
      <c r="I764" s="506">
        <v>1887</v>
      </c>
      <c r="J764" s="507">
        <v>1887</v>
      </c>
      <c r="K764" s="508">
        <f>J764-I764</f>
        <v>0</v>
      </c>
      <c r="L764" s="509">
        <f>J764/I764*100</f>
        <v>100</v>
      </c>
      <c r="N764" s="344">
        <f t="shared" si="52"/>
        <v>0</v>
      </c>
    </row>
    <row r="765" spans="1:14" ht="12.75" customHeight="1">
      <c r="A765" s="326">
        <f t="shared" si="51"/>
        <v>764</v>
      </c>
      <c r="B765" s="468">
        <v>7300</v>
      </c>
      <c r="C765" s="359">
        <v>3311</v>
      </c>
      <c r="D765" s="359" t="s">
        <v>24</v>
      </c>
      <c r="E765" s="359">
        <v>5331</v>
      </c>
      <c r="F765" s="389" t="s">
        <v>337</v>
      </c>
      <c r="G765" s="336" t="s">
        <v>531</v>
      </c>
      <c r="H765" s="337">
        <v>276336</v>
      </c>
      <c r="I765" s="337">
        <v>299694</v>
      </c>
      <c r="J765" s="338">
        <v>299694</v>
      </c>
      <c r="K765" s="339">
        <f t="shared" si="53"/>
        <v>0</v>
      </c>
      <c r="L765" s="343">
        <f t="shared" si="54"/>
        <v>100</v>
      </c>
      <c r="N765" s="344">
        <f t="shared" si="52"/>
        <v>0</v>
      </c>
    </row>
    <row r="766" spans="1:14" ht="12.75" customHeight="1">
      <c r="A766" s="326">
        <f t="shared" si="51"/>
        <v>765</v>
      </c>
      <c r="B766" s="468">
        <v>7300</v>
      </c>
      <c r="C766" s="359">
        <v>3311</v>
      </c>
      <c r="D766" s="359" t="s">
        <v>24</v>
      </c>
      <c r="E766" s="359">
        <v>5331</v>
      </c>
      <c r="F766" s="389" t="s">
        <v>337</v>
      </c>
      <c r="G766" s="336" t="s">
        <v>532</v>
      </c>
      <c r="H766" s="337">
        <v>30904</v>
      </c>
      <c r="I766" s="337">
        <v>31009</v>
      </c>
      <c r="J766" s="338">
        <v>31009</v>
      </c>
      <c r="K766" s="339">
        <f t="shared" si="53"/>
        <v>0</v>
      </c>
      <c r="L766" s="343">
        <f t="shared" si="54"/>
        <v>100</v>
      </c>
      <c r="N766" s="344">
        <f t="shared" si="52"/>
        <v>0</v>
      </c>
    </row>
    <row r="767" spans="1:14" ht="12.75" customHeight="1">
      <c r="A767" s="326">
        <f t="shared" si="51"/>
        <v>766</v>
      </c>
      <c r="B767" s="468">
        <v>7300</v>
      </c>
      <c r="C767" s="359">
        <v>3311</v>
      </c>
      <c r="D767" s="359" t="s">
        <v>24</v>
      </c>
      <c r="E767" s="359">
        <v>5331</v>
      </c>
      <c r="F767" s="389" t="s">
        <v>337</v>
      </c>
      <c r="G767" s="336" t="s">
        <v>533</v>
      </c>
      <c r="H767" s="337">
        <v>165814</v>
      </c>
      <c r="I767" s="337">
        <v>181335</v>
      </c>
      <c r="J767" s="338">
        <v>181335</v>
      </c>
      <c r="K767" s="339">
        <f t="shared" si="53"/>
        <v>0</v>
      </c>
      <c r="L767" s="343">
        <f t="shared" si="54"/>
        <v>100</v>
      </c>
      <c r="N767" s="344">
        <f t="shared" si="52"/>
        <v>0</v>
      </c>
    </row>
    <row r="768" spans="1:14" ht="12.75" customHeight="1">
      <c r="A768" s="326">
        <f t="shared" si="51"/>
        <v>767</v>
      </c>
      <c r="B768" s="468">
        <v>7300</v>
      </c>
      <c r="C768" s="359">
        <v>3311</v>
      </c>
      <c r="D768" s="359" t="s">
        <v>24</v>
      </c>
      <c r="E768" s="359">
        <v>5331</v>
      </c>
      <c r="F768" s="389" t="s">
        <v>337</v>
      </c>
      <c r="G768" s="336" t="s">
        <v>534</v>
      </c>
      <c r="H768" s="337">
        <v>19072</v>
      </c>
      <c r="I768" s="337">
        <v>19189</v>
      </c>
      <c r="J768" s="338">
        <v>19189</v>
      </c>
      <c r="K768" s="339">
        <f t="shared" si="53"/>
        <v>0</v>
      </c>
      <c r="L768" s="343">
        <f t="shared" si="54"/>
        <v>100</v>
      </c>
      <c r="N768" s="344">
        <f t="shared" si="52"/>
        <v>0</v>
      </c>
    </row>
    <row r="769" spans="1:14" ht="12.75" customHeight="1">
      <c r="A769" s="326">
        <f t="shared" si="51"/>
        <v>768</v>
      </c>
      <c r="B769" s="468">
        <v>7300</v>
      </c>
      <c r="C769" s="359">
        <v>3311</v>
      </c>
      <c r="D769" s="359" t="s">
        <v>24</v>
      </c>
      <c r="E769" s="359">
        <v>5332</v>
      </c>
      <c r="F769" s="389" t="s">
        <v>479</v>
      </c>
      <c r="G769" s="336"/>
      <c r="H769" s="337"/>
      <c r="I769" s="337">
        <v>160</v>
      </c>
      <c r="J769" s="338">
        <v>160</v>
      </c>
      <c r="K769" s="339">
        <f t="shared" si="53"/>
        <v>0</v>
      </c>
      <c r="L769" s="343">
        <f t="shared" si="54"/>
        <v>100</v>
      </c>
      <c r="N769" s="344">
        <f t="shared" si="52"/>
        <v>0</v>
      </c>
    </row>
    <row r="770" spans="1:14" ht="12.75" customHeight="1">
      <c r="A770" s="326">
        <f t="shared" si="51"/>
        <v>769</v>
      </c>
      <c r="B770" s="468">
        <v>7300</v>
      </c>
      <c r="C770" s="359">
        <v>3311</v>
      </c>
      <c r="D770" s="359" t="s">
        <v>24</v>
      </c>
      <c r="E770" s="472">
        <v>5336</v>
      </c>
      <c r="F770" s="389" t="s">
        <v>339</v>
      </c>
      <c r="G770" s="336" t="s">
        <v>531</v>
      </c>
      <c r="H770" s="337"/>
      <c r="I770" s="337">
        <v>11185</v>
      </c>
      <c r="J770" s="338">
        <v>11185</v>
      </c>
      <c r="K770" s="339">
        <f t="shared" si="53"/>
        <v>0</v>
      </c>
      <c r="L770" s="343">
        <f t="shared" si="54"/>
        <v>100</v>
      </c>
      <c r="N770" s="344">
        <f t="shared" si="52"/>
        <v>0</v>
      </c>
    </row>
    <row r="771" spans="1:14" ht="12.75" customHeight="1">
      <c r="A771" s="326">
        <f t="shared" si="51"/>
        <v>770</v>
      </c>
      <c r="B771" s="468">
        <v>7300</v>
      </c>
      <c r="C771" s="359">
        <v>3311</v>
      </c>
      <c r="D771" s="359" t="s">
        <v>24</v>
      </c>
      <c r="E771" s="472">
        <v>5336</v>
      </c>
      <c r="F771" s="389" t="s">
        <v>339</v>
      </c>
      <c r="G771" s="336" t="s">
        <v>532</v>
      </c>
      <c r="H771" s="337"/>
      <c r="I771" s="337">
        <v>2870</v>
      </c>
      <c r="J771" s="338">
        <v>2870</v>
      </c>
      <c r="K771" s="339">
        <f t="shared" si="53"/>
        <v>0</v>
      </c>
      <c r="L771" s="343">
        <f t="shared" si="54"/>
        <v>100</v>
      </c>
      <c r="N771" s="344">
        <f t="shared" si="52"/>
        <v>0</v>
      </c>
    </row>
    <row r="772" spans="1:14" ht="12.75" customHeight="1">
      <c r="A772" s="326">
        <f aca="true" t="shared" si="55" ref="A772:A835">A771+1</f>
        <v>771</v>
      </c>
      <c r="B772" s="468">
        <v>7300</v>
      </c>
      <c r="C772" s="359">
        <v>3311</v>
      </c>
      <c r="D772" s="359" t="s">
        <v>24</v>
      </c>
      <c r="E772" s="472">
        <v>5336</v>
      </c>
      <c r="F772" s="389" t="s">
        <v>339</v>
      </c>
      <c r="G772" s="336" t="s">
        <v>533</v>
      </c>
      <c r="H772" s="337"/>
      <c r="I772" s="337">
        <v>3754</v>
      </c>
      <c r="J772" s="338">
        <v>3754</v>
      </c>
      <c r="K772" s="339">
        <f t="shared" si="53"/>
        <v>0</v>
      </c>
      <c r="L772" s="343">
        <f t="shared" si="54"/>
        <v>100</v>
      </c>
      <c r="N772" s="344">
        <f aca="true" t="shared" si="56" ref="N772:N835">I772-J772+K772</f>
        <v>0</v>
      </c>
    </row>
    <row r="773" spans="1:14" ht="12.75" customHeight="1">
      <c r="A773" s="326">
        <f t="shared" si="55"/>
        <v>772</v>
      </c>
      <c r="B773" s="468">
        <v>7300</v>
      </c>
      <c r="C773" s="359">
        <v>3311</v>
      </c>
      <c r="D773" s="359" t="s">
        <v>24</v>
      </c>
      <c r="E773" s="472">
        <v>5336</v>
      </c>
      <c r="F773" s="389" t="s">
        <v>339</v>
      </c>
      <c r="G773" s="336" t="s">
        <v>534</v>
      </c>
      <c r="H773" s="337"/>
      <c r="I773" s="337">
        <v>808</v>
      </c>
      <c r="J773" s="338">
        <v>808</v>
      </c>
      <c r="K773" s="339">
        <f t="shared" si="53"/>
        <v>0</v>
      </c>
      <c r="L773" s="343">
        <f t="shared" si="54"/>
        <v>100</v>
      </c>
      <c r="N773" s="344">
        <f t="shared" si="56"/>
        <v>0</v>
      </c>
    </row>
    <row r="774" spans="1:14" ht="12.75" customHeight="1">
      <c r="A774" s="326">
        <f t="shared" si="55"/>
        <v>773</v>
      </c>
      <c r="B774" s="468">
        <v>7300</v>
      </c>
      <c r="C774" s="359">
        <v>3311</v>
      </c>
      <c r="D774" s="359" t="s">
        <v>24</v>
      </c>
      <c r="E774" s="359">
        <v>5651</v>
      </c>
      <c r="F774" s="259" t="s">
        <v>535</v>
      </c>
      <c r="G774" s="336" t="s">
        <v>533</v>
      </c>
      <c r="H774" s="337">
        <v>10000</v>
      </c>
      <c r="I774" s="337"/>
      <c r="J774" s="338"/>
      <c r="K774" s="339">
        <f t="shared" si="53"/>
        <v>0</v>
      </c>
      <c r="L774" s="490"/>
      <c r="N774" s="344">
        <f t="shared" si="56"/>
        <v>0</v>
      </c>
    </row>
    <row r="775" spans="1:14" ht="12.75" customHeight="1">
      <c r="A775" s="326">
        <f t="shared" si="55"/>
        <v>774</v>
      </c>
      <c r="B775" s="469"/>
      <c r="C775" s="357" t="s">
        <v>536</v>
      </c>
      <c r="D775" s="357"/>
      <c r="E775" s="357"/>
      <c r="F775" s="347"/>
      <c r="G775" s="348"/>
      <c r="H775" s="349">
        <f>SUBTOTAL(9,H763:H774)</f>
        <v>502126</v>
      </c>
      <c r="I775" s="349">
        <f>SUBTOTAL(9,I763:I774)</f>
        <v>551941</v>
      </c>
      <c r="J775" s="349">
        <f>SUBTOTAL(9,J763:J774)</f>
        <v>551941</v>
      </c>
      <c r="K775" s="563">
        <f t="shared" si="53"/>
        <v>0</v>
      </c>
      <c r="L775" s="564">
        <f t="shared" si="54"/>
        <v>100</v>
      </c>
      <c r="N775" s="344">
        <f t="shared" si="56"/>
        <v>0</v>
      </c>
    </row>
    <row r="776" spans="1:14" ht="12.75" customHeight="1">
      <c r="A776" s="326">
        <f t="shared" si="55"/>
        <v>775</v>
      </c>
      <c r="B776" s="468">
        <v>7300</v>
      </c>
      <c r="C776" s="359">
        <v>3312</v>
      </c>
      <c r="D776" s="359" t="s">
        <v>89</v>
      </c>
      <c r="E776" s="359">
        <v>5212</v>
      </c>
      <c r="F776" s="488" t="s">
        <v>537</v>
      </c>
      <c r="G776" s="336"/>
      <c r="H776" s="467"/>
      <c r="I776" s="467">
        <v>480</v>
      </c>
      <c r="J776" s="361">
        <v>480</v>
      </c>
      <c r="K776" s="565">
        <f t="shared" si="53"/>
        <v>0</v>
      </c>
      <c r="L776" s="566">
        <f t="shared" si="54"/>
        <v>100</v>
      </c>
      <c r="N776" s="344">
        <f t="shared" si="56"/>
        <v>0</v>
      </c>
    </row>
    <row r="777" spans="1:14" ht="12.75" customHeight="1">
      <c r="A777" s="326">
        <f t="shared" si="55"/>
        <v>776</v>
      </c>
      <c r="B777" s="468">
        <v>7300</v>
      </c>
      <c r="C777" s="359">
        <v>3312</v>
      </c>
      <c r="D777" s="359" t="s">
        <v>89</v>
      </c>
      <c r="E777" s="359">
        <v>5213</v>
      </c>
      <c r="F777" s="488" t="s">
        <v>431</v>
      </c>
      <c r="G777" s="336"/>
      <c r="H777" s="467"/>
      <c r="I777" s="467">
        <v>437</v>
      </c>
      <c r="J777" s="361">
        <v>410</v>
      </c>
      <c r="K777" s="565">
        <f t="shared" si="53"/>
        <v>-27</v>
      </c>
      <c r="L777" s="566">
        <f t="shared" si="54"/>
        <v>93.82151029748283</v>
      </c>
      <c r="N777" s="344">
        <f t="shared" si="56"/>
        <v>0</v>
      </c>
    </row>
    <row r="778" spans="1:14" ht="12.75" customHeight="1">
      <c r="A778" s="326">
        <f t="shared" si="55"/>
        <v>777</v>
      </c>
      <c r="B778" s="468">
        <v>7300</v>
      </c>
      <c r="C778" s="359">
        <v>3312</v>
      </c>
      <c r="D778" s="359" t="s">
        <v>89</v>
      </c>
      <c r="E778" s="359">
        <v>5221</v>
      </c>
      <c r="F778" s="359" t="s">
        <v>427</v>
      </c>
      <c r="G778" s="336"/>
      <c r="H778" s="467"/>
      <c r="I778" s="467">
        <v>2850</v>
      </c>
      <c r="J778" s="361">
        <v>2850</v>
      </c>
      <c r="K778" s="565">
        <f t="shared" si="53"/>
        <v>0</v>
      </c>
      <c r="L778" s="566">
        <f t="shared" si="54"/>
        <v>100</v>
      </c>
      <c r="N778" s="344">
        <f t="shared" si="56"/>
        <v>0</v>
      </c>
    </row>
    <row r="779" spans="1:14" ht="12.75" customHeight="1">
      <c r="A779" s="326">
        <f t="shared" si="55"/>
        <v>778</v>
      </c>
      <c r="B779" s="468">
        <v>7300</v>
      </c>
      <c r="C779" s="359">
        <v>3312</v>
      </c>
      <c r="D779" s="359" t="s">
        <v>89</v>
      </c>
      <c r="E779" s="359">
        <v>5222</v>
      </c>
      <c r="F779" s="359" t="s">
        <v>407</v>
      </c>
      <c r="G779" s="336"/>
      <c r="H779" s="467"/>
      <c r="I779" s="467">
        <v>1449</v>
      </c>
      <c r="J779" s="361">
        <v>1449</v>
      </c>
      <c r="K779" s="565">
        <f t="shared" si="53"/>
        <v>0</v>
      </c>
      <c r="L779" s="566">
        <f t="shared" si="54"/>
        <v>100</v>
      </c>
      <c r="N779" s="344">
        <f t="shared" si="56"/>
        <v>0</v>
      </c>
    </row>
    <row r="780" spans="1:14" ht="12.75" customHeight="1">
      <c r="A780" s="326">
        <f t="shared" si="55"/>
        <v>779</v>
      </c>
      <c r="B780" s="468">
        <v>7300</v>
      </c>
      <c r="C780" s="359">
        <v>3312</v>
      </c>
      <c r="D780" s="359" t="s">
        <v>89</v>
      </c>
      <c r="E780" s="472">
        <v>5223</v>
      </c>
      <c r="F780" s="259" t="s">
        <v>478</v>
      </c>
      <c r="G780" s="336"/>
      <c r="H780" s="467"/>
      <c r="I780" s="467">
        <v>20</v>
      </c>
      <c r="J780" s="361">
        <v>20</v>
      </c>
      <c r="K780" s="565">
        <f t="shared" si="53"/>
        <v>0</v>
      </c>
      <c r="L780" s="566">
        <f t="shared" si="54"/>
        <v>100</v>
      </c>
      <c r="N780" s="344">
        <f t="shared" si="56"/>
        <v>0</v>
      </c>
    </row>
    <row r="781" spans="1:14" ht="12.75" customHeight="1">
      <c r="A781" s="326">
        <f t="shared" si="55"/>
        <v>780</v>
      </c>
      <c r="B781" s="468">
        <v>7300</v>
      </c>
      <c r="C781" s="359">
        <v>3312</v>
      </c>
      <c r="D781" s="359" t="s">
        <v>89</v>
      </c>
      <c r="E781" s="359">
        <v>5331</v>
      </c>
      <c r="F781" s="389" t="s">
        <v>337</v>
      </c>
      <c r="G781" s="336" t="s">
        <v>538</v>
      </c>
      <c r="H781" s="337">
        <v>55803</v>
      </c>
      <c r="I781" s="337">
        <v>58571</v>
      </c>
      <c r="J781" s="338">
        <v>58571</v>
      </c>
      <c r="K781" s="339">
        <f t="shared" si="53"/>
        <v>0</v>
      </c>
      <c r="L781" s="343">
        <f t="shared" si="54"/>
        <v>100</v>
      </c>
      <c r="N781" s="344">
        <f t="shared" si="56"/>
        <v>0</v>
      </c>
    </row>
    <row r="782" spans="1:14" ht="12.75" customHeight="1">
      <c r="A782" s="326">
        <f t="shared" si="55"/>
        <v>781</v>
      </c>
      <c r="B782" s="468">
        <v>7300</v>
      </c>
      <c r="C782" s="359">
        <v>3312</v>
      </c>
      <c r="D782" s="359" t="s">
        <v>89</v>
      </c>
      <c r="E782" s="359">
        <v>5332</v>
      </c>
      <c r="F782" s="259" t="s">
        <v>479</v>
      </c>
      <c r="G782" s="360"/>
      <c r="H782" s="337">
        <v>520</v>
      </c>
      <c r="I782" s="337">
        <v>590</v>
      </c>
      <c r="J782" s="338">
        <v>590</v>
      </c>
      <c r="K782" s="339">
        <f t="shared" si="53"/>
        <v>0</v>
      </c>
      <c r="L782" s="343">
        <f t="shared" si="54"/>
        <v>100</v>
      </c>
      <c r="N782" s="344">
        <f t="shared" si="56"/>
        <v>0</v>
      </c>
    </row>
    <row r="783" spans="1:14" ht="12.75" customHeight="1">
      <c r="A783" s="326">
        <f t="shared" si="55"/>
        <v>782</v>
      </c>
      <c r="B783" s="468">
        <v>7300</v>
      </c>
      <c r="C783" s="359">
        <v>3312</v>
      </c>
      <c r="D783" s="359" t="s">
        <v>89</v>
      </c>
      <c r="E783" s="472">
        <v>5336</v>
      </c>
      <c r="F783" s="389" t="s">
        <v>339</v>
      </c>
      <c r="G783" s="336" t="s">
        <v>538</v>
      </c>
      <c r="H783" s="337"/>
      <c r="I783" s="337">
        <v>3375</v>
      </c>
      <c r="J783" s="338">
        <v>3375</v>
      </c>
      <c r="K783" s="339">
        <f t="shared" si="53"/>
        <v>0</v>
      </c>
      <c r="L783" s="343">
        <f t="shared" si="54"/>
        <v>100</v>
      </c>
      <c r="N783" s="344">
        <f t="shared" si="56"/>
        <v>0</v>
      </c>
    </row>
    <row r="784" spans="1:14" ht="12.75" customHeight="1">
      <c r="A784" s="326">
        <f t="shared" si="55"/>
        <v>783</v>
      </c>
      <c r="B784" s="468">
        <v>7300</v>
      </c>
      <c r="C784" s="359">
        <v>3312</v>
      </c>
      <c r="D784" s="359" t="s">
        <v>89</v>
      </c>
      <c r="E784" s="472">
        <v>5339</v>
      </c>
      <c r="F784" s="356" t="s">
        <v>428</v>
      </c>
      <c r="G784" s="360"/>
      <c r="H784" s="337"/>
      <c r="I784" s="337">
        <v>20</v>
      </c>
      <c r="J784" s="338">
        <v>20</v>
      </c>
      <c r="K784" s="339">
        <f t="shared" si="53"/>
        <v>0</v>
      </c>
      <c r="L784" s="343">
        <f t="shared" si="54"/>
        <v>100</v>
      </c>
      <c r="N784" s="344">
        <f t="shared" si="56"/>
        <v>0</v>
      </c>
    </row>
    <row r="785" spans="1:14" ht="12.75" customHeight="1">
      <c r="A785" s="326">
        <f t="shared" si="55"/>
        <v>784</v>
      </c>
      <c r="B785" s="469"/>
      <c r="C785" s="357" t="s">
        <v>539</v>
      </c>
      <c r="D785" s="357"/>
      <c r="E785" s="357"/>
      <c r="F785" s="347"/>
      <c r="G785" s="348"/>
      <c r="H785" s="349">
        <f>SUBTOTAL(9,H776:H784)</f>
        <v>56323</v>
      </c>
      <c r="I785" s="349">
        <f>SUBTOTAL(9,I776:I784)</f>
        <v>67792</v>
      </c>
      <c r="J785" s="349">
        <f>SUBTOTAL(9,J776:J784)</f>
        <v>67765</v>
      </c>
      <c r="K785" s="563">
        <f t="shared" si="53"/>
        <v>-27</v>
      </c>
      <c r="L785" s="564">
        <f t="shared" si="54"/>
        <v>99.96017229171584</v>
      </c>
      <c r="N785" s="344">
        <f t="shared" si="56"/>
        <v>0</v>
      </c>
    </row>
    <row r="786" spans="1:14" ht="12.75" customHeight="1">
      <c r="A786" s="326">
        <f t="shared" si="55"/>
        <v>785</v>
      </c>
      <c r="B786" s="468">
        <v>7300</v>
      </c>
      <c r="C786" s="359">
        <v>3313</v>
      </c>
      <c r="D786" s="359" t="s">
        <v>291</v>
      </c>
      <c r="E786" s="359">
        <v>5212</v>
      </c>
      <c r="F786" s="488" t="s">
        <v>537</v>
      </c>
      <c r="G786" s="336"/>
      <c r="H786" s="467"/>
      <c r="I786" s="467">
        <v>432</v>
      </c>
      <c r="J786" s="361">
        <v>322</v>
      </c>
      <c r="K786" s="565">
        <f t="shared" si="53"/>
        <v>-110</v>
      </c>
      <c r="L786" s="566">
        <f t="shared" si="54"/>
        <v>74.53703703703704</v>
      </c>
      <c r="N786" s="344">
        <f t="shared" si="56"/>
        <v>0</v>
      </c>
    </row>
    <row r="787" spans="1:14" ht="12.75" customHeight="1">
      <c r="A787" s="326">
        <f t="shared" si="55"/>
        <v>786</v>
      </c>
      <c r="B787" s="468">
        <v>7300</v>
      </c>
      <c r="C787" s="359">
        <v>3313</v>
      </c>
      <c r="D787" s="359" t="s">
        <v>291</v>
      </c>
      <c r="E787" s="359">
        <v>5213</v>
      </c>
      <c r="F787" s="488" t="s">
        <v>431</v>
      </c>
      <c r="G787" s="336"/>
      <c r="H787" s="467"/>
      <c r="I787" s="467">
        <v>110</v>
      </c>
      <c r="J787" s="361">
        <v>110</v>
      </c>
      <c r="K787" s="565">
        <f t="shared" si="53"/>
        <v>0</v>
      </c>
      <c r="L787" s="566">
        <f t="shared" si="54"/>
        <v>100</v>
      </c>
      <c r="N787" s="344">
        <f t="shared" si="56"/>
        <v>0</v>
      </c>
    </row>
    <row r="788" spans="1:14" ht="12.75" customHeight="1">
      <c r="A788" s="326">
        <f t="shared" si="55"/>
        <v>787</v>
      </c>
      <c r="B788" s="468">
        <v>7300</v>
      </c>
      <c r="C788" s="359">
        <v>3313</v>
      </c>
      <c r="D788" s="359" t="s">
        <v>291</v>
      </c>
      <c r="E788" s="359">
        <v>5221</v>
      </c>
      <c r="F788" s="359" t="s">
        <v>427</v>
      </c>
      <c r="G788" s="336"/>
      <c r="H788" s="467"/>
      <c r="I788" s="467">
        <v>70</v>
      </c>
      <c r="J788" s="361">
        <v>70</v>
      </c>
      <c r="K788" s="565">
        <f t="shared" si="53"/>
        <v>0</v>
      </c>
      <c r="L788" s="566">
        <f t="shared" si="54"/>
        <v>100</v>
      </c>
      <c r="N788" s="344">
        <f t="shared" si="56"/>
        <v>0</v>
      </c>
    </row>
    <row r="789" spans="1:14" ht="12.75" customHeight="1">
      <c r="A789" s="326">
        <f t="shared" si="55"/>
        <v>788</v>
      </c>
      <c r="B789" s="468">
        <v>7300</v>
      </c>
      <c r="C789" s="359">
        <v>3313</v>
      </c>
      <c r="D789" s="359" t="s">
        <v>291</v>
      </c>
      <c r="E789" s="359">
        <v>5222</v>
      </c>
      <c r="F789" s="359" t="s">
        <v>407</v>
      </c>
      <c r="G789" s="336"/>
      <c r="H789" s="467"/>
      <c r="I789" s="467">
        <v>221</v>
      </c>
      <c r="J789" s="361">
        <v>221</v>
      </c>
      <c r="K789" s="565">
        <f t="shared" si="53"/>
        <v>0</v>
      </c>
      <c r="L789" s="566">
        <f t="shared" si="54"/>
        <v>100</v>
      </c>
      <c r="N789" s="344">
        <f t="shared" si="56"/>
        <v>0</v>
      </c>
    </row>
    <row r="790" spans="1:14" ht="12.75" customHeight="1">
      <c r="A790" s="326">
        <f t="shared" si="55"/>
        <v>789</v>
      </c>
      <c r="B790" s="469"/>
      <c r="C790" s="357" t="s">
        <v>540</v>
      </c>
      <c r="D790" s="357"/>
      <c r="E790" s="357"/>
      <c r="F790" s="347"/>
      <c r="G790" s="348"/>
      <c r="H790" s="349">
        <f>SUBTOTAL(9,H786:H789)</f>
        <v>0</v>
      </c>
      <c r="I790" s="349">
        <f>SUBTOTAL(9,I786:I789)</f>
        <v>833</v>
      </c>
      <c r="J790" s="352">
        <f>SUBTOTAL(9,J786:J789)</f>
        <v>723</v>
      </c>
      <c r="K790" s="563">
        <f t="shared" si="53"/>
        <v>-110</v>
      </c>
      <c r="L790" s="564">
        <f t="shared" si="54"/>
        <v>86.79471788715486</v>
      </c>
      <c r="N790" s="344">
        <f t="shared" si="56"/>
        <v>0</v>
      </c>
    </row>
    <row r="791" spans="1:14" ht="12.75" customHeight="1">
      <c r="A791" s="326">
        <f t="shared" si="55"/>
        <v>790</v>
      </c>
      <c r="B791" s="468">
        <v>7300</v>
      </c>
      <c r="C791" s="359">
        <v>3314</v>
      </c>
      <c r="D791" s="359" t="s">
        <v>90</v>
      </c>
      <c r="E791" s="359">
        <v>5331</v>
      </c>
      <c r="F791" s="389" t="s">
        <v>337</v>
      </c>
      <c r="G791" s="336" t="s">
        <v>541</v>
      </c>
      <c r="H791" s="337">
        <v>55328</v>
      </c>
      <c r="I791" s="337">
        <v>55276</v>
      </c>
      <c r="J791" s="338">
        <v>55276</v>
      </c>
      <c r="K791" s="339">
        <f t="shared" si="53"/>
        <v>0</v>
      </c>
      <c r="L791" s="343">
        <f t="shared" si="54"/>
        <v>100</v>
      </c>
      <c r="N791" s="344">
        <f t="shared" si="56"/>
        <v>0</v>
      </c>
    </row>
    <row r="792" spans="1:14" ht="12.75" customHeight="1">
      <c r="A792" s="326">
        <f t="shared" si="55"/>
        <v>791</v>
      </c>
      <c r="B792" s="468">
        <v>7300</v>
      </c>
      <c r="C792" s="359">
        <v>3314</v>
      </c>
      <c r="D792" s="359" t="s">
        <v>90</v>
      </c>
      <c r="E792" s="472">
        <v>5336</v>
      </c>
      <c r="F792" s="389" t="s">
        <v>339</v>
      </c>
      <c r="G792" s="336" t="s">
        <v>541</v>
      </c>
      <c r="H792" s="337"/>
      <c r="I792" s="337">
        <v>247</v>
      </c>
      <c r="J792" s="338">
        <v>247</v>
      </c>
      <c r="K792" s="339">
        <f t="shared" si="53"/>
        <v>0</v>
      </c>
      <c r="L792" s="343">
        <f t="shared" si="54"/>
        <v>100</v>
      </c>
      <c r="N792" s="344">
        <f t="shared" si="56"/>
        <v>0</v>
      </c>
    </row>
    <row r="793" spans="1:14" ht="12.75" customHeight="1">
      <c r="A793" s="326">
        <f t="shared" si="55"/>
        <v>792</v>
      </c>
      <c r="B793" s="469"/>
      <c r="C793" s="357" t="s">
        <v>447</v>
      </c>
      <c r="D793" s="357"/>
      <c r="E793" s="357"/>
      <c r="F793" s="347"/>
      <c r="G793" s="348"/>
      <c r="H793" s="349">
        <f>SUBTOTAL(9,H791:H792)</f>
        <v>55328</v>
      </c>
      <c r="I793" s="349">
        <f>SUBTOTAL(9,I791:I792)</f>
        <v>55523</v>
      </c>
      <c r="J793" s="349">
        <f>SUBTOTAL(9,J791:J792)</f>
        <v>55523</v>
      </c>
      <c r="K793" s="563">
        <f t="shared" si="53"/>
        <v>0</v>
      </c>
      <c r="L793" s="564">
        <f t="shared" si="54"/>
        <v>100</v>
      </c>
      <c r="N793" s="344">
        <f t="shared" si="56"/>
        <v>0</v>
      </c>
    </row>
    <row r="794" spans="1:14" ht="12.75" customHeight="1">
      <c r="A794" s="326">
        <f t="shared" si="55"/>
        <v>793</v>
      </c>
      <c r="B794" s="468">
        <v>7300</v>
      </c>
      <c r="C794" s="359">
        <v>3315</v>
      </c>
      <c r="D794" s="359" t="s">
        <v>91</v>
      </c>
      <c r="E794" s="359">
        <v>5331</v>
      </c>
      <c r="F794" s="389" t="s">
        <v>337</v>
      </c>
      <c r="G794" s="336" t="s">
        <v>542</v>
      </c>
      <c r="H794" s="337">
        <v>51278</v>
      </c>
      <c r="I794" s="337">
        <v>63840</v>
      </c>
      <c r="J794" s="338">
        <v>63773</v>
      </c>
      <c r="K794" s="339">
        <f t="shared" si="53"/>
        <v>-67</v>
      </c>
      <c r="L794" s="343">
        <f t="shared" si="54"/>
        <v>99.89505012531328</v>
      </c>
      <c r="N794" s="344">
        <f t="shared" si="56"/>
        <v>0</v>
      </c>
    </row>
    <row r="795" spans="1:14" ht="12.75" customHeight="1">
      <c r="A795" s="326">
        <f t="shared" si="55"/>
        <v>794</v>
      </c>
      <c r="B795" s="468">
        <v>7300</v>
      </c>
      <c r="C795" s="359">
        <v>3315</v>
      </c>
      <c r="D795" s="359" t="s">
        <v>91</v>
      </c>
      <c r="E795" s="472">
        <v>5336</v>
      </c>
      <c r="F795" s="389" t="s">
        <v>339</v>
      </c>
      <c r="G795" s="336" t="s">
        <v>542</v>
      </c>
      <c r="H795" s="337"/>
      <c r="I795" s="337">
        <v>1095</v>
      </c>
      <c r="J795" s="338">
        <v>1095</v>
      </c>
      <c r="K795" s="339">
        <f t="shared" si="53"/>
        <v>0</v>
      </c>
      <c r="L795" s="343">
        <f t="shared" si="54"/>
        <v>100</v>
      </c>
      <c r="N795" s="344">
        <f t="shared" si="56"/>
        <v>0</v>
      </c>
    </row>
    <row r="796" spans="1:14" ht="12.75" customHeight="1">
      <c r="A796" s="326">
        <f t="shared" si="55"/>
        <v>795</v>
      </c>
      <c r="B796" s="469"/>
      <c r="C796" s="357" t="s">
        <v>543</v>
      </c>
      <c r="D796" s="357"/>
      <c r="E796" s="357"/>
      <c r="F796" s="347"/>
      <c r="G796" s="348"/>
      <c r="H796" s="349">
        <f>SUBTOTAL(9,H794:H795)</f>
        <v>51278</v>
      </c>
      <c r="I796" s="349">
        <f>SUBTOTAL(9,I794:I795)</f>
        <v>64935</v>
      </c>
      <c r="J796" s="349">
        <f>SUBTOTAL(9,J794:J795)</f>
        <v>64868</v>
      </c>
      <c r="K796" s="563">
        <f t="shared" si="53"/>
        <v>-67</v>
      </c>
      <c r="L796" s="564">
        <f t="shared" si="54"/>
        <v>99.8968198968199</v>
      </c>
      <c r="N796" s="344">
        <f t="shared" si="56"/>
        <v>0</v>
      </c>
    </row>
    <row r="797" spans="1:14" ht="12.75" customHeight="1">
      <c r="A797" s="326">
        <f t="shared" si="55"/>
        <v>796</v>
      </c>
      <c r="B797" s="468">
        <v>7300</v>
      </c>
      <c r="C797" s="359">
        <v>3316</v>
      </c>
      <c r="D797" s="359" t="s">
        <v>290</v>
      </c>
      <c r="E797" s="359">
        <v>5212</v>
      </c>
      <c r="F797" s="488" t="s">
        <v>537</v>
      </c>
      <c r="G797" s="336"/>
      <c r="H797" s="467"/>
      <c r="I797" s="467">
        <v>210</v>
      </c>
      <c r="J797" s="361">
        <v>180</v>
      </c>
      <c r="K797" s="565">
        <f t="shared" si="53"/>
        <v>-30</v>
      </c>
      <c r="L797" s="566">
        <f t="shared" si="54"/>
        <v>85.71428571428571</v>
      </c>
      <c r="N797" s="344">
        <f t="shared" si="56"/>
        <v>0</v>
      </c>
    </row>
    <row r="798" spans="1:14" ht="12.75" customHeight="1">
      <c r="A798" s="326">
        <f t="shared" si="55"/>
        <v>797</v>
      </c>
      <c r="B798" s="468">
        <v>7300</v>
      </c>
      <c r="C798" s="359">
        <v>3316</v>
      </c>
      <c r="D798" s="359" t="s">
        <v>290</v>
      </c>
      <c r="E798" s="359">
        <v>5213</v>
      </c>
      <c r="F798" s="488" t="s">
        <v>431</v>
      </c>
      <c r="G798" s="336"/>
      <c r="H798" s="467"/>
      <c r="I798" s="467">
        <v>90</v>
      </c>
      <c r="J798" s="361">
        <v>90</v>
      </c>
      <c r="K798" s="565">
        <f t="shared" si="53"/>
        <v>0</v>
      </c>
      <c r="L798" s="566">
        <f t="shared" si="54"/>
        <v>100</v>
      </c>
      <c r="N798" s="344">
        <f t="shared" si="56"/>
        <v>0</v>
      </c>
    </row>
    <row r="799" spans="1:14" ht="12.75" customHeight="1">
      <c r="A799" s="326">
        <f t="shared" si="55"/>
        <v>798</v>
      </c>
      <c r="B799" s="468">
        <v>7300</v>
      </c>
      <c r="C799" s="359">
        <v>3316</v>
      </c>
      <c r="D799" s="359" t="s">
        <v>290</v>
      </c>
      <c r="E799" s="359">
        <v>5221</v>
      </c>
      <c r="F799" s="359" t="s">
        <v>427</v>
      </c>
      <c r="G799" s="336"/>
      <c r="H799" s="467"/>
      <c r="I799" s="467">
        <v>140</v>
      </c>
      <c r="J799" s="361">
        <v>140</v>
      </c>
      <c r="K799" s="565">
        <f t="shared" si="53"/>
        <v>0</v>
      </c>
      <c r="L799" s="566">
        <f t="shared" si="54"/>
        <v>100</v>
      </c>
      <c r="N799" s="344">
        <f t="shared" si="56"/>
        <v>0</v>
      </c>
    </row>
    <row r="800" spans="1:14" ht="12.75" customHeight="1">
      <c r="A800" s="326">
        <f t="shared" si="55"/>
        <v>799</v>
      </c>
      <c r="B800" s="468">
        <v>7300</v>
      </c>
      <c r="C800" s="359">
        <v>3316</v>
      </c>
      <c r="D800" s="359" t="s">
        <v>290</v>
      </c>
      <c r="E800" s="359">
        <v>5222</v>
      </c>
      <c r="F800" s="359" t="s">
        <v>407</v>
      </c>
      <c r="G800" s="336"/>
      <c r="H800" s="467"/>
      <c r="I800" s="467">
        <v>610</v>
      </c>
      <c r="J800" s="361">
        <v>610</v>
      </c>
      <c r="K800" s="565">
        <f aca="true" t="shared" si="57" ref="K800:K863">J800-I800</f>
        <v>0</v>
      </c>
      <c r="L800" s="566">
        <f aca="true" t="shared" si="58" ref="L800:L863">J800/I800*100</f>
        <v>100</v>
      </c>
      <c r="N800" s="344">
        <f t="shared" si="56"/>
        <v>0</v>
      </c>
    </row>
    <row r="801" spans="1:14" ht="12.75" customHeight="1">
      <c r="A801" s="326">
        <f t="shared" si="55"/>
        <v>800</v>
      </c>
      <c r="B801" s="469"/>
      <c r="C801" s="357" t="s">
        <v>544</v>
      </c>
      <c r="D801" s="357"/>
      <c r="E801" s="357"/>
      <c r="F801" s="347"/>
      <c r="G801" s="348"/>
      <c r="H801" s="349">
        <f>SUBTOTAL(9,H797:H800)</f>
        <v>0</v>
      </c>
      <c r="I801" s="349">
        <f>SUBTOTAL(9,I797:I800)</f>
        <v>1050</v>
      </c>
      <c r="J801" s="352">
        <f>SUBTOTAL(9,J797:J800)</f>
        <v>1020</v>
      </c>
      <c r="K801" s="563">
        <f t="shared" si="57"/>
        <v>-30</v>
      </c>
      <c r="L801" s="564">
        <f t="shared" si="58"/>
        <v>97.14285714285714</v>
      </c>
      <c r="N801" s="344">
        <f t="shared" si="56"/>
        <v>0</v>
      </c>
    </row>
    <row r="802" spans="1:14" ht="12.75" customHeight="1">
      <c r="A802" s="326">
        <f t="shared" si="55"/>
        <v>801</v>
      </c>
      <c r="B802" s="468">
        <v>7300</v>
      </c>
      <c r="C802" s="359">
        <v>3317</v>
      </c>
      <c r="D802" s="359" t="s">
        <v>92</v>
      </c>
      <c r="E802" s="359">
        <v>5212</v>
      </c>
      <c r="F802" s="488" t="s">
        <v>537</v>
      </c>
      <c r="G802" s="336"/>
      <c r="H802" s="467"/>
      <c r="I802" s="467">
        <v>85</v>
      </c>
      <c r="J802" s="361">
        <v>85</v>
      </c>
      <c r="K802" s="565">
        <f t="shared" si="57"/>
        <v>0</v>
      </c>
      <c r="L802" s="566">
        <f t="shared" si="58"/>
        <v>100</v>
      </c>
      <c r="N802" s="344">
        <f t="shared" si="56"/>
        <v>0</v>
      </c>
    </row>
    <row r="803" spans="1:14" ht="12.75" customHeight="1">
      <c r="A803" s="326">
        <f t="shared" si="55"/>
        <v>802</v>
      </c>
      <c r="B803" s="468">
        <v>7300</v>
      </c>
      <c r="C803" s="359">
        <v>3317</v>
      </c>
      <c r="D803" s="359" t="s">
        <v>92</v>
      </c>
      <c r="E803" s="359">
        <v>5221</v>
      </c>
      <c r="F803" s="359" t="s">
        <v>427</v>
      </c>
      <c r="G803" s="336"/>
      <c r="H803" s="467"/>
      <c r="I803" s="467">
        <v>1000</v>
      </c>
      <c r="J803" s="361">
        <v>1000</v>
      </c>
      <c r="K803" s="565">
        <f t="shared" si="57"/>
        <v>0</v>
      </c>
      <c r="L803" s="566">
        <f t="shared" si="58"/>
        <v>100</v>
      </c>
      <c r="N803" s="344">
        <f t="shared" si="56"/>
        <v>0</v>
      </c>
    </row>
    <row r="804" spans="1:14" ht="12.75" customHeight="1">
      <c r="A804" s="326">
        <f t="shared" si="55"/>
        <v>803</v>
      </c>
      <c r="B804" s="468">
        <v>7300</v>
      </c>
      <c r="C804" s="359">
        <v>3317</v>
      </c>
      <c r="D804" s="359" t="s">
        <v>92</v>
      </c>
      <c r="E804" s="359">
        <v>5222</v>
      </c>
      <c r="F804" s="359" t="s">
        <v>407</v>
      </c>
      <c r="G804" s="336"/>
      <c r="H804" s="467"/>
      <c r="I804" s="467">
        <v>205</v>
      </c>
      <c r="J804" s="361">
        <v>205</v>
      </c>
      <c r="K804" s="565">
        <f t="shared" si="57"/>
        <v>0</v>
      </c>
      <c r="L804" s="566">
        <f t="shared" si="58"/>
        <v>100</v>
      </c>
      <c r="N804" s="344">
        <f t="shared" si="56"/>
        <v>0</v>
      </c>
    </row>
    <row r="805" spans="1:14" ht="12.75" customHeight="1">
      <c r="A805" s="326">
        <f t="shared" si="55"/>
        <v>804</v>
      </c>
      <c r="B805" s="468">
        <v>7300</v>
      </c>
      <c r="C805" s="359">
        <v>3317</v>
      </c>
      <c r="D805" s="359" t="s">
        <v>92</v>
      </c>
      <c r="E805" s="472">
        <v>5223</v>
      </c>
      <c r="F805" s="259" t="s">
        <v>478</v>
      </c>
      <c r="G805" s="336"/>
      <c r="H805" s="467"/>
      <c r="I805" s="467">
        <v>10</v>
      </c>
      <c r="J805" s="361">
        <v>10</v>
      </c>
      <c r="K805" s="565">
        <f t="shared" si="57"/>
        <v>0</v>
      </c>
      <c r="L805" s="566">
        <f t="shared" si="58"/>
        <v>100</v>
      </c>
      <c r="N805" s="344">
        <f t="shared" si="56"/>
        <v>0</v>
      </c>
    </row>
    <row r="806" spans="1:14" ht="12.75" customHeight="1">
      <c r="A806" s="326">
        <f t="shared" si="55"/>
        <v>805</v>
      </c>
      <c r="B806" s="468">
        <v>7300</v>
      </c>
      <c r="C806" s="359">
        <v>3317</v>
      </c>
      <c r="D806" s="359" t="s">
        <v>92</v>
      </c>
      <c r="E806" s="359">
        <v>5229</v>
      </c>
      <c r="F806" s="259" t="s">
        <v>545</v>
      </c>
      <c r="G806" s="336"/>
      <c r="H806" s="467"/>
      <c r="I806" s="467">
        <v>60</v>
      </c>
      <c r="J806" s="361">
        <v>60</v>
      </c>
      <c r="K806" s="565">
        <f t="shared" si="57"/>
        <v>0</v>
      </c>
      <c r="L806" s="566">
        <f t="shared" si="58"/>
        <v>100</v>
      </c>
      <c r="N806" s="344">
        <f t="shared" si="56"/>
        <v>0</v>
      </c>
    </row>
    <row r="807" spans="1:14" ht="12.75" customHeight="1">
      <c r="A807" s="326">
        <f t="shared" si="55"/>
        <v>806</v>
      </c>
      <c r="B807" s="468">
        <v>7300</v>
      </c>
      <c r="C807" s="359">
        <v>3317</v>
      </c>
      <c r="D807" s="359" t="s">
        <v>92</v>
      </c>
      <c r="E807" s="359">
        <v>5331</v>
      </c>
      <c r="F807" s="389" t="s">
        <v>337</v>
      </c>
      <c r="G807" s="336" t="s">
        <v>546</v>
      </c>
      <c r="H807" s="337">
        <v>14533</v>
      </c>
      <c r="I807" s="337">
        <v>14545</v>
      </c>
      <c r="J807" s="338">
        <v>14545</v>
      </c>
      <c r="K807" s="339">
        <f t="shared" si="57"/>
        <v>0</v>
      </c>
      <c r="L807" s="343">
        <f t="shared" si="58"/>
        <v>100</v>
      </c>
      <c r="N807" s="344">
        <f t="shared" si="56"/>
        <v>0</v>
      </c>
    </row>
    <row r="808" spans="1:14" ht="12.75" customHeight="1">
      <c r="A808" s="326">
        <f t="shared" si="55"/>
        <v>807</v>
      </c>
      <c r="B808" s="468">
        <v>7300</v>
      </c>
      <c r="C808" s="359">
        <v>3317</v>
      </c>
      <c r="D808" s="359" t="s">
        <v>92</v>
      </c>
      <c r="E808" s="359">
        <v>5332</v>
      </c>
      <c r="F808" s="259" t="s">
        <v>479</v>
      </c>
      <c r="G808" s="336"/>
      <c r="H808" s="337"/>
      <c r="I808" s="337">
        <v>110</v>
      </c>
      <c r="J808" s="338">
        <v>110</v>
      </c>
      <c r="K808" s="339">
        <f t="shared" si="57"/>
        <v>0</v>
      </c>
      <c r="L808" s="343">
        <f t="shared" si="58"/>
        <v>100</v>
      </c>
      <c r="N808" s="344">
        <f t="shared" si="56"/>
        <v>0</v>
      </c>
    </row>
    <row r="809" spans="1:14" ht="12.75" customHeight="1">
      <c r="A809" s="326">
        <f t="shared" si="55"/>
        <v>808</v>
      </c>
      <c r="B809" s="468">
        <v>7300</v>
      </c>
      <c r="C809" s="359">
        <v>3317</v>
      </c>
      <c r="D809" s="359" t="s">
        <v>92</v>
      </c>
      <c r="E809" s="472">
        <v>5336</v>
      </c>
      <c r="F809" s="389" t="s">
        <v>339</v>
      </c>
      <c r="G809" s="336" t="s">
        <v>546</v>
      </c>
      <c r="H809" s="337"/>
      <c r="I809" s="337">
        <v>648</v>
      </c>
      <c r="J809" s="338">
        <v>648</v>
      </c>
      <c r="K809" s="339">
        <f t="shared" si="57"/>
        <v>0</v>
      </c>
      <c r="L809" s="343">
        <f t="shared" si="58"/>
        <v>100</v>
      </c>
      <c r="N809" s="344">
        <f t="shared" si="56"/>
        <v>0</v>
      </c>
    </row>
    <row r="810" spans="1:14" ht="12.75" customHeight="1">
      <c r="A810" s="326">
        <f t="shared" si="55"/>
        <v>809</v>
      </c>
      <c r="B810" s="468">
        <v>7300</v>
      </c>
      <c r="C810" s="359">
        <v>3317</v>
      </c>
      <c r="D810" s="359" t="s">
        <v>92</v>
      </c>
      <c r="E810" s="472">
        <v>5339</v>
      </c>
      <c r="F810" s="356" t="s">
        <v>428</v>
      </c>
      <c r="G810" s="336"/>
      <c r="H810" s="337"/>
      <c r="I810" s="337">
        <v>400</v>
      </c>
      <c r="J810" s="338">
        <v>400</v>
      </c>
      <c r="K810" s="339">
        <f t="shared" si="57"/>
        <v>0</v>
      </c>
      <c r="L810" s="343">
        <f t="shared" si="58"/>
        <v>100</v>
      </c>
      <c r="N810" s="344">
        <f t="shared" si="56"/>
        <v>0</v>
      </c>
    </row>
    <row r="811" spans="1:14" ht="12.75" customHeight="1">
      <c r="A811" s="326">
        <f t="shared" si="55"/>
        <v>810</v>
      </c>
      <c r="B811" s="469"/>
      <c r="C811" s="357" t="s">
        <v>547</v>
      </c>
      <c r="D811" s="357"/>
      <c r="E811" s="357"/>
      <c r="F811" s="347"/>
      <c r="G811" s="348"/>
      <c r="H811" s="349">
        <f>SUBTOTAL(9,H802:H810)</f>
        <v>14533</v>
      </c>
      <c r="I811" s="349">
        <f>SUBTOTAL(9,I802:I810)</f>
        <v>17063</v>
      </c>
      <c r="J811" s="349">
        <f>SUBTOTAL(9,J802:J810)</f>
        <v>17063</v>
      </c>
      <c r="K811" s="563">
        <f t="shared" si="57"/>
        <v>0</v>
      </c>
      <c r="L811" s="564">
        <f t="shared" si="58"/>
        <v>100</v>
      </c>
      <c r="N811" s="344">
        <f t="shared" si="56"/>
        <v>0</v>
      </c>
    </row>
    <row r="812" spans="1:14" ht="12.75" customHeight="1">
      <c r="A812" s="326">
        <f t="shared" si="55"/>
        <v>811</v>
      </c>
      <c r="B812" s="468">
        <v>7300</v>
      </c>
      <c r="C812" s="359">
        <v>3319</v>
      </c>
      <c r="D812" s="359" t="s">
        <v>548</v>
      </c>
      <c r="E812" s="359">
        <v>5139</v>
      </c>
      <c r="F812" s="259" t="s">
        <v>342</v>
      </c>
      <c r="G812" s="336"/>
      <c r="H812" s="337">
        <v>460</v>
      </c>
      <c r="I812" s="337">
        <v>460</v>
      </c>
      <c r="J812" s="338">
        <v>336</v>
      </c>
      <c r="K812" s="339">
        <f t="shared" si="57"/>
        <v>-124</v>
      </c>
      <c r="L812" s="343">
        <f t="shared" si="58"/>
        <v>73.04347826086956</v>
      </c>
      <c r="N812" s="344">
        <f t="shared" si="56"/>
        <v>0</v>
      </c>
    </row>
    <row r="813" spans="1:14" ht="12.75" customHeight="1">
      <c r="A813" s="326">
        <f t="shared" si="55"/>
        <v>812</v>
      </c>
      <c r="B813" s="468">
        <v>7300</v>
      </c>
      <c r="C813" s="359">
        <v>3319</v>
      </c>
      <c r="D813" s="359" t="s">
        <v>548</v>
      </c>
      <c r="E813" s="359">
        <v>5151</v>
      </c>
      <c r="F813" s="259" t="s">
        <v>451</v>
      </c>
      <c r="G813" s="336"/>
      <c r="H813" s="337"/>
      <c r="I813" s="337">
        <v>3</v>
      </c>
      <c r="J813" s="338">
        <v>3</v>
      </c>
      <c r="K813" s="339">
        <f t="shared" si="57"/>
        <v>0</v>
      </c>
      <c r="L813" s="343">
        <f t="shared" si="58"/>
        <v>100</v>
      </c>
      <c r="N813" s="344">
        <f t="shared" si="56"/>
        <v>0</v>
      </c>
    </row>
    <row r="814" spans="1:14" ht="12.75" customHeight="1">
      <c r="A814" s="326">
        <f t="shared" si="55"/>
        <v>813</v>
      </c>
      <c r="B814" s="468">
        <v>7300</v>
      </c>
      <c r="C814" s="359">
        <v>3319</v>
      </c>
      <c r="D814" s="359" t="s">
        <v>548</v>
      </c>
      <c r="E814" s="359">
        <v>5154</v>
      </c>
      <c r="F814" s="389" t="s">
        <v>347</v>
      </c>
      <c r="G814" s="336"/>
      <c r="H814" s="337">
        <v>40</v>
      </c>
      <c r="I814" s="337">
        <v>40</v>
      </c>
      <c r="J814" s="338">
        <v>29</v>
      </c>
      <c r="K814" s="339">
        <f t="shared" si="57"/>
        <v>-11</v>
      </c>
      <c r="L814" s="343">
        <f t="shared" si="58"/>
        <v>72.5</v>
      </c>
      <c r="N814" s="344">
        <f t="shared" si="56"/>
        <v>0</v>
      </c>
    </row>
    <row r="815" spans="1:14" ht="12.75" customHeight="1">
      <c r="A815" s="326">
        <f t="shared" si="55"/>
        <v>814</v>
      </c>
      <c r="B815" s="468">
        <v>7300</v>
      </c>
      <c r="C815" s="359">
        <v>3319</v>
      </c>
      <c r="D815" s="359" t="s">
        <v>548</v>
      </c>
      <c r="E815" s="359">
        <v>5163</v>
      </c>
      <c r="F815" s="389" t="s">
        <v>323</v>
      </c>
      <c r="G815" s="336"/>
      <c r="H815" s="337">
        <v>25</v>
      </c>
      <c r="I815" s="337">
        <v>25</v>
      </c>
      <c r="J815" s="338">
        <v>15</v>
      </c>
      <c r="K815" s="339">
        <f t="shared" si="57"/>
        <v>-10</v>
      </c>
      <c r="L815" s="343">
        <f t="shared" si="58"/>
        <v>60</v>
      </c>
      <c r="N815" s="344">
        <f t="shared" si="56"/>
        <v>0</v>
      </c>
    </row>
    <row r="816" spans="1:14" ht="12.75" customHeight="1">
      <c r="A816" s="326">
        <f t="shared" si="55"/>
        <v>815</v>
      </c>
      <c r="B816" s="468">
        <v>7300</v>
      </c>
      <c r="C816" s="359">
        <v>3319</v>
      </c>
      <c r="D816" s="359" t="s">
        <v>548</v>
      </c>
      <c r="E816" s="359">
        <v>5166</v>
      </c>
      <c r="F816" s="259" t="s">
        <v>315</v>
      </c>
      <c r="G816" s="336"/>
      <c r="H816" s="337">
        <v>100</v>
      </c>
      <c r="I816" s="337">
        <v>72</v>
      </c>
      <c r="J816" s="338"/>
      <c r="K816" s="339">
        <f t="shared" si="57"/>
        <v>-72</v>
      </c>
      <c r="L816" s="343">
        <f t="shared" si="58"/>
        <v>0</v>
      </c>
      <c r="N816" s="344">
        <f t="shared" si="56"/>
        <v>0</v>
      </c>
    </row>
    <row r="817" spans="1:14" ht="12.75" customHeight="1">
      <c r="A817" s="326">
        <f t="shared" si="55"/>
        <v>816</v>
      </c>
      <c r="B817" s="468">
        <v>7300</v>
      </c>
      <c r="C817" s="359">
        <v>3319</v>
      </c>
      <c r="D817" s="359" t="s">
        <v>548</v>
      </c>
      <c r="E817" s="359">
        <v>5169</v>
      </c>
      <c r="F817" s="259" t="s">
        <v>316</v>
      </c>
      <c r="G817" s="336"/>
      <c r="H817" s="337">
        <v>805</v>
      </c>
      <c r="I817" s="337">
        <v>785</v>
      </c>
      <c r="J817" s="338">
        <v>713</v>
      </c>
      <c r="K817" s="339">
        <f t="shared" si="57"/>
        <v>-72</v>
      </c>
      <c r="L817" s="343">
        <f t="shared" si="58"/>
        <v>90.828025477707</v>
      </c>
      <c r="N817" s="344">
        <f t="shared" si="56"/>
        <v>0</v>
      </c>
    </row>
    <row r="818" spans="1:14" ht="12.75" customHeight="1">
      <c r="A818" s="326">
        <f t="shared" si="55"/>
        <v>817</v>
      </c>
      <c r="B818" s="468">
        <v>7300</v>
      </c>
      <c r="C818" s="359">
        <v>3319</v>
      </c>
      <c r="D818" s="359" t="s">
        <v>548</v>
      </c>
      <c r="E818" s="359">
        <v>5171</v>
      </c>
      <c r="F818" s="389" t="s">
        <v>384</v>
      </c>
      <c r="G818" s="336"/>
      <c r="H818" s="337"/>
      <c r="I818" s="337">
        <v>21</v>
      </c>
      <c r="J818" s="338">
        <v>20</v>
      </c>
      <c r="K818" s="339">
        <f t="shared" si="57"/>
        <v>-1</v>
      </c>
      <c r="L818" s="343">
        <f t="shared" si="58"/>
        <v>95.23809523809523</v>
      </c>
      <c r="N818" s="344">
        <f t="shared" si="56"/>
        <v>0</v>
      </c>
    </row>
    <row r="819" spans="1:14" ht="12.75" customHeight="1">
      <c r="A819" s="326">
        <f t="shared" si="55"/>
        <v>818</v>
      </c>
      <c r="B819" s="468">
        <v>7300</v>
      </c>
      <c r="C819" s="359">
        <v>3319</v>
      </c>
      <c r="D819" s="359" t="s">
        <v>548</v>
      </c>
      <c r="E819" s="359">
        <v>5173</v>
      </c>
      <c r="F819" s="389" t="s">
        <v>355</v>
      </c>
      <c r="G819" s="336"/>
      <c r="H819" s="337"/>
      <c r="I819" s="337">
        <v>4</v>
      </c>
      <c r="J819" s="338">
        <v>3</v>
      </c>
      <c r="K819" s="339">
        <f t="shared" si="57"/>
        <v>-1</v>
      </c>
      <c r="L819" s="343">
        <f t="shared" si="58"/>
        <v>75</v>
      </c>
      <c r="N819" s="344">
        <f t="shared" si="56"/>
        <v>0</v>
      </c>
    </row>
    <row r="820" spans="1:14" ht="12.75" customHeight="1">
      <c r="A820" s="326">
        <f t="shared" si="55"/>
        <v>819</v>
      </c>
      <c r="B820" s="468">
        <v>7300</v>
      </c>
      <c r="C820" s="359">
        <v>3319</v>
      </c>
      <c r="D820" s="359" t="s">
        <v>548</v>
      </c>
      <c r="E820" s="359">
        <v>5175</v>
      </c>
      <c r="F820" s="389" t="s">
        <v>334</v>
      </c>
      <c r="G820" s="360"/>
      <c r="H820" s="337">
        <v>10</v>
      </c>
      <c r="I820" s="337">
        <v>10</v>
      </c>
      <c r="J820" s="338">
        <v>2</v>
      </c>
      <c r="K820" s="339">
        <f t="shared" si="57"/>
        <v>-8</v>
      </c>
      <c r="L820" s="343">
        <f t="shared" si="58"/>
        <v>20</v>
      </c>
      <c r="N820" s="344">
        <f t="shared" si="56"/>
        <v>0</v>
      </c>
    </row>
    <row r="821" spans="1:14" ht="12.75" customHeight="1">
      <c r="A821" s="326">
        <f t="shared" si="55"/>
        <v>820</v>
      </c>
      <c r="B821" s="468">
        <v>7300</v>
      </c>
      <c r="C821" s="359">
        <v>3319</v>
      </c>
      <c r="D821" s="359" t="s">
        <v>548</v>
      </c>
      <c r="E821" s="359">
        <v>5192</v>
      </c>
      <c r="F821" s="259" t="s">
        <v>335</v>
      </c>
      <c r="G821" s="360"/>
      <c r="H821" s="337"/>
      <c r="I821" s="337">
        <v>20</v>
      </c>
      <c r="J821" s="338">
        <v>5</v>
      </c>
      <c r="K821" s="339">
        <f t="shared" si="57"/>
        <v>-15</v>
      </c>
      <c r="L821" s="343">
        <f t="shared" si="58"/>
        <v>25</v>
      </c>
      <c r="N821" s="344">
        <f t="shared" si="56"/>
        <v>0</v>
      </c>
    </row>
    <row r="822" spans="1:14" ht="12.75" customHeight="1">
      <c r="A822" s="326">
        <f t="shared" si="55"/>
        <v>821</v>
      </c>
      <c r="B822" s="468">
        <v>7300</v>
      </c>
      <c r="C822" s="359">
        <v>3319</v>
      </c>
      <c r="D822" s="359" t="s">
        <v>548</v>
      </c>
      <c r="E822" s="359">
        <v>5212</v>
      </c>
      <c r="F822" s="488" t="s">
        <v>537</v>
      </c>
      <c r="G822" s="360"/>
      <c r="H822" s="337"/>
      <c r="I822" s="337">
        <v>115</v>
      </c>
      <c r="J822" s="338">
        <v>90</v>
      </c>
      <c r="K822" s="339">
        <f t="shared" si="57"/>
        <v>-25</v>
      </c>
      <c r="L822" s="343">
        <f t="shared" si="58"/>
        <v>78.26086956521739</v>
      </c>
      <c r="N822" s="344">
        <f t="shared" si="56"/>
        <v>0</v>
      </c>
    </row>
    <row r="823" spans="1:14" ht="12.75" customHeight="1">
      <c r="A823" s="326">
        <f t="shared" si="55"/>
        <v>822</v>
      </c>
      <c r="B823" s="468">
        <v>7300</v>
      </c>
      <c r="C823" s="359">
        <v>3319</v>
      </c>
      <c r="D823" s="359" t="s">
        <v>548</v>
      </c>
      <c r="E823" s="359">
        <v>5213</v>
      </c>
      <c r="F823" s="488" t="s">
        <v>431</v>
      </c>
      <c r="G823" s="360"/>
      <c r="H823" s="337"/>
      <c r="I823" s="337">
        <v>650</v>
      </c>
      <c r="J823" s="338">
        <v>650</v>
      </c>
      <c r="K823" s="339">
        <f t="shared" si="57"/>
        <v>0</v>
      </c>
      <c r="L823" s="343">
        <f t="shared" si="58"/>
        <v>100</v>
      </c>
      <c r="N823" s="344">
        <f t="shared" si="56"/>
        <v>0</v>
      </c>
    </row>
    <row r="824" spans="1:14" ht="12.75" customHeight="1">
      <c r="A824" s="326">
        <f t="shared" si="55"/>
        <v>823</v>
      </c>
      <c r="B824" s="468">
        <v>7300</v>
      </c>
      <c r="C824" s="359">
        <v>3319</v>
      </c>
      <c r="D824" s="359" t="s">
        <v>548</v>
      </c>
      <c r="E824" s="359">
        <v>5219</v>
      </c>
      <c r="F824" s="488" t="s">
        <v>549</v>
      </c>
      <c r="G824" s="360"/>
      <c r="H824" s="337">
        <v>11930</v>
      </c>
      <c r="I824" s="337"/>
      <c r="J824" s="338"/>
      <c r="K824" s="339">
        <f t="shared" si="57"/>
        <v>0</v>
      </c>
      <c r="L824" s="343"/>
      <c r="N824" s="344">
        <f t="shared" si="56"/>
        <v>0</v>
      </c>
    </row>
    <row r="825" spans="1:14" ht="12.75" customHeight="1">
      <c r="A825" s="326">
        <f t="shared" si="55"/>
        <v>824</v>
      </c>
      <c r="B825" s="468">
        <v>7300</v>
      </c>
      <c r="C825" s="359">
        <v>3319</v>
      </c>
      <c r="D825" s="359" t="s">
        <v>548</v>
      </c>
      <c r="E825" s="359">
        <v>5221</v>
      </c>
      <c r="F825" s="359" t="s">
        <v>427</v>
      </c>
      <c r="G825" s="360"/>
      <c r="H825" s="337"/>
      <c r="I825" s="337">
        <v>70</v>
      </c>
      <c r="J825" s="338">
        <v>70</v>
      </c>
      <c r="K825" s="339">
        <f t="shared" si="57"/>
        <v>0</v>
      </c>
      <c r="L825" s="343">
        <f>J825/I825*100</f>
        <v>100</v>
      </c>
      <c r="N825" s="344">
        <f t="shared" si="56"/>
        <v>0</v>
      </c>
    </row>
    <row r="826" spans="1:14" ht="12.75" customHeight="1">
      <c r="A826" s="326">
        <f t="shared" si="55"/>
        <v>825</v>
      </c>
      <c r="B826" s="468">
        <v>7300</v>
      </c>
      <c r="C826" s="359">
        <v>3319</v>
      </c>
      <c r="D826" s="359" t="s">
        <v>548</v>
      </c>
      <c r="E826" s="359">
        <v>5222</v>
      </c>
      <c r="F826" s="359" t="s">
        <v>407</v>
      </c>
      <c r="G826" s="360"/>
      <c r="H826" s="337"/>
      <c r="I826" s="337">
        <v>2624</v>
      </c>
      <c r="J826" s="338">
        <v>2624</v>
      </c>
      <c r="K826" s="339">
        <f t="shared" si="57"/>
        <v>0</v>
      </c>
      <c r="L826" s="343">
        <f>J826/I826*100</f>
        <v>100</v>
      </c>
      <c r="N826" s="344">
        <f t="shared" si="56"/>
        <v>0</v>
      </c>
    </row>
    <row r="827" spans="1:14" ht="12.75" customHeight="1">
      <c r="A827" s="326">
        <f t="shared" si="55"/>
        <v>826</v>
      </c>
      <c r="B827" s="468">
        <v>7300</v>
      </c>
      <c r="C827" s="359">
        <v>3319</v>
      </c>
      <c r="D827" s="359" t="s">
        <v>548</v>
      </c>
      <c r="E827" s="472">
        <v>5223</v>
      </c>
      <c r="F827" s="259" t="s">
        <v>478</v>
      </c>
      <c r="G827" s="360"/>
      <c r="H827" s="337"/>
      <c r="I827" s="337">
        <v>45</v>
      </c>
      <c r="J827" s="338">
        <v>45</v>
      </c>
      <c r="K827" s="339">
        <f t="shared" si="57"/>
        <v>0</v>
      </c>
      <c r="L827" s="343">
        <f>J827/I827*100</f>
        <v>100</v>
      </c>
      <c r="N827" s="344">
        <f t="shared" si="56"/>
        <v>0</v>
      </c>
    </row>
    <row r="828" spans="1:14" ht="12.75" customHeight="1">
      <c r="A828" s="326">
        <f t="shared" si="55"/>
        <v>827</v>
      </c>
      <c r="B828" s="468">
        <v>7300</v>
      </c>
      <c r="C828" s="359">
        <v>3319</v>
      </c>
      <c r="D828" s="359" t="s">
        <v>548</v>
      </c>
      <c r="E828" s="359">
        <v>5229</v>
      </c>
      <c r="F828" s="259" t="s">
        <v>545</v>
      </c>
      <c r="G828" s="360"/>
      <c r="H828" s="337"/>
      <c r="I828" s="337">
        <v>30</v>
      </c>
      <c r="J828" s="338">
        <v>30</v>
      </c>
      <c r="K828" s="339">
        <f t="shared" si="57"/>
        <v>0</v>
      </c>
      <c r="L828" s="343">
        <f>J828/I828*100</f>
        <v>100</v>
      </c>
      <c r="N828" s="344">
        <f t="shared" si="56"/>
        <v>0</v>
      </c>
    </row>
    <row r="829" spans="1:14" ht="12.75" customHeight="1">
      <c r="A829" s="326">
        <f t="shared" si="55"/>
        <v>828</v>
      </c>
      <c r="B829" s="468">
        <v>7300</v>
      </c>
      <c r="C829" s="359">
        <v>3319</v>
      </c>
      <c r="D829" s="359" t="s">
        <v>548</v>
      </c>
      <c r="E829" s="359">
        <v>5331</v>
      </c>
      <c r="F829" s="389" t="s">
        <v>337</v>
      </c>
      <c r="G829" s="336" t="s">
        <v>550</v>
      </c>
      <c r="H829" s="337">
        <v>9279</v>
      </c>
      <c r="I829" s="337">
        <v>9315</v>
      </c>
      <c r="J829" s="338">
        <v>9315</v>
      </c>
      <c r="K829" s="339">
        <f t="shared" si="57"/>
        <v>0</v>
      </c>
      <c r="L829" s="343">
        <f t="shared" si="58"/>
        <v>100</v>
      </c>
      <c r="N829" s="344">
        <f t="shared" si="56"/>
        <v>0</v>
      </c>
    </row>
    <row r="830" spans="1:14" ht="12.75" customHeight="1">
      <c r="A830" s="326">
        <f t="shared" si="55"/>
        <v>829</v>
      </c>
      <c r="B830" s="468">
        <v>7300</v>
      </c>
      <c r="C830" s="359">
        <v>3319</v>
      </c>
      <c r="D830" s="359" t="s">
        <v>548</v>
      </c>
      <c r="E830" s="359">
        <v>5332</v>
      </c>
      <c r="F830" s="259" t="s">
        <v>479</v>
      </c>
      <c r="G830" s="336"/>
      <c r="H830" s="337"/>
      <c r="I830" s="337">
        <v>40</v>
      </c>
      <c r="J830" s="338">
        <v>40</v>
      </c>
      <c r="K830" s="339">
        <f t="shared" si="57"/>
        <v>0</v>
      </c>
      <c r="L830" s="343">
        <f t="shared" si="58"/>
        <v>100</v>
      </c>
      <c r="N830" s="344">
        <f t="shared" si="56"/>
        <v>0</v>
      </c>
    </row>
    <row r="831" spans="1:14" ht="12.75" customHeight="1">
      <c r="A831" s="326">
        <f t="shared" si="55"/>
        <v>830</v>
      </c>
      <c r="B831" s="468">
        <v>7300</v>
      </c>
      <c r="C831" s="359">
        <v>3319</v>
      </c>
      <c r="D831" s="359" t="s">
        <v>548</v>
      </c>
      <c r="E831" s="472">
        <v>5339</v>
      </c>
      <c r="F831" s="356" t="s">
        <v>428</v>
      </c>
      <c r="G831" s="336"/>
      <c r="H831" s="337"/>
      <c r="I831" s="337">
        <v>65</v>
      </c>
      <c r="J831" s="338">
        <v>65</v>
      </c>
      <c r="K831" s="339">
        <f t="shared" si="57"/>
        <v>0</v>
      </c>
      <c r="L831" s="343">
        <f t="shared" si="58"/>
        <v>100</v>
      </c>
      <c r="N831" s="344">
        <f t="shared" si="56"/>
        <v>0</v>
      </c>
    </row>
    <row r="832" spans="1:14" ht="12.75" customHeight="1">
      <c r="A832" s="326">
        <f t="shared" si="55"/>
        <v>831</v>
      </c>
      <c r="B832" s="469"/>
      <c r="C832" s="357" t="s">
        <v>359</v>
      </c>
      <c r="D832" s="357"/>
      <c r="E832" s="357"/>
      <c r="F832" s="381"/>
      <c r="G832" s="406"/>
      <c r="H832" s="349">
        <f>SUBTOTAL(9,H812:H831)</f>
        <v>22649</v>
      </c>
      <c r="I832" s="349">
        <f>SUBTOTAL(9,I812:I831)</f>
        <v>14394</v>
      </c>
      <c r="J832" s="349">
        <f>SUBTOTAL(9,J812:J831)</f>
        <v>14055</v>
      </c>
      <c r="K832" s="563">
        <f t="shared" si="57"/>
        <v>-339</v>
      </c>
      <c r="L832" s="396">
        <f t="shared" si="58"/>
        <v>97.6448520216757</v>
      </c>
      <c r="N832" s="344">
        <f t="shared" si="56"/>
        <v>0</v>
      </c>
    </row>
    <row r="833" spans="1:14" ht="12.75" customHeight="1">
      <c r="A833" s="326">
        <f t="shared" si="55"/>
        <v>832</v>
      </c>
      <c r="B833" s="468">
        <v>7300</v>
      </c>
      <c r="C833" s="359">
        <v>3326</v>
      </c>
      <c r="D833" s="359" t="s">
        <v>551</v>
      </c>
      <c r="E833" s="359">
        <v>5169</v>
      </c>
      <c r="F833" s="259" t="s">
        <v>316</v>
      </c>
      <c r="G833" s="419"/>
      <c r="H833" s="467"/>
      <c r="I833" s="467">
        <v>13</v>
      </c>
      <c r="J833" s="361">
        <v>13</v>
      </c>
      <c r="K833" s="565"/>
      <c r="L833" s="550"/>
      <c r="N833" s="344">
        <f t="shared" si="56"/>
        <v>0</v>
      </c>
    </row>
    <row r="834" spans="1:14" ht="12.75" customHeight="1">
      <c r="A834" s="326">
        <f t="shared" si="55"/>
        <v>833</v>
      </c>
      <c r="B834" s="468">
        <v>7300</v>
      </c>
      <c r="C834" s="359">
        <v>3326</v>
      </c>
      <c r="D834" s="359" t="s">
        <v>551</v>
      </c>
      <c r="E834" s="359">
        <v>5171</v>
      </c>
      <c r="F834" s="359" t="s">
        <v>384</v>
      </c>
      <c r="G834" s="360"/>
      <c r="H834" s="337">
        <v>1475</v>
      </c>
      <c r="I834" s="337">
        <v>1121</v>
      </c>
      <c r="J834" s="338">
        <v>984</v>
      </c>
      <c r="K834" s="339">
        <f t="shared" si="57"/>
        <v>-137</v>
      </c>
      <c r="L834" s="343">
        <f t="shared" si="58"/>
        <v>87.77876895628903</v>
      </c>
      <c r="N834" s="344">
        <f t="shared" si="56"/>
        <v>0</v>
      </c>
    </row>
    <row r="835" spans="1:14" ht="12.75" customHeight="1">
      <c r="A835" s="326">
        <f t="shared" si="55"/>
        <v>834</v>
      </c>
      <c r="B835" s="468">
        <v>7300</v>
      </c>
      <c r="C835" s="359">
        <v>3326</v>
      </c>
      <c r="D835" s="359" t="s">
        <v>551</v>
      </c>
      <c r="E835" s="567">
        <v>5192</v>
      </c>
      <c r="F835" s="259" t="s">
        <v>335</v>
      </c>
      <c r="G835" s="568"/>
      <c r="H835" s="337"/>
      <c r="I835" s="337">
        <v>80</v>
      </c>
      <c r="J835" s="338">
        <v>80</v>
      </c>
      <c r="K835" s="339">
        <f t="shared" si="57"/>
        <v>0</v>
      </c>
      <c r="L835" s="343">
        <f t="shared" si="58"/>
        <v>100</v>
      </c>
      <c r="N835" s="344">
        <f t="shared" si="56"/>
        <v>0</v>
      </c>
    </row>
    <row r="836" spans="1:14" ht="12.75" customHeight="1">
      <c r="A836" s="326">
        <f aca="true" t="shared" si="59" ref="A836:A899">A835+1</f>
        <v>835</v>
      </c>
      <c r="B836" s="569"/>
      <c r="C836" s="570" t="s">
        <v>552</v>
      </c>
      <c r="D836" s="570"/>
      <c r="E836" s="570"/>
      <c r="F836" s="570"/>
      <c r="G836" s="571"/>
      <c r="H836" s="349">
        <f>SUBTOTAL(9,H833:H835)</f>
        <v>1475</v>
      </c>
      <c r="I836" s="349">
        <f>SUBTOTAL(9,I833:I835)</f>
        <v>1214</v>
      </c>
      <c r="J836" s="349">
        <f>SUBTOTAL(9,J833:J835)</f>
        <v>1077</v>
      </c>
      <c r="K836" s="563">
        <f t="shared" si="57"/>
        <v>-137</v>
      </c>
      <c r="L836" s="564">
        <f t="shared" si="58"/>
        <v>88.71499176276771</v>
      </c>
      <c r="N836" s="344">
        <f aca="true" t="shared" si="60" ref="N836:N899">I836-J836+K836</f>
        <v>0</v>
      </c>
    </row>
    <row r="837" spans="1:14" ht="13.5" customHeight="1" thickBot="1">
      <c r="A837" s="326">
        <f t="shared" si="59"/>
        <v>836</v>
      </c>
      <c r="B837" s="366" t="s">
        <v>26</v>
      </c>
      <c r="C837" s="367"/>
      <c r="D837" s="367"/>
      <c r="E837" s="367"/>
      <c r="F837" s="367"/>
      <c r="G837" s="368"/>
      <c r="H837" s="572">
        <f>SUBTOTAL(9,H763:H836)</f>
        <v>703712</v>
      </c>
      <c r="I837" s="572">
        <f>SUBTOTAL(9,I763:I836)</f>
        <v>774745</v>
      </c>
      <c r="J837" s="572">
        <f>SUBTOTAL(9,J763:J836)</f>
        <v>774035</v>
      </c>
      <c r="K837" s="370">
        <f t="shared" si="57"/>
        <v>-710</v>
      </c>
      <c r="L837" s="371">
        <f t="shared" si="58"/>
        <v>99.9083569432523</v>
      </c>
      <c r="N837" s="344">
        <f t="shared" si="60"/>
        <v>0</v>
      </c>
    </row>
    <row r="838" spans="1:14" ht="12.75">
      <c r="A838" s="326">
        <f t="shared" si="59"/>
        <v>837</v>
      </c>
      <c r="B838" s="469"/>
      <c r="C838" s="357"/>
      <c r="D838" s="357"/>
      <c r="E838" s="357"/>
      <c r="F838" s="357"/>
      <c r="G838" s="358"/>
      <c r="H838" s="573">
        <v>0</v>
      </c>
      <c r="I838" s="573"/>
      <c r="J838" s="574"/>
      <c r="K838" s="575"/>
      <c r="L838" s="576"/>
      <c r="N838" s="344">
        <f t="shared" si="60"/>
        <v>0</v>
      </c>
    </row>
    <row r="839" spans="1:14" ht="15.75">
      <c r="A839" s="326">
        <f t="shared" si="59"/>
        <v>838</v>
      </c>
      <c r="B839" s="473" t="s">
        <v>40</v>
      </c>
      <c r="C839" s="347"/>
      <c r="D839" s="347"/>
      <c r="E839" s="347"/>
      <c r="F839" s="347"/>
      <c r="G839" s="348"/>
      <c r="H839" s="442">
        <v>0</v>
      </c>
      <c r="I839" s="442"/>
      <c r="J839" s="443"/>
      <c r="K839" s="395"/>
      <c r="L839" s="396"/>
      <c r="N839" s="344">
        <f t="shared" si="60"/>
        <v>0</v>
      </c>
    </row>
    <row r="840" spans="1:14" ht="12.75" customHeight="1">
      <c r="A840" s="326">
        <f t="shared" si="59"/>
        <v>839</v>
      </c>
      <c r="B840" s="387">
        <v>7400</v>
      </c>
      <c r="C840" s="259">
        <v>3111</v>
      </c>
      <c r="D840" s="259" t="s">
        <v>95</v>
      </c>
      <c r="E840" s="259">
        <v>5166</v>
      </c>
      <c r="F840" s="259" t="s">
        <v>315</v>
      </c>
      <c r="G840" s="336"/>
      <c r="H840" s="337">
        <v>150</v>
      </c>
      <c r="I840" s="337">
        <v>15</v>
      </c>
      <c r="J840" s="338">
        <v>15</v>
      </c>
      <c r="K840" s="339">
        <f t="shared" si="57"/>
        <v>0</v>
      </c>
      <c r="L840" s="343">
        <f t="shared" si="58"/>
        <v>100</v>
      </c>
      <c r="N840" s="344">
        <f t="shared" si="60"/>
        <v>0</v>
      </c>
    </row>
    <row r="841" spans="1:14" ht="12.75" customHeight="1">
      <c r="A841" s="326">
        <f t="shared" si="59"/>
        <v>840</v>
      </c>
      <c r="B841" s="387">
        <v>7400</v>
      </c>
      <c r="C841" s="259">
        <v>3111</v>
      </c>
      <c r="D841" s="259" t="s">
        <v>95</v>
      </c>
      <c r="E841" s="259">
        <v>5171</v>
      </c>
      <c r="F841" s="259" t="s">
        <v>384</v>
      </c>
      <c r="G841" s="561"/>
      <c r="H841" s="337">
        <v>410</v>
      </c>
      <c r="I841" s="337">
        <v>845</v>
      </c>
      <c r="J841" s="338">
        <v>845</v>
      </c>
      <c r="K841" s="339">
        <f t="shared" si="57"/>
        <v>0</v>
      </c>
      <c r="L841" s="343">
        <f t="shared" si="58"/>
        <v>100</v>
      </c>
      <c r="N841" s="344">
        <f t="shared" si="60"/>
        <v>0</v>
      </c>
    </row>
    <row r="842" spans="1:14" ht="12.75" customHeight="1">
      <c r="A842" s="326">
        <f t="shared" si="59"/>
        <v>841</v>
      </c>
      <c r="B842" s="387">
        <v>7400</v>
      </c>
      <c r="C842" s="259">
        <v>3111</v>
      </c>
      <c r="D842" s="259" t="s">
        <v>95</v>
      </c>
      <c r="E842" s="259">
        <v>5171</v>
      </c>
      <c r="F842" s="259" t="s">
        <v>384</v>
      </c>
      <c r="G842" s="561" t="s">
        <v>457</v>
      </c>
      <c r="H842" s="337"/>
      <c r="I842" s="337">
        <v>250</v>
      </c>
      <c r="J842" s="338">
        <v>250</v>
      </c>
      <c r="K842" s="339"/>
      <c r="L842" s="343"/>
      <c r="N842" s="344">
        <f t="shared" si="60"/>
        <v>0</v>
      </c>
    </row>
    <row r="843" spans="1:14" ht="12.75" customHeight="1">
      <c r="A843" s="326">
        <f t="shared" si="59"/>
        <v>842</v>
      </c>
      <c r="B843" s="387">
        <v>7400</v>
      </c>
      <c r="C843" s="259">
        <v>3111</v>
      </c>
      <c r="D843" s="259" t="s">
        <v>95</v>
      </c>
      <c r="E843" s="259">
        <v>5331</v>
      </c>
      <c r="F843" s="389" t="s">
        <v>337</v>
      </c>
      <c r="G843" s="336" t="s">
        <v>553</v>
      </c>
      <c r="H843" s="337">
        <v>766</v>
      </c>
      <c r="I843" s="337">
        <v>766</v>
      </c>
      <c r="J843" s="338">
        <v>766</v>
      </c>
      <c r="K843" s="339">
        <f t="shared" si="57"/>
        <v>0</v>
      </c>
      <c r="L843" s="343">
        <f t="shared" si="58"/>
        <v>100</v>
      </c>
      <c r="N843" s="344">
        <f t="shared" si="60"/>
        <v>0</v>
      </c>
    </row>
    <row r="844" spans="1:14" ht="12.75" customHeight="1">
      <c r="A844" s="326">
        <f t="shared" si="59"/>
        <v>843</v>
      </c>
      <c r="B844" s="387">
        <v>7400</v>
      </c>
      <c r="C844" s="259">
        <v>3111</v>
      </c>
      <c r="D844" s="259" t="s">
        <v>95</v>
      </c>
      <c r="E844" s="259">
        <v>5331</v>
      </c>
      <c r="F844" s="389" t="s">
        <v>337</v>
      </c>
      <c r="G844" s="336" t="s">
        <v>554</v>
      </c>
      <c r="H844" s="337">
        <v>1019</v>
      </c>
      <c r="I844" s="337">
        <v>1019</v>
      </c>
      <c r="J844" s="338">
        <v>1019</v>
      </c>
      <c r="K844" s="339">
        <f t="shared" si="57"/>
        <v>0</v>
      </c>
      <c r="L844" s="343">
        <f t="shared" si="58"/>
        <v>100</v>
      </c>
      <c r="N844" s="344">
        <f t="shared" si="60"/>
        <v>0</v>
      </c>
    </row>
    <row r="845" spans="1:14" ht="12.75" customHeight="1">
      <c r="A845" s="326">
        <f t="shared" si="59"/>
        <v>844</v>
      </c>
      <c r="B845" s="387">
        <v>7400</v>
      </c>
      <c r="C845" s="259">
        <v>3111</v>
      </c>
      <c r="D845" s="259" t="s">
        <v>95</v>
      </c>
      <c r="E845" s="259">
        <v>5331</v>
      </c>
      <c r="F845" s="389" t="s">
        <v>337</v>
      </c>
      <c r="G845" s="336" t="s">
        <v>555</v>
      </c>
      <c r="H845" s="337">
        <v>228</v>
      </c>
      <c r="I845" s="337">
        <v>228</v>
      </c>
      <c r="J845" s="338">
        <v>228</v>
      </c>
      <c r="K845" s="339">
        <f t="shared" si="57"/>
        <v>0</v>
      </c>
      <c r="L845" s="343">
        <f t="shared" si="58"/>
        <v>100</v>
      </c>
      <c r="N845" s="344">
        <f t="shared" si="60"/>
        <v>0</v>
      </c>
    </row>
    <row r="846" spans="1:14" ht="12.75" customHeight="1">
      <c r="A846" s="326">
        <f t="shared" si="59"/>
        <v>845</v>
      </c>
      <c r="B846" s="387">
        <v>7400</v>
      </c>
      <c r="C846" s="259">
        <v>3111</v>
      </c>
      <c r="D846" s="259" t="s">
        <v>95</v>
      </c>
      <c r="E846" s="259">
        <v>5336</v>
      </c>
      <c r="F846" s="389" t="s">
        <v>339</v>
      </c>
      <c r="G846" s="336" t="s">
        <v>556</v>
      </c>
      <c r="H846" s="337"/>
      <c r="I846" s="337">
        <v>30</v>
      </c>
      <c r="J846" s="338">
        <v>30</v>
      </c>
      <c r="K846" s="339">
        <f t="shared" si="57"/>
        <v>0</v>
      </c>
      <c r="L846" s="343">
        <f t="shared" si="58"/>
        <v>100</v>
      </c>
      <c r="N846" s="344">
        <f t="shared" si="60"/>
        <v>0</v>
      </c>
    </row>
    <row r="847" spans="1:14" ht="12.75" customHeight="1">
      <c r="A847" s="326">
        <f t="shared" si="59"/>
        <v>846</v>
      </c>
      <c r="B847" s="391"/>
      <c r="C847" s="347" t="s">
        <v>557</v>
      </c>
      <c r="D847" s="347"/>
      <c r="E847" s="347"/>
      <c r="F847" s="347"/>
      <c r="G847" s="348"/>
      <c r="H847" s="349">
        <f>SUBTOTAL(9,H840:H845)</f>
        <v>2573</v>
      </c>
      <c r="I847" s="349">
        <f>SUBTOTAL(9,I840:I846)</f>
        <v>3153</v>
      </c>
      <c r="J847" s="349">
        <f>SUBTOTAL(9,J840:J846)</f>
        <v>3153</v>
      </c>
      <c r="K847" s="412">
        <f t="shared" si="57"/>
        <v>0</v>
      </c>
      <c r="L847" s="413">
        <f t="shared" si="58"/>
        <v>100</v>
      </c>
      <c r="N847" s="344">
        <f t="shared" si="60"/>
        <v>0</v>
      </c>
    </row>
    <row r="848" spans="1:14" ht="12.75" customHeight="1">
      <c r="A848" s="326">
        <f t="shared" si="59"/>
        <v>847</v>
      </c>
      <c r="B848" s="387">
        <v>7400</v>
      </c>
      <c r="C848" s="259">
        <v>3113</v>
      </c>
      <c r="D848" s="259" t="s">
        <v>23</v>
      </c>
      <c r="E848" s="259">
        <v>5137</v>
      </c>
      <c r="F848" s="259" t="s">
        <v>346</v>
      </c>
      <c r="G848" s="419"/>
      <c r="H848" s="337">
        <v>1350</v>
      </c>
      <c r="I848" s="337">
        <v>0</v>
      </c>
      <c r="J848" s="338">
        <v>0</v>
      </c>
      <c r="K848" s="339">
        <f t="shared" si="57"/>
        <v>0</v>
      </c>
      <c r="L848" s="343"/>
      <c r="N848" s="344">
        <f t="shared" si="60"/>
        <v>0</v>
      </c>
    </row>
    <row r="849" spans="1:14" ht="12.75" customHeight="1">
      <c r="A849" s="326">
        <f t="shared" si="59"/>
        <v>848</v>
      </c>
      <c r="B849" s="387">
        <v>7400</v>
      </c>
      <c r="C849" s="259">
        <v>3113</v>
      </c>
      <c r="D849" s="259" t="s">
        <v>23</v>
      </c>
      <c r="E849" s="259">
        <v>5164</v>
      </c>
      <c r="F849" s="259" t="s">
        <v>348</v>
      </c>
      <c r="G849" s="336"/>
      <c r="H849" s="337">
        <v>2039</v>
      </c>
      <c r="I849" s="337">
        <v>2039</v>
      </c>
      <c r="J849" s="338">
        <v>1308</v>
      </c>
      <c r="K849" s="339">
        <f t="shared" si="57"/>
        <v>-731</v>
      </c>
      <c r="L849" s="343">
        <f t="shared" si="58"/>
        <v>64.14909269249632</v>
      </c>
      <c r="N849" s="344">
        <f t="shared" si="60"/>
        <v>0</v>
      </c>
    </row>
    <row r="850" spans="1:14" ht="12.75" customHeight="1">
      <c r="A850" s="326">
        <f t="shared" si="59"/>
        <v>849</v>
      </c>
      <c r="B850" s="387">
        <v>7400</v>
      </c>
      <c r="C850" s="259">
        <v>3113</v>
      </c>
      <c r="D850" s="259" t="s">
        <v>23</v>
      </c>
      <c r="E850" s="259">
        <v>5166</v>
      </c>
      <c r="F850" s="259" t="s">
        <v>315</v>
      </c>
      <c r="G850" s="336"/>
      <c r="H850" s="337">
        <v>150</v>
      </c>
      <c r="I850" s="337">
        <v>149</v>
      </c>
      <c r="J850" s="338">
        <v>96</v>
      </c>
      <c r="K850" s="339">
        <f t="shared" si="57"/>
        <v>-53</v>
      </c>
      <c r="L850" s="343">
        <f t="shared" si="58"/>
        <v>64.42953020134227</v>
      </c>
      <c r="N850" s="344">
        <f t="shared" si="60"/>
        <v>0</v>
      </c>
    </row>
    <row r="851" spans="1:14" ht="12.75" customHeight="1">
      <c r="A851" s="326">
        <f t="shared" si="59"/>
        <v>850</v>
      </c>
      <c r="B851" s="387">
        <v>7400</v>
      </c>
      <c r="C851" s="259">
        <v>3113</v>
      </c>
      <c r="D851" s="259" t="s">
        <v>23</v>
      </c>
      <c r="E851" s="259">
        <v>5169</v>
      </c>
      <c r="F851" s="259" t="s">
        <v>316</v>
      </c>
      <c r="G851" s="336"/>
      <c r="H851" s="337">
        <v>2314</v>
      </c>
      <c r="I851" s="337">
        <v>151</v>
      </c>
      <c r="J851" s="338">
        <v>151</v>
      </c>
      <c r="K851" s="339">
        <f t="shared" si="57"/>
        <v>0</v>
      </c>
      <c r="L851" s="343">
        <f t="shared" si="58"/>
        <v>100</v>
      </c>
      <c r="N851" s="344">
        <f t="shared" si="60"/>
        <v>0</v>
      </c>
    </row>
    <row r="852" spans="1:14" ht="12.75" customHeight="1">
      <c r="A852" s="326">
        <f t="shared" si="59"/>
        <v>851</v>
      </c>
      <c r="B852" s="577">
        <v>7400</v>
      </c>
      <c r="C852" s="578">
        <v>3113</v>
      </c>
      <c r="D852" s="578" t="s">
        <v>23</v>
      </c>
      <c r="E852" s="578">
        <v>5171</v>
      </c>
      <c r="F852" s="259" t="s">
        <v>384</v>
      </c>
      <c r="G852" s="336"/>
      <c r="H852" s="337">
        <v>700</v>
      </c>
      <c r="I852" s="337">
        <v>700</v>
      </c>
      <c r="J852" s="338">
        <v>577</v>
      </c>
      <c r="K852" s="339">
        <f t="shared" si="57"/>
        <v>-123</v>
      </c>
      <c r="L852" s="343">
        <f t="shared" si="58"/>
        <v>82.42857142857143</v>
      </c>
      <c r="N852" s="344">
        <f t="shared" si="60"/>
        <v>0</v>
      </c>
    </row>
    <row r="853" spans="1:14" ht="12.75" customHeight="1">
      <c r="A853" s="326">
        <f t="shared" si="59"/>
        <v>852</v>
      </c>
      <c r="B853" s="577">
        <v>7400</v>
      </c>
      <c r="C853" s="578">
        <v>3113</v>
      </c>
      <c r="D853" s="578" t="s">
        <v>23</v>
      </c>
      <c r="E853" s="578">
        <v>5175</v>
      </c>
      <c r="F853" s="259" t="s">
        <v>334</v>
      </c>
      <c r="G853" s="336" t="s">
        <v>351</v>
      </c>
      <c r="H853" s="337"/>
      <c r="I853" s="337">
        <v>18</v>
      </c>
      <c r="J853" s="338">
        <v>18</v>
      </c>
      <c r="K853" s="339">
        <f t="shared" si="57"/>
        <v>0</v>
      </c>
      <c r="L853" s="343">
        <f t="shared" si="58"/>
        <v>100</v>
      </c>
      <c r="N853" s="344">
        <f t="shared" si="60"/>
        <v>0</v>
      </c>
    </row>
    <row r="854" spans="1:14" ht="12.75" customHeight="1">
      <c r="A854" s="326">
        <f t="shared" si="59"/>
        <v>853</v>
      </c>
      <c r="B854" s="577">
        <v>7400</v>
      </c>
      <c r="C854" s="578">
        <v>3113</v>
      </c>
      <c r="D854" s="578" t="s">
        <v>23</v>
      </c>
      <c r="E854" s="578">
        <v>5192</v>
      </c>
      <c r="F854" s="259" t="s">
        <v>335</v>
      </c>
      <c r="G854" s="336"/>
      <c r="H854" s="337"/>
      <c r="I854" s="337">
        <v>1</v>
      </c>
      <c r="J854" s="338">
        <v>1</v>
      </c>
      <c r="K854" s="339">
        <f t="shared" si="57"/>
        <v>0</v>
      </c>
      <c r="L854" s="343">
        <f t="shared" si="58"/>
        <v>100</v>
      </c>
      <c r="N854" s="344">
        <f t="shared" si="60"/>
        <v>0</v>
      </c>
    </row>
    <row r="855" spans="1:14" ht="12.75" customHeight="1">
      <c r="A855" s="326">
        <f t="shared" si="59"/>
        <v>854</v>
      </c>
      <c r="B855" s="577">
        <v>7400</v>
      </c>
      <c r="C855" s="578">
        <v>3113</v>
      </c>
      <c r="D855" s="578" t="s">
        <v>23</v>
      </c>
      <c r="E855" s="578">
        <v>5221</v>
      </c>
      <c r="F855" s="359" t="s">
        <v>427</v>
      </c>
      <c r="G855" s="336"/>
      <c r="H855" s="337">
        <v>71</v>
      </c>
      <c r="I855" s="337">
        <v>84</v>
      </c>
      <c r="J855" s="338">
        <v>84</v>
      </c>
      <c r="K855" s="339">
        <f t="shared" si="57"/>
        <v>0</v>
      </c>
      <c r="L855" s="343">
        <f t="shared" si="58"/>
        <v>100</v>
      </c>
      <c r="N855" s="344">
        <f t="shared" si="60"/>
        <v>0</v>
      </c>
    </row>
    <row r="856" spans="1:14" ht="12.75" customHeight="1">
      <c r="A856" s="326">
        <f t="shared" si="59"/>
        <v>855</v>
      </c>
      <c r="B856" s="577">
        <v>7400</v>
      </c>
      <c r="C856" s="578">
        <v>3113</v>
      </c>
      <c r="D856" s="578" t="s">
        <v>23</v>
      </c>
      <c r="E856" s="578">
        <v>5331</v>
      </c>
      <c r="F856" s="389" t="s">
        <v>337</v>
      </c>
      <c r="G856" s="336" t="s">
        <v>558</v>
      </c>
      <c r="H856" s="337">
        <v>2022</v>
      </c>
      <c r="I856" s="337">
        <v>2583</v>
      </c>
      <c r="J856" s="338">
        <v>2583</v>
      </c>
      <c r="K856" s="339">
        <f t="shared" si="57"/>
        <v>0</v>
      </c>
      <c r="L856" s="343">
        <f t="shared" si="58"/>
        <v>100</v>
      </c>
      <c r="N856" s="344">
        <f t="shared" si="60"/>
        <v>0</v>
      </c>
    </row>
    <row r="857" spans="1:14" ht="12.75" customHeight="1">
      <c r="A857" s="326">
        <f t="shared" si="59"/>
        <v>856</v>
      </c>
      <c r="B857" s="577">
        <v>7400</v>
      </c>
      <c r="C857" s="578">
        <v>3113</v>
      </c>
      <c r="D857" s="578" t="s">
        <v>23</v>
      </c>
      <c r="E857" s="578">
        <v>5331</v>
      </c>
      <c r="F857" s="389" t="s">
        <v>337</v>
      </c>
      <c r="G857" s="336" t="s">
        <v>559</v>
      </c>
      <c r="H857" s="337">
        <v>7836</v>
      </c>
      <c r="I857" s="337">
        <v>7961</v>
      </c>
      <c r="J857" s="338">
        <v>7961</v>
      </c>
      <c r="K857" s="339">
        <f t="shared" si="57"/>
        <v>0</v>
      </c>
      <c r="L857" s="343">
        <f t="shared" si="58"/>
        <v>100</v>
      </c>
      <c r="N857" s="344">
        <f t="shared" si="60"/>
        <v>0</v>
      </c>
    </row>
    <row r="858" spans="1:14" ht="12.75" customHeight="1">
      <c r="A858" s="326">
        <f t="shared" si="59"/>
        <v>857</v>
      </c>
      <c r="B858" s="577">
        <v>7400</v>
      </c>
      <c r="C858" s="578">
        <v>3113</v>
      </c>
      <c r="D858" s="578" t="s">
        <v>23</v>
      </c>
      <c r="E858" s="578">
        <v>5331</v>
      </c>
      <c r="F858" s="389" t="s">
        <v>337</v>
      </c>
      <c r="G858" s="336" t="s">
        <v>560</v>
      </c>
      <c r="H858" s="337">
        <v>4420</v>
      </c>
      <c r="I858" s="337">
        <v>4443</v>
      </c>
      <c r="J858" s="338">
        <v>4443</v>
      </c>
      <c r="K858" s="339">
        <f t="shared" si="57"/>
        <v>0</v>
      </c>
      <c r="L858" s="343">
        <f t="shared" si="58"/>
        <v>100</v>
      </c>
      <c r="N858" s="344">
        <f t="shared" si="60"/>
        <v>0</v>
      </c>
    </row>
    <row r="859" spans="1:14" ht="12.75" customHeight="1">
      <c r="A859" s="326">
        <f t="shared" si="59"/>
        <v>858</v>
      </c>
      <c r="B859" s="577">
        <v>7400</v>
      </c>
      <c r="C859" s="578">
        <v>3113</v>
      </c>
      <c r="D859" s="578" t="s">
        <v>23</v>
      </c>
      <c r="E859" s="578">
        <v>5331</v>
      </c>
      <c r="F859" s="389" t="s">
        <v>337</v>
      </c>
      <c r="G859" s="561" t="s">
        <v>561</v>
      </c>
      <c r="H859" s="337">
        <v>500</v>
      </c>
      <c r="I859" s="337">
        <v>500</v>
      </c>
      <c r="J859" s="338">
        <v>500</v>
      </c>
      <c r="K859" s="339">
        <f t="shared" si="57"/>
        <v>0</v>
      </c>
      <c r="L859" s="343">
        <f t="shared" si="58"/>
        <v>100</v>
      </c>
      <c r="N859" s="344">
        <f t="shared" si="60"/>
        <v>0</v>
      </c>
    </row>
    <row r="860" spans="1:14" ht="12.75" customHeight="1">
      <c r="A860" s="326">
        <f t="shared" si="59"/>
        <v>859</v>
      </c>
      <c r="B860" s="577">
        <v>7400</v>
      </c>
      <c r="C860" s="578">
        <v>3113</v>
      </c>
      <c r="D860" s="578" t="s">
        <v>23</v>
      </c>
      <c r="E860" s="578">
        <v>5331</v>
      </c>
      <c r="F860" s="389" t="s">
        <v>337</v>
      </c>
      <c r="G860" s="336" t="s">
        <v>562</v>
      </c>
      <c r="H860" s="337">
        <v>400</v>
      </c>
      <c r="I860" s="337">
        <v>400</v>
      </c>
      <c r="J860" s="338">
        <v>400</v>
      </c>
      <c r="K860" s="339">
        <f t="shared" si="57"/>
        <v>0</v>
      </c>
      <c r="L860" s="343">
        <f t="shared" si="58"/>
        <v>100</v>
      </c>
      <c r="N860" s="344">
        <f t="shared" si="60"/>
        <v>0</v>
      </c>
    </row>
    <row r="861" spans="1:14" ht="12.75" customHeight="1">
      <c r="A861" s="326">
        <f t="shared" si="59"/>
        <v>860</v>
      </c>
      <c r="B861" s="577">
        <v>7400</v>
      </c>
      <c r="C861" s="578">
        <v>3113</v>
      </c>
      <c r="D861" s="578" t="s">
        <v>23</v>
      </c>
      <c r="E861" s="578">
        <v>5331</v>
      </c>
      <c r="F861" s="389" t="s">
        <v>337</v>
      </c>
      <c r="G861" s="336" t="s">
        <v>563</v>
      </c>
      <c r="H861" s="337">
        <v>300</v>
      </c>
      <c r="I861" s="337">
        <v>300</v>
      </c>
      <c r="J861" s="338">
        <v>300</v>
      </c>
      <c r="K861" s="339">
        <f t="shared" si="57"/>
        <v>0</v>
      </c>
      <c r="L861" s="343">
        <f t="shared" si="58"/>
        <v>100</v>
      </c>
      <c r="N861" s="344">
        <f t="shared" si="60"/>
        <v>0</v>
      </c>
    </row>
    <row r="862" spans="1:14" ht="12.75" customHeight="1">
      <c r="A862" s="326">
        <f t="shared" si="59"/>
        <v>861</v>
      </c>
      <c r="B862" s="577">
        <v>7400</v>
      </c>
      <c r="C862" s="578">
        <v>3113</v>
      </c>
      <c r="D862" s="578" t="s">
        <v>23</v>
      </c>
      <c r="E862" s="578">
        <v>5331</v>
      </c>
      <c r="F862" s="389" t="s">
        <v>337</v>
      </c>
      <c r="G862" s="336" t="s">
        <v>564</v>
      </c>
      <c r="H862" s="337">
        <v>100</v>
      </c>
      <c r="I862" s="337">
        <v>100</v>
      </c>
      <c r="J862" s="338">
        <v>100</v>
      </c>
      <c r="K862" s="339">
        <f t="shared" si="57"/>
        <v>0</v>
      </c>
      <c r="L862" s="343">
        <f t="shared" si="58"/>
        <v>100</v>
      </c>
      <c r="N862" s="344">
        <f t="shared" si="60"/>
        <v>0</v>
      </c>
    </row>
    <row r="863" spans="1:14" ht="12.75" customHeight="1">
      <c r="A863" s="326">
        <f t="shared" si="59"/>
        <v>862</v>
      </c>
      <c r="B863" s="577">
        <v>7400</v>
      </c>
      <c r="C863" s="578">
        <v>3113</v>
      </c>
      <c r="D863" s="578" t="s">
        <v>23</v>
      </c>
      <c r="E863" s="578">
        <v>5331</v>
      </c>
      <c r="F863" s="389" t="s">
        <v>337</v>
      </c>
      <c r="G863" s="561" t="s">
        <v>565</v>
      </c>
      <c r="H863" s="337">
        <v>1065</v>
      </c>
      <c r="I863" s="337">
        <v>1260</v>
      </c>
      <c r="J863" s="338">
        <v>1260</v>
      </c>
      <c r="K863" s="339">
        <f t="shared" si="57"/>
        <v>0</v>
      </c>
      <c r="L863" s="343">
        <f t="shared" si="58"/>
        <v>100</v>
      </c>
      <c r="N863" s="344">
        <f t="shared" si="60"/>
        <v>0</v>
      </c>
    </row>
    <row r="864" spans="1:14" ht="12.75" customHeight="1">
      <c r="A864" s="326">
        <f t="shared" si="59"/>
        <v>863</v>
      </c>
      <c r="B864" s="577">
        <v>7400</v>
      </c>
      <c r="C864" s="578">
        <v>3113</v>
      </c>
      <c r="D864" s="578" t="s">
        <v>23</v>
      </c>
      <c r="E864" s="578">
        <v>5331</v>
      </c>
      <c r="F864" s="389" t="s">
        <v>337</v>
      </c>
      <c r="G864" s="561" t="s">
        <v>566</v>
      </c>
      <c r="H864" s="337"/>
      <c r="I864" s="337">
        <v>2038</v>
      </c>
      <c r="J864" s="338">
        <v>2038</v>
      </c>
      <c r="K864" s="339">
        <f aca="true" t="shared" si="61" ref="K864:K968">J864-I864</f>
        <v>0</v>
      </c>
      <c r="L864" s="343">
        <f aca="true" t="shared" si="62" ref="L864:L968">J864/I864*100</f>
        <v>100</v>
      </c>
      <c r="N864" s="344">
        <f t="shared" si="60"/>
        <v>0</v>
      </c>
    </row>
    <row r="865" spans="1:14" ht="12.75" customHeight="1">
      <c r="A865" s="326">
        <f t="shared" si="59"/>
        <v>864</v>
      </c>
      <c r="B865" s="577">
        <v>7400</v>
      </c>
      <c r="C865" s="578">
        <v>3113</v>
      </c>
      <c r="D865" s="578" t="s">
        <v>23</v>
      </c>
      <c r="E865" s="578">
        <v>5331</v>
      </c>
      <c r="F865" s="389" t="s">
        <v>337</v>
      </c>
      <c r="G865" s="561" t="s">
        <v>567</v>
      </c>
      <c r="H865" s="337"/>
      <c r="I865" s="337">
        <v>130</v>
      </c>
      <c r="J865" s="338">
        <v>130</v>
      </c>
      <c r="K865" s="339">
        <f t="shared" si="61"/>
        <v>0</v>
      </c>
      <c r="L865" s="343">
        <f t="shared" si="62"/>
        <v>100</v>
      </c>
      <c r="N865" s="344">
        <f t="shared" si="60"/>
        <v>0</v>
      </c>
    </row>
    <row r="866" spans="1:14" ht="12.75" customHeight="1">
      <c r="A866" s="326">
        <f t="shared" si="59"/>
        <v>865</v>
      </c>
      <c r="B866" s="577">
        <v>7400</v>
      </c>
      <c r="C866" s="578">
        <v>3113</v>
      </c>
      <c r="D866" s="578" t="s">
        <v>23</v>
      </c>
      <c r="E866" s="578">
        <v>5336</v>
      </c>
      <c r="F866" s="389" t="s">
        <v>339</v>
      </c>
      <c r="G866" s="336" t="s">
        <v>559</v>
      </c>
      <c r="H866" s="337"/>
      <c r="I866" s="337">
        <v>877</v>
      </c>
      <c r="J866" s="338">
        <v>877</v>
      </c>
      <c r="K866" s="339">
        <f t="shared" si="61"/>
        <v>0</v>
      </c>
      <c r="L866" s="343">
        <f t="shared" si="62"/>
        <v>100</v>
      </c>
      <c r="N866" s="344">
        <f t="shared" si="60"/>
        <v>0</v>
      </c>
    </row>
    <row r="867" spans="1:14" ht="12.75" customHeight="1">
      <c r="A867" s="326">
        <f t="shared" si="59"/>
        <v>866</v>
      </c>
      <c r="B867" s="577">
        <v>7400</v>
      </c>
      <c r="C867" s="578">
        <v>3113</v>
      </c>
      <c r="D867" s="578" t="s">
        <v>23</v>
      </c>
      <c r="E867" s="578">
        <v>5336</v>
      </c>
      <c r="F867" s="389" t="s">
        <v>339</v>
      </c>
      <c r="G867" s="336" t="s">
        <v>560</v>
      </c>
      <c r="H867" s="337"/>
      <c r="I867" s="337">
        <v>477</v>
      </c>
      <c r="J867" s="338">
        <v>477</v>
      </c>
      <c r="K867" s="339">
        <f t="shared" si="61"/>
        <v>0</v>
      </c>
      <c r="L867" s="343">
        <f t="shared" si="62"/>
        <v>100</v>
      </c>
      <c r="N867" s="344">
        <f t="shared" si="60"/>
        <v>0</v>
      </c>
    </row>
    <row r="868" spans="1:14" ht="12.75" customHeight="1">
      <c r="A868" s="326">
        <f t="shared" si="59"/>
        <v>867</v>
      </c>
      <c r="B868" s="577">
        <v>7400</v>
      </c>
      <c r="C868" s="578">
        <v>3113</v>
      </c>
      <c r="D868" s="578" t="s">
        <v>23</v>
      </c>
      <c r="E868" s="578">
        <v>5336</v>
      </c>
      <c r="F868" s="389" t="s">
        <v>339</v>
      </c>
      <c r="G868" s="336" t="s">
        <v>568</v>
      </c>
      <c r="H868" s="337"/>
      <c r="I868" s="337">
        <v>38789</v>
      </c>
      <c r="J868" s="338">
        <v>38789</v>
      </c>
      <c r="K868" s="339">
        <f t="shared" si="61"/>
        <v>0</v>
      </c>
      <c r="L868" s="343">
        <f t="shared" si="62"/>
        <v>100</v>
      </c>
      <c r="N868" s="344">
        <f t="shared" si="60"/>
        <v>0</v>
      </c>
    </row>
    <row r="869" spans="1:14" ht="12.75" customHeight="1">
      <c r="A869" s="326">
        <f t="shared" si="59"/>
        <v>868</v>
      </c>
      <c r="B869" s="577">
        <v>7400</v>
      </c>
      <c r="C869" s="578">
        <v>3113</v>
      </c>
      <c r="D869" s="578" t="s">
        <v>23</v>
      </c>
      <c r="E869" s="578">
        <v>5366</v>
      </c>
      <c r="F869" s="389" t="s">
        <v>409</v>
      </c>
      <c r="G869" s="336"/>
      <c r="H869" s="337"/>
      <c r="I869" s="337">
        <v>8</v>
      </c>
      <c r="J869" s="338">
        <v>8</v>
      </c>
      <c r="K869" s="339">
        <f t="shared" si="61"/>
        <v>0</v>
      </c>
      <c r="L869" s="343">
        <f t="shared" si="62"/>
        <v>100</v>
      </c>
      <c r="N869" s="344">
        <f t="shared" si="60"/>
        <v>0</v>
      </c>
    </row>
    <row r="870" spans="1:14" ht="12.75" customHeight="1">
      <c r="A870" s="326">
        <f t="shared" si="59"/>
        <v>869</v>
      </c>
      <c r="B870" s="579"/>
      <c r="C870" s="580" t="s">
        <v>357</v>
      </c>
      <c r="D870" s="580"/>
      <c r="E870" s="580"/>
      <c r="F870" s="347"/>
      <c r="G870" s="348"/>
      <c r="H870" s="349">
        <f>SUBTOTAL(9,H848:H863)</f>
        <v>23267</v>
      </c>
      <c r="I870" s="349">
        <f>SUBTOTAL(9,I848:I869)</f>
        <v>63008</v>
      </c>
      <c r="J870" s="349">
        <f>SUBTOTAL(9,J848:J869)</f>
        <v>62101</v>
      </c>
      <c r="K870" s="581">
        <f t="shared" si="61"/>
        <v>-907</v>
      </c>
      <c r="L870" s="582">
        <f t="shared" si="62"/>
        <v>98.56050025393601</v>
      </c>
      <c r="N870" s="344">
        <f t="shared" si="60"/>
        <v>0</v>
      </c>
    </row>
    <row r="871" spans="1:14" ht="12.75" customHeight="1">
      <c r="A871" s="326">
        <f t="shared" si="59"/>
        <v>870</v>
      </c>
      <c r="B871" s="387">
        <v>7400</v>
      </c>
      <c r="C871" s="259">
        <v>3117</v>
      </c>
      <c r="D871" s="259" t="s">
        <v>255</v>
      </c>
      <c r="E871" s="259">
        <v>5331</v>
      </c>
      <c r="F871" s="356" t="s">
        <v>337</v>
      </c>
      <c r="G871" s="419" t="s">
        <v>565</v>
      </c>
      <c r="H871" s="337">
        <v>142</v>
      </c>
      <c r="I871" s="337">
        <v>168</v>
      </c>
      <c r="J871" s="338">
        <v>168</v>
      </c>
      <c r="K871" s="339">
        <f t="shared" si="61"/>
        <v>0</v>
      </c>
      <c r="L871" s="343">
        <f t="shared" si="62"/>
        <v>100</v>
      </c>
      <c r="N871" s="344">
        <f t="shared" si="60"/>
        <v>0</v>
      </c>
    </row>
    <row r="872" spans="1:14" ht="12.75" customHeight="1">
      <c r="A872" s="326">
        <f t="shared" si="59"/>
        <v>871</v>
      </c>
      <c r="B872" s="387">
        <v>7400</v>
      </c>
      <c r="C872" s="259">
        <v>3117</v>
      </c>
      <c r="D872" s="259" t="s">
        <v>255</v>
      </c>
      <c r="E872" s="259">
        <v>5331</v>
      </c>
      <c r="F872" s="356" t="s">
        <v>337</v>
      </c>
      <c r="G872" s="561" t="s">
        <v>566</v>
      </c>
      <c r="H872" s="337"/>
      <c r="I872" s="337">
        <v>104</v>
      </c>
      <c r="J872" s="338">
        <v>104</v>
      </c>
      <c r="K872" s="339"/>
      <c r="L872" s="343"/>
      <c r="N872" s="344">
        <f t="shared" si="60"/>
        <v>0</v>
      </c>
    </row>
    <row r="873" spans="1:14" ht="12.75" customHeight="1">
      <c r="A873" s="326">
        <f t="shared" si="59"/>
        <v>872</v>
      </c>
      <c r="B873" s="387">
        <v>7400</v>
      </c>
      <c r="C873" s="259">
        <v>3117</v>
      </c>
      <c r="D873" s="259" t="s">
        <v>255</v>
      </c>
      <c r="E873" s="259">
        <v>5336</v>
      </c>
      <c r="F873" s="389" t="s">
        <v>339</v>
      </c>
      <c r="G873" s="336" t="s">
        <v>568</v>
      </c>
      <c r="H873" s="337"/>
      <c r="I873" s="337">
        <v>120</v>
      </c>
      <c r="J873" s="338">
        <v>120</v>
      </c>
      <c r="K873" s="339"/>
      <c r="L873" s="343"/>
      <c r="N873" s="344">
        <f t="shared" si="60"/>
        <v>0</v>
      </c>
    </row>
    <row r="874" spans="1:14" ht="12.75" customHeight="1">
      <c r="A874" s="326">
        <f t="shared" si="59"/>
        <v>873</v>
      </c>
      <c r="B874" s="391"/>
      <c r="C874" s="347" t="s">
        <v>569</v>
      </c>
      <c r="D874" s="347"/>
      <c r="E874" s="347"/>
      <c r="F874" s="347"/>
      <c r="G874" s="348"/>
      <c r="H874" s="349">
        <f>SUBTOTAL(9,H871:H872)</f>
        <v>142</v>
      </c>
      <c r="I874" s="349">
        <f>SUBTOTAL(9,I871:I873)</f>
        <v>392</v>
      </c>
      <c r="J874" s="349">
        <f>SUBTOTAL(9,J871:J873)</f>
        <v>392</v>
      </c>
      <c r="K874" s="412">
        <f t="shared" si="61"/>
        <v>0</v>
      </c>
      <c r="L874" s="396">
        <f t="shared" si="62"/>
        <v>100</v>
      </c>
      <c r="N874" s="344">
        <f t="shared" si="60"/>
        <v>0</v>
      </c>
    </row>
    <row r="875" spans="1:14" ht="12.75" customHeight="1">
      <c r="A875" s="326">
        <f t="shared" si="59"/>
        <v>874</v>
      </c>
      <c r="B875" s="387">
        <v>7400</v>
      </c>
      <c r="C875" s="259">
        <v>3141</v>
      </c>
      <c r="D875" s="259" t="s">
        <v>570</v>
      </c>
      <c r="E875" s="259">
        <v>5137</v>
      </c>
      <c r="F875" s="356" t="s">
        <v>346</v>
      </c>
      <c r="G875" s="419"/>
      <c r="H875" s="337">
        <v>2000</v>
      </c>
      <c r="I875" s="337">
        <v>0</v>
      </c>
      <c r="J875" s="338">
        <v>0</v>
      </c>
      <c r="K875" s="339">
        <f t="shared" si="61"/>
        <v>0</v>
      </c>
      <c r="L875" s="343"/>
      <c r="N875" s="344">
        <f t="shared" si="60"/>
        <v>0</v>
      </c>
    </row>
    <row r="876" spans="1:14" ht="12.75" customHeight="1">
      <c r="A876" s="326">
        <f t="shared" si="59"/>
        <v>875</v>
      </c>
      <c r="B876" s="391"/>
      <c r="C876" s="347" t="s">
        <v>571</v>
      </c>
      <c r="D876" s="347"/>
      <c r="E876" s="347"/>
      <c r="F876" s="347"/>
      <c r="G876" s="348"/>
      <c r="H876" s="349">
        <f>SUBTOTAL(9,H875:H875)</f>
        <v>2000</v>
      </c>
      <c r="I876" s="349">
        <f>SUBTOTAL(9,I875:I875)</f>
        <v>0</v>
      </c>
      <c r="J876" s="349">
        <f>SUBTOTAL(9,J875:J875)</f>
        <v>0</v>
      </c>
      <c r="K876" s="412">
        <f t="shared" si="61"/>
        <v>0</v>
      </c>
      <c r="L876" s="413"/>
      <c r="N876" s="344">
        <f t="shared" si="60"/>
        <v>0</v>
      </c>
    </row>
    <row r="877" spans="1:14" ht="12.75" customHeight="1">
      <c r="A877" s="326">
        <f t="shared" si="59"/>
        <v>876</v>
      </c>
      <c r="B877" s="387">
        <v>7400</v>
      </c>
      <c r="C877" s="259">
        <v>3149</v>
      </c>
      <c r="D877" s="259" t="s">
        <v>572</v>
      </c>
      <c r="E877" s="259">
        <v>5139</v>
      </c>
      <c r="F877" s="259" t="s">
        <v>342</v>
      </c>
      <c r="G877" s="348"/>
      <c r="H877" s="349"/>
      <c r="I877" s="414">
        <v>15</v>
      </c>
      <c r="J877" s="415">
        <v>15</v>
      </c>
      <c r="K877" s="412"/>
      <c r="L877" s="490">
        <f t="shared" si="62"/>
        <v>100</v>
      </c>
      <c r="N877" s="344">
        <f t="shared" si="60"/>
        <v>0</v>
      </c>
    </row>
    <row r="878" spans="1:14" ht="12.75" customHeight="1">
      <c r="A878" s="326">
        <f t="shared" si="59"/>
        <v>877</v>
      </c>
      <c r="B878" s="387">
        <v>7400</v>
      </c>
      <c r="C878" s="259">
        <v>3149</v>
      </c>
      <c r="D878" s="259" t="s">
        <v>572</v>
      </c>
      <c r="E878" s="259">
        <v>5164</v>
      </c>
      <c r="F878" s="259" t="s">
        <v>348</v>
      </c>
      <c r="G878" s="348"/>
      <c r="H878" s="349"/>
      <c r="I878" s="414">
        <v>22</v>
      </c>
      <c r="J878" s="415">
        <v>22</v>
      </c>
      <c r="K878" s="412"/>
      <c r="L878" s="490">
        <f t="shared" si="62"/>
        <v>100</v>
      </c>
      <c r="N878" s="344">
        <f t="shared" si="60"/>
        <v>0</v>
      </c>
    </row>
    <row r="879" spans="1:14" ht="12.75" customHeight="1">
      <c r="A879" s="326">
        <f t="shared" si="59"/>
        <v>878</v>
      </c>
      <c r="B879" s="387">
        <v>7400</v>
      </c>
      <c r="C879" s="259">
        <v>3149</v>
      </c>
      <c r="D879" s="259" t="s">
        <v>572</v>
      </c>
      <c r="E879" s="259">
        <v>5169</v>
      </c>
      <c r="F879" s="259" t="s">
        <v>316</v>
      </c>
      <c r="G879" s="336"/>
      <c r="H879" s="337">
        <v>1020</v>
      </c>
      <c r="I879" s="337">
        <v>902</v>
      </c>
      <c r="J879" s="338">
        <v>468</v>
      </c>
      <c r="K879" s="339">
        <f t="shared" si="61"/>
        <v>-434</v>
      </c>
      <c r="L879" s="490">
        <f t="shared" si="62"/>
        <v>51.88470066518847</v>
      </c>
      <c r="N879" s="344">
        <f t="shared" si="60"/>
        <v>0</v>
      </c>
    </row>
    <row r="880" spans="1:14" ht="12.75" customHeight="1">
      <c r="A880" s="326">
        <f t="shared" si="59"/>
        <v>879</v>
      </c>
      <c r="B880" s="387">
        <v>7400</v>
      </c>
      <c r="C880" s="259">
        <v>3149</v>
      </c>
      <c r="D880" s="259" t="s">
        <v>572</v>
      </c>
      <c r="E880" s="259">
        <v>5173</v>
      </c>
      <c r="F880" s="259" t="s">
        <v>355</v>
      </c>
      <c r="G880" s="336"/>
      <c r="H880" s="337">
        <v>50</v>
      </c>
      <c r="I880" s="337">
        <v>66</v>
      </c>
      <c r="J880" s="338">
        <v>63</v>
      </c>
      <c r="K880" s="339">
        <f t="shared" si="61"/>
        <v>-3</v>
      </c>
      <c r="L880" s="490">
        <f t="shared" si="62"/>
        <v>95.45454545454545</v>
      </c>
      <c r="N880" s="344">
        <f t="shared" si="60"/>
        <v>0</v>
      </c>
    </row>
    <row r="881" spans="1:14" ht="12.75" customHeight="1">
      <c r="A881" s="326">
        <f t="shared" si="59"/>
        <v>880</v>
      </c>
      <c r="B881" s="387">
        <v>7400</v>
      </c>
      <c r="C881" s="259">
        <v>3149</v>
      </c>
      <c r="D881" s="259" t="s">
        <v>572</v>
      </c>
      <c r="E881" s="259">
        <v>5175</v>
      </c>
      <c r="F881" s="259" t="s">
        <v>334</v>
      </c>
      <c r="G881" s="336"/>
      <c r="H881" s="337"/>
      <c r="I881" s="337">
        <v>35</v>
      </c>
      <c r="J881" s="338">
        <v>32</v>
      </c>
      <c r="K881" s="339">
        <f t="shared" si="61"/>
        <v>-3</v>
      </c>
      <c r="L881" s="490">
        <f t="shared" si="62"/>
        <v>91.42857142857143</v>
      </c>
      <c r="N881" s="344">
        <f t="shared" si="60"/>
        <v>0</v>
      </c>
    </row>
    <row r="882" spans="1:14" ht="12.75" customHeight="1">
      <c r="A882" s="326">
        <f t="shared" si="59"/>
        <v>881</v>
      </c>
      <c r="B882" s="387">
        <v>7400</v>
      </c>
      <c r="C882" s="259">
        <v>3149</v>
      </c>
      <c r="D882" s="259" t="s">
        <v>572</v>
      </c>
      <c r="E882" s="259">
        <v>5194</v>
      </c>
      <c r="F882" s="259" t="s">
        <v>343</v>
      </c>
      <c r="G882" s="336"/>
      <c r="H882" s="337"/>
      <c r="I882" s="337">
        <v>30</v>
      </c>
      <c r="J882" s="338">
        <v>22</v>
      </c>
      <c r="K882" s="339">
        <f t="shared" si="61"/>
        <v>-8</v>
      </c>
      <c r="L882" s="490">
        <f t="shared" si="62"/>
        <v>73.33333333333333</v>
      </c>
      <c r="N882" s="344">
        <f t="shared" si="60"/>
        <v>0</v>
      </c>
    </row>
    <row r="883" spans="1:14" ht="12.75" customHeight="1">
      <c r="A883" s="326">
        <f t="shared" si="59"/>
        <v>882</v>
      </c>
      <c r="B883" s="387">
        <v>7400</v>
      </c>
      <c r="C883" s="259">
        <v>3149</v>
      </c>
      <c r="D883" s="259" t="s">
        <v>572</v>
      </c>
      <c r="E883" s="259">
        <v>5332</v>
      </c>
      <c r="F883" s="356" t="s">
        <v>479</v>
      </c>
      <c r="G883" s="419"/>
      <c r="H883" s="337">
        <v>200</v>
      </c>
      <c r="I883" s="337">
        <v>200</v>
      </c>
      <c r="J883" s="338">
        <v>80</v>
      </c>
      <c r="K883" s="339">
        <f t="shared" si="61"/>
        <v>-120</v>
      </c>
      <c r="L883" s="343">
        <f t="shared" si="62"/>
        <v>40</v>
      </c>
      <c r="N883" s="344">
        <f t="shared" si="60"/>
        <v>0</v>
      </c>
    </row>
    <row r="884" spans="1:14" ht="12.75" customHeight="1">
      <c r="A884" s="326">
        <f t="shared" si="59"/>
        <v>883</v>
      </c>
      <c r="B884" s="391"/>
      <c r="C884" s="347" t="s">
        <v>573</v>
      </c>
      <c r="D884" s="347"/>
      <c r="E884" s="347"/>
      <c r="F884" s="381"/>
      <c r="G884" s="406"/>
      <c r="H884" s="349">
        <f>SUBTOTAL(9,H877:H883)</f>
        <v>1270</v>
      </c>
      <c r="I884" s="349">
        <f>SUBTOTAL(9,I877:I883)</f>
        <v>1270</v>
      </c>
      <c r="J884" s="349">
        <f>SUBTOTAL(9,J877:J883)</f>
        <v>702</v>
      </c>
      <c r="K884" s="412">
        <f t="shared" si="61"/>
        <v>-568</v>
      </c>
      <c r="L884" s="413">
        <f t="shared" si="62"/>
        <v>55.2755905511811</v>
      </c>
      <c r="N884" s="344">
        <f t="shared" si="60"/>
        <v>0</v>
      </c>
    </row>
    <row r="885" spans="1:14" ht="12.75" customHeight="1">
      <c r="A885" s="326">
        <f t="shared" si="59"/>
        <v>884</v>
      </c>
      <c r="B885" s="387">
        <v>7400</v>
      </c>
      <c r="C885" s="259">
        <v>3419</v>
      </c>
      <c r="D885" s="259" t="s">
        <v>49</v>
      </c>
      <c r="E885" s="259">
        <v>5137</v>
      </c>
      <c r="F885" s="356" t="s">
        <v>346</v>
      </c>
      <c r="G885" s="406"/>
      <c r="H885" s="349"/>
      <c r="I885" s="414">
        <v>489</v>
      </c>
      <c r="J885" s="415">
        <v>487</v>
      </c>
      <c r="K885" s="339">
        <f t="shared" si="61"/>
        <v>-2</v>
      </c>
      <c r="L885" s="490">
        <f t="shared" si="62"/>
        <v>99.59100204498978</v>
      </c>
      <c r="N885" s="344">
        <f t="shared" si="60"/>
        <v>0</v>
      </c>
    </row>
    <row r="886" spans="1:14" ht="12.75" customHeight="1">
      <c r="A886" s="326">
        <f t="shared" si="59"/>
        <v>885</v>
      </c>
      <c r="B886" s="387">
        <v>7400</v>
      </c>
      <c r="C886" s="259">
        <v>3419</v>
      </c>
      <c r="D886" s="259" t="s">
        <v>49</v>
      </c>
      <c r="E886" s="259">
        <v>5164</v>
      </c>
      <c r="F886" s="356" t="s">
        <v>348</v>
      </c>
      <c r="G886" s="406"/>
      <c r="H886" s="349"/>
      <c r="I886" s="414">
        <v>127</v>
      </c>
      <c r="J886" s="415">
        <v>126</v>
      </c>
      <c r="K886" s="339">
        <f t="shared" si="61"/>
        <v>-1</v>
      </c>
      <c r="L886" s="490">
        <f t="shared" si="62"/>
        <v>99.21259842519686</v>
      </c>
      <c r="N886" s="344">
        <f t="shared" si="60"/>
        <v>0</v>
      </c>
    </row>
    <row r="887" spans="1:14" ht="12.75" customHeight="1">
      <c r="A887" s="326">
        <f t="shared" si="59"/>
        <v>886</v>
      </c>
      <c r="B887" s="387">
        <v>7400</v>
      </c>
      <c r="C887" s="259">
        <v>3419</v>
      </c>
      <c r="D887" s="259" t="s">
        <v>49</v>
      </c>
      <c r="E887" s="259">
        <v>5166</v>
      </c>
      <c r="F887" s="259" t="s">
        <v>315</v>
      </c>
      <c r="G887" s="419"/>
      <c r="H887" s="337">
        <v>100</v>
      </c>
      <c r="I887" s="337">
        <v>84</v>
      </c>
      <c r="J887" s="338">
        <v>77</v>
      </c>
      <c r="K887" s="339">
        <f t="shared" si="61"/>
        <v>-7</v>
      </c>
      <c r="L887" s="490">
        <f t="shared" si="62"/>
        <v>91.66666666666666</v>
      </c>
      <c r="N887" s="344">
        <f t="shared" si="60"/>
        <v>0</v>
      </c>
    </row>
    <row r="888" spans="1:14" ht="12.75" customHeight="1">
      <c r="A888" s="326">
        <f t="shared" si="59"/>
        <v>887</v>
      </c>
      <c r="B888" s="387">
        <v>7400</v>
      </c>
      <c r="C888" s="259">
        <v>3419</v>
      </c>
      <c r="D888" s="259" t="s">
        <v>49</v>
      </c>
      <c r="E888" s="259">
        <v>5169</v>
      </c>
      <c r="F888" s="259" t="s">
        <v>316</v>
      </c>
      <c r="G888" s="336"/>
      <c r="H888" s="337">
        <v>5000</v>
      </c>
      <c r="I888" s="337">
        <v>5010</v>
      </c>
      <c r="J888" s="338">
        <v>5009</v>
      </c>
      <c r="K888" s="339">
        <f t="shared" si="61"/>
        <v>-1</v>
      </c>
      <c r="L888" s="490">
        <f t="shared" si="62"/>
        <v>99.98003992015968</v>
      </c>
      <c r="N888" s="344">
        <f t="shared" si="60"/>
        <v>0</v>
      </c>
    </row>
    <row r="889" spans="1:14" ht="12.75" customHeight="1">
      <c r="A889" s="326">
        <f t="shared" si="59"/>
        <v>888</v>
      </c>
      <c r="B889" s="387">
        <v>7400</v>
      </c>
      <c r="C889" s="259">
        <v>3419</v>
      </c>
      <c r="D889" s="259" t="s">
        <v>49</v>
      </c>
      <c r="E889" s="259">
        <v>5171</v>
      </c>
      <c r="F889" s="259" t="s">
        <v>384</v>
      </c>
      <c r="G889" s="336"/>
      <c r="H889" s="337">
        <v>10016</v>
      </c>
      <c r="I889" s="337">
        <v>14318</v>
      </c>
      <c r="J889" s="338">
        <v>11848</v>
      </c>
      <c r="K889" s="339">
        <f t="shared" si="61"/>
        <v>-2470</v>
      </c>
      <c r="L889" s="490">
        <f t="shared" si="62"/>
        <v>82.74898728872748</v>
      </c>
      <c r="N889" s="344">
        <f t="shared" si="60"/>
        <v>0</v>
      </c>
    </row>
    <row r="890" spans="1:14" ht="12.75" customHeight="1">
      <c r="A890" s="326">
        <f t="shared" si="59"/>
        <v>889</v>
      </c>
      <c r="B890" s="387">
        <v>7400</v>
      </c>
      <c r="C890" s="259">
        <v>3419</v>
      </c>
      <c r="D890" s="259" t="s">
        <v>49</v>
      </c>
      <c r="E890" s="259">
        <v>5191</v>
      </c>
      <c r="F890" s="259" t="s">
        <v>574</v>
      </c>
      <c r="G890" s="336"/>
      <c r="H890" s="337"/>
      <c r="I890" s="337">
        <v>1100</v>
      </c>
      <c r="J890" s="338">
        <v>926</v>
      </c>
      <c r="K890" s="339">
        <f t="shared" si="61"/>
        <v>-174</v>
      </c>
      <c r="L890" s="490">
        <f t="shared" si="62"/>
        <v>84.18181818181819</v>
      </c>
      <c r="N890" s="344">
        <f t="shared" si="60"/>
        <v>0</v>
      </c>
    </row>
    <row r="891" spans="1:14" ht="12.75" customHeight="1">
      <c r="A891" s="326">
        <f t="shared" si="59"/>
        <v>890</v>
      </c>
      <c r="B891" s="387">
        <v>7400</v>
      </c>
      <c r="C891" s="259">
        <v>3419</v>
      </c>
      <c r="D891" s="259" t="s">
        <v>49</v>
      </c>
      <c r="E891" s="259">
        <v>5192</v>
      </c>
      <c r="F891" s="259" t="s">
        <v>335</v>
      </c>
      <c r="G891" s="336"/>
      <c r="H891" s="337">
        <v>1500</v>
      </c>
      <c r="I891" s="337">
        <v>2800</v>
      </c>
      <c r="J891" s="338">
        <v>2671</v>
      </c>
      <c r="K891" s="339">
        <f t="shared" si="61"/>
        <v>-129</v>
      </c>
      <c r="L891" s="490">
        <f t="shared" si="62"/>
        <v>95.39285714285714</v>
      </c>
      <c r="N891" s="344">
        <f t="shared" si="60"/>
        <v>0</v>
      </c>
    </row>
    <row r="892" spans="1:14" ht="12.75" customHeight="1">
      <c r="A892" s="326">
        <f t="shared" si="59"/>
        <v>891</v>
      </c>
      <c r="B892" s="387">
        <v>7400</v>
      </c>
      <c r="C892" s="259">
        <v>3419</v>
      </c>
      <c r="D892" s="259" t="s">
        <v>49</v>
      </c>
      <c r="E892" s="259">
        <v>5194</v>
      </c>
      <c r="F892" s="259" t="s">
        <v>343</v>
      </c>
      <c r="G892" s="336"/>
      <c r="H892" s="337">
        <v>100</v>
      </c>
      <c r="I892" s="337">
        <v>100</v>
      </c>
      <c r="J892" s="338">
        <v>88</v>
      </c>
      <c r="K892" s="339">
        <f t="shared" si="61"/>
        <v>-12</v>
      </c>
      <c r="L892" s="490">
        <f t="shared" si="62"/>
        <v>88</v>
      </c>
      <c r="N892" s="344">
        <f t="shared" si="60"/>
        <v>0</v>
      </c>
    </row>
    <row r="893" spans="1:14" ht="12.75" customHeight="1">
      <c r="A893" s="326">
        <f t="shared" si="59"/>
        <v>892</v>
      </c>
      <c r="B893" s="387">
        <v>7400</v>
      </c>
      <c r="C893" s="259">
        <v>3419</v>
      </c>
      <c r="D893" s="259" t="s">
        <v>49</v>
      </c>
      <c r="E893" s="259">
        <v>5212</v>
      </c>
      <c r="F893" s="359" t="s">
        <v>477</v>
      </c>
      <c r="G893" s="336"/>
      <c r="H893" s="337"/>
      <c r="I893" s="337">
        <v>100</v>
      </c>
      <c r="J893" s="338">
        <v>100</v>
      </c>
      <c r="K893" s="339">
        <f t="shared" si="61"/>
        <v>0</v>
      </c>
      <c r="L893" s="490">
        <f t="shared" si="62"/>
        <v>100</v>
      </c>
      <c r="N893" s="344">
        <f t="shared" si="60"/>
        <v>0</v>
      </c>
    </row>
    <row r="894" spans="1:14" ht="12.75" customHeight="1">
      <c r="A894" s="326">
        <f t="shared" si="59"/>
        <v>893</v>
      </c>
      <c r="B894" s="387">
        <v>7400</v>
      </c>
      <c r="C894" s="259">
        <v>3419</v>
      </c>
      <c r="D894" s="259" t="s">
        <v>49</v>
      </c>
      <c r="E894" s="259">
        <v>5213</v>
      </c>
      <c r="F894" s="488" t="s">
        <v>431</v>
      </c>
      <c r="G894" s="336"/>
      <c r="H894" s="337">
        <v>23200</v>
      </c>
      <c r="I894" s="337">
        <v>68581</v>
      </c>
      <c r="J894" s="338">
        <v>68381</v>
      </c>
      <c r="K894" s="339">
        <f t="shared" si="61"/>
        <v>-200</v>
      </c>
      <c r="L894" s="490">
        <f t="shared" si="62"/>
        <v>99.708374039457</v>
      </c>
      <c r="N894" s="344">
        <f t="shared" si="60"/>
        <v>0</v>
      </c>
    </row>
    <row r="895" spans="1:14" ht="12.75" customHeight="1">
      <c r="A895" s="326">
        <f t="shared" si="59"/>
        <v>894</v>
      </c>
      <c r="B895" s="387">
        <v>7400</v>
      </c>
      <c r="C895" s="259">
        <v>3419</v>
      </c>
      <c r="D895" s="259" t="s">
        <v>49</v>
      </c>
      <c r="E895" s="259">
        <v>5222</v>
      </c>
      <c r="F895" s="359" t="s">
        <v>407</v>
      </c>
      <c r="G895" s="336"/>
      <c r="H895" s="337">
        <v>150647</v>
      </c>
      <c r="I895" s="337">
        <v>133304</v>
      </c>
      <c r="J895" s="338">
        <v>133304</v>
      </c>
      <c r="K895" s="339">
        <f t="shared" si="61"/>
        <v>0</v>
      </c>
      <c r="L895" s="490">
        <f t="shared" si="62"/>
        <v>100</v>
      </c>
      <c r="N895" s="344">
        <f t="shared" si="60"/>
        <v>0</v>
      </c>
    </row>
    <row r="896" spans="1:14" ht="12.75" customHeight="1">
      <c r="A896" s="326">
        <f t="shared" si="59"/>
        <v>895</v>
      </c>
      <c r="B896" s="387">
        <v>7400</v>
      </c>
      <c r="C896" s="259">
        <v>3419</v>
      </c>
      <c r="D896" s="259" t="s">
        <v>49</v>
      </c>
      <c r="E896" s="259">
        <v>5223</v>
      </c>
      <c r="F896" s="359" t="s">
        <v>478</v>
      </c>
      <c r="G896" s="336"/>
      <c r="H896" s="337"/>
      <c r="I896" s="337">
        <v>18</v>
      </c>
      <c r="J896" s="338">
        <v>18</v>
      </c>
      <c r="K896" s="339">
        <f t="shared" si="61"/>
        <v>0</v>
      </c>
      <c r="L896" s="490">
        <f t="shared" si="62"/>
        <v>100</v>
      </c>
      <c r="N896" s="344">
        <f t="shared" si="60"/>
        <v>0</v>
      </c>
    </row>
    <row r="897" spans="1:14" ht="12.75" customHeight="1">
      <c r="A897" s="326">
        <f t="shared" si="59"/>
        <v>896</v>
      </c>
      <c r="B897" s="387">
        <v>7400</v>
      </c>
      <c r="C897" s="259">
        <v>3419</v>
      </c>
      <c r="D897" s="259" t="s">
        <v>49</v>
      </c>
      <c r="E897" s="259">
        <v>5229</v>
      </c>
      <c r="F897" s="359" t="s">
        <v>336</v>
      </c>
      <c r="G897" s="336"/>
      <c r="H897" s="337"/>
      <c r="I897" s="337">
        <v>14</v>
      </c>
      <c r="J897" s="338">
        <v>14</v>
      </c>
      <c r="K897" s="339">
        <f t="shared" si="61"/>
        <v>0</v>
      </c>
      <c r="L897" s="490">
        <f t="shared" si="62"/>
        <v>100</v>
      </c>
      <c r="N897" s="344">
        <f t="shared" si="60"/>
        <v>0</v>
      </c>
    </row>
    <row r="898" spans="1:14" ht="12.75" customHeight="1">
      <c r="A898" s="326">
        <f t="shared" si="59"/>
        <v>897</v>
      </c>
      <c r="B898" s="387">
        <v>7400</v>
      </c>
      <c r="C898" s="259">
        <v>3419</v>
      </c>
      <c r="D898" s="259" t="s">
        <v>49</v>
      </c>
      <c r="E898" s="259">
        <v>5331</v>
      </c>
      <c r="F898" s="389" t="s">
        <v>337</v>
      </c>
      <c r="G898" s="561" t="s">
        <v>575</v>
      </c>
      <c r="H898" s="337">
        <v>1200</v>
      </c>
      <c r="I898" s="337">
        <v>1200</v>
      </c>
      <c r="J898" s="338">
        <v>1200</v>
      </c>
      <c r="K898" s="339">
        <f t="shared" si="61"/>
        <v>0</v>
      </c>
      <c r="L898" s="490">
        <f t="shared" si="62"/>
        <v>100</v>
      </c>
      <c r="N898" s="344">
        <f t="shared" si="60"/>
        <v>0</v>
      </c>
    </row>
    <row r="899" spans="1:14" ht="12.75" customHeight="1">
      <c r="A899" s="326">
        <f t="shared" si="59"/>
        <v>898</v>
      </c>
      <c r="B899" s="387">
        <v>7400</v>
      </c>
      <c r="C899" s="259">
        <v>3419</v>
      </c>
      <c r="D899" s="259" t="s">
        <v>49</v>
      </c>
      <c r="E899" s="259">
        <v>5332</v>
      </c>
      <c r="F899" s="389" t="s">
        <v>479</v>
      </c>
      <c r="G899" s="561"/>
      <c r="H899" s="337"/>
      <c r="I899" s="337">
        <v>700</v>
      </c>
      <c r="J899" s="338">
        <v>700</v>
      </c>
      <c r="K899" s="339">
        <f t="shared" si="61"/>
        <v>0</v>
      </c>
      <c r="L899" s="490">
        <f t="shared" si="62"/>
        <v>100</v>
      </c>
      <c r="N899" s="344">
        <f t="shared" si="60"/>
        <v>0</v>
      </c>
    </row>
    <row r="900" spans="1:14" ht="12.75" customHeight="1">
      <c r="A900" s="326">
        <f aca="true" t="shared" si="63" ref="A900:A963">A899+1</f>
        <v>899</v>
      </c>
      <c r="B900" s="387">
        <v>7400</v>
      </c>
      <c r="C900" s="259">
        <v>3419</v>
      </c>
      <c r="D900" s="259" t="s">
        <v>49</v>
      </c>
      <c r="E900" s="259">
        <v>5339</v>
      </c>
      <c r="F900" s="356" t="s">
        <v>428</v>
      </c>
      <c r="G900" s="561"/>
      <c r="H900" s="337"/>
      <c r="I900" s="337">
        <v>85</v>
      </c>
      <c r="J900" s="338">
        <v>85</v>
      </c>
      <c r="K900" s="339">
        <f t="shared" si="61"/>
        <v>0</v>
      </c>
      <c r="L900" s="490">
        <f t="shared" si="62"/>
        <v>100</v>
      </c>
      <c r="N900" s="344">
        <f aca="true" t="shared" si="64" ref="N900:N963">I900-J900+K900</f>
        <v>0</v>
      </c>
    </row>
    <row r="901" spans="1:14" ht="12.75" customHeight="1">
      <c r="A901" s="326">
        <f t="shared" si="63"/>
        <v>900</v>
      </c>
      <c r="B901" s="387">
        <v>7400</v>
      </c>
      <c r="C901" s="259">
        <v>3419</v>
      </c>
      <c r="D901" s="259" t="s">
        <v>49</v>
      </c>
      <c r="E901" s="259">
        <v>5362</v>
      </c>
      <c r="F901" s="389" t="s">
        <v>325</v>
      </c>
      <c r="G901" s="561"/>
      <c r="H901" s="337"/>
      <c r="I901" s="337">
        <v>10</v>
      </c>
      <c r="J901" s="338">
        <v>9</v>
      </c>
      <c r="K901" s="339">
        <f t="shared" si="61"/>
        <v>-1</v>
      </c>
      <c r="L901" s="490">
        <f t="shared" si="62"/>
        <v>90</v>
      </c>
      <c r="N901" s="344">
        <f t="shared" si="64"/>
        <v>0</v>
      </c>
    </row>
    <row r="902" spans="1:14" ht="12.75" customHeight="1">
      <c r="A902" s="326">
        <f t="shared" si="63"/>
        <v>901</v>
      </c>
      <c r="B902" s="387">
        <v>7400</v>
      </c>
      <c r="C902" s="259">
        <v>3419</v>
      </c>
      <c r="D902" s="259" t="s">
        <v>49</v>
      </c>
      <c r="E902" s="259">
        <v>5363</v>
      </c>
      <c r="F902" s="389" t="s">
        <v>576</v>
      </c>
      <c r="G902" s="561"/>
      <c r="H902" s="337"/>
      <c r="I902" s="337">
        <v>6</v>
      </c>
      <c r="J902" s="338">
        <v>6</v>
      </c>
      <c r="K902" s="339">
        <f t="shared" si="61"/>
        <v>0</v>
      </c>
      <c r="L902" s="343">
        <f t="shared" si="62"/>
        <v>100</v>
      </c>
      <c r="N902" s="344">
        <f t="shared" si="64"/>
        <v>0</v>
      </c>
    </row>
    <row r="903" spans="1:14" ht="12.75" customHeight="1">
      <c r="A903" s="326">
        <f t="shared" si="63"/>
        <v>902</v>
      </c>
      <c r="B903" s="391"/>
      <c r="C903" s="347" t="s">
        <v>577</v>
      </c>
      <c r="D903" s="347"/>
      <c r="E903" s="347"/>
      <c r="F903" s="347"/>
      <c r="G903" s="422"/>
      <c r="H903" s="349">
        <f>SUBTOTAL(9,H885:H898)</f>
        <v>191763</v>
      </c>
      <c r="I903" s="349">
        <f>SUBTOTAL(9,I885:I902)</f>
        <v>228046</v>
      </c>
      <c r="J903" s="349">
        <f>SUBTOTAL(9,J885:J902)</f>
        <v>225049</v>
      </c>
      <c r="K903" s="412">
        <f t="shared" si="61"/>
        <v>-2997</v>
      </c>
      <c r="L903" s="413">
        <f t="shared" si="62"/>
        <v>98.68579146312587</v>
      </c>
      <c r="N903" s="344">
        <f t="shared" si="64"/>
        <v>0</v>
      </c>
    </row>
    <row r="904" spans="1:14" ht="12.75" customHeight="1">
      <c r="A904" s="326">
        <f t="shared" si="63"/>
        <v>903</v>
      </c>
      <c r="B904" s="387">
        <v>7400</v>
      </c>
      <c r="C904" s="259">
        <v>3421</v>
      </c>
      <c r="D904" s="259" t="s">
        <v>94</v>
      </c>
      <c r="E904" s="259">
        <v>5212</v>
      </c>
      <c r="F904" s="359" t="s">
        <v>477</v>
      </c>
      <c r="G904" s="422"/>
      <c r="H904" s="349"/>
      <c r="I904" s="414">
        <v>235</v>
      </c>
      <c r="J904" s="415">
        <v>233</v>
      </c>
      <c r="K904" s="339">
        <f t="shared" si="61"/>
        <v>-2</v>
      </c>
      <c r="L904" s="490">
        <f t="shared" si="62"/>
        <v>99.14893617021276</v>
      </c>
      <c r="N904" s="344">
        <f t="shared" si="64"/>
        <v>0</v>
      </c>
    </row>
    <row r="905" spans="1:14" ht="12.75" customHeight="1">
      <c r="A905" s="326">
        <f t="shared" si="63"/>
        <v>904</v>
      </c>
      <c r="B905" s="387">
        <v>7400</v>
      </c>
      <c r="C905" s="259">
        <v>3421</v>
      </c>
      <c r="D905" s="259" t="s">
        <v>94</v>
      </c>
      <c r="E905" s="259">
        <v>5213</v>
      </c>
      <c r="F905" s="488" t="s">
        <v>431</v>
      </c>
      <c r="G905" s="422"/>
      <c r="H905" s="349"/>
      <c r="I905" s="414">
        <v>94</v>
      </c>
      <c r="J905" s="415">
        <v>94</v>
      </c>
      <c r="K905" s="412"/>
      <c r="L905" s="490">
        <f t="shared" si="62"/>
        <v>100</v>
      </c>
      <c r="N905" s="344">
        <f t="shared" si="64"/>
        <v>0</v>
      </c>
    </row>
    <row r="906" spans="1:14" ht="12.75" customHeight="1">
      <c r="A906" s="326">
        <f t="shared" si="63"/>
        <v>905</v>
      </c>
      <c r="B906" s="387">
        <v>7400</v>
      </c>
      <c r="C906" s="259">
        <v>3421</v>
      </c>
      <c r="D906" s="259" t="s">
        <v>94</v>
      </c>
      <c r="E906" s="259">
        <v>5221</v>
      </c>
      <c r="F906" s="259" t="s">
        <v>427</v>
      </c>
      <c r="G906" s="422"/>
      <c r="H906" s="349"/>
      <c r="I906" s="414">
        <v>147</v>
      </c>
      <c r="J906" s="415">
        <v>147</v>
      </c>
      <c r="K906" s="412"/>
      <c r="L906" s="490">
        <f t="shared" si="62"/>
        <v>100</v>
      </c>
      <c r="N906" s="344">
        <f t="shared" si="64"/>
        <v>0</v>
      </c>
    </row>
    <row r="907" spans="1:14" ht="12.75" customHeight="1">
      <c r="A907" s="326">
        <f t="shared" si="63"/>
        <v>906</v>
      </c>
      <c r="B907" s="387">
        <v>7400</v>
      </c>
      <c r="C907" s="259">
        <v>3421</v>
      </c>
      <c r="D907" s="259" t="s">
        <v>94</v>
      </c>
      <c r="E907" s="259">
        <v>5222</v>
      </c>
      <c r="F907" s="359" t="s">
        <v>407</v>
      </c>
      <c r="G907" s="336"/>
      <c r="H907" s="337">
        <v>9400</v>
      </c>
      <c r="I907" s="337">
        <v>7901</v>
      </c>
      <c r="J907" s="338">
        <v>7797</v>
      </c>
      <c r="K907" s="339">
        <f t="shared" si="61"/>
        <v>-104</v>
      </c>
      <c r="L907" s="490">
        <f t="shared" si="62"/>
        <v>98.68371092266803</v>
      </c>
      <c r="N907" s="344">
        <f t="shared" si="64"/>
        <v>0</v>
      </c>
    </row>
    <row r="908" spans="1:14" ht="12.75" customHeight="1">
      <c r="A908" s="326">
        <f t="shared" si="63"/>
        <v>907</v>
      </c>
      <c r="B908" s="387">
        <v>7400</v>
      </c>
      <c r="C908" s="259">
        <v>3421</v>
      </c>
      <c r="D908" s="259" t="s">
        <v>94</v>
      </c>
      <c r="E908" s="259">
        <v>5223</v>
      </c>
      <c r="F908" s="359" t="s">
        <v>478</v>
      </c>
      <c r="G908" s="336"/>
      <c r="H908" s="337"/>
      <c r="I908" s="337">
        <v>267</v>
      </c>
      <c r="J908" s="338">
        <v>267</v>
      </c>
      <c r="K908" s="339"/>
      <c r="L908" s="490">
        <f t="shared" si="62"/>
        <v>100</v>
      </c>
      <c r="N908" s="344">
        <f t="shared" si="64"/>
        <v>0</v>
      </c>
    </row>
    <row r="909" spans="1:14" ht="12.75" customHeight="1">
      <c r="A909" s="326">
        <f t="shared" si="63"/>
        <v>908</v>
      </c>
      <c r="B909" s="387">
        <v>7400</v>
      </c>
      <c r="C909" s="259">
        <v>3421</v>
      </c>
      <c r="D909" s="259" t="s">
        <v>94</v>
      </c>
      <c r="E909" s="259">
        <v>5229</v>
      </c>
      <c r="F909" s="359" t="s">
        <v>336</v>
      </c>
      <c r="G909" s="336"/>
      <c r="H909" s="337"/>
      <c r="I909" s="337">
        <v>73</v>
      </c>
      <c r="J909" s="338">
        <v>73</v>
      </c>
      <c r="K909" s="339"/>
      <c r="L909" s="490">
        <f t="shared" si="62"/>
        <v>100</v>
      </c>
      <c r="N909" s="344">
        <f t="shared" si="64"/>
        <v>0</v>
      </c>
    </row>
    <row r="910" spans="1:14" ht="12.75" customHeight="1">
      <c r="A910" s="326">
        <f t="shared" si="63"/>
        <v>909</v>
      </c>
      <c r="B910" s="387">
        <v>7400</v>
      </c>
      <c r="C910" s="259">
        <v>3421</v>
      </c>
      <c r="D910" s="259" t="s">
        <v>94</v>
      </c>
      <c r="E910" s="259">
        <v>5339</v>
      </c>
      <c r="F910" s="356" t="s">
        <v>428</v>
      </c>
      <c r="G910" s="419"/>
      <c r="H910" s="337">
        <v>3500</v>
      </c>
      <c r="I910" s="337">
        <v>2540</v>
      </c>
      <c r="J910" s="338">
        <v>2540</v>
      </c>
      <c r="K910" s="339">
        <f t="shared" si="61"/>
        <v>0</v>
      </c>
      <c r="L910" s="490">
        <f t="shared" si="62"/>
        <v>100</v>
      </c>
      <c r="N910" s="344">
        <f t="shared" si="64"/>
        <v>0</v>
      </c>
    </row>
    <row r="911" spans="1:14" ht="12.75" customHeight="1">
      <c r="A911" s="326">
        <f t="shared" si="63"/>
        <v>910</v>
      </c>
      <c r="B911" s="387">
        <v>7400</v>
      </c>
      <c r="C911" s="259">
        <v>3421</v>
      </c>
      <c r="D911" s="259" t="s">
        <v>94</v>
      </c>
      <c r="E911" s="259">
        <v>5493</v>
      </c>
      <c r="F911" s="356" t="s">
        <v>578</v>
      </c>
      <c r="G911" s="419"/>
      <c r="H911" s="337"/>
      <c r="I911" s="337">
        <v>13</v>
      </c>
      <c r="J911" s="338">
        <v>13</v>
      </c>
      <c r="K911" s="339"/>
      <c r="L911" s="490">
        <f t="shared" si="62"/>
        <v>100</v>
      </c>
      <c r="N911" s="344">
        <f t="shared" si="64"/>
        <v>0</v>
      </c>
    </row>
    <row r="912" spans="1:14" ht="12.75" customHeight="1">
      <c r="A912" s="326">
        <f t="shared" si="63"/>
        <v>911</v>
      </c>
      <c r="B912" s="391"/>
      <c r="C912" s="347" t="s">
        <v>402</v>
      </c>
      <c r="D912" s="347"/>
      <c r="E912" s="347"/>
      <c r="F912" s="347"/>
      <c r="G912" s="422"/>
      <c r="H912" s="349">
        <f>SUBTOTAL(9,H904:H911)</f>
        <v>12900</v>
      </c>
      <c r="I912" s="349">
        <f>SUBTOTAL(9,I904:I911)</f>
        <v>11270</v>
      </c>
      <c r="J912" s="349">
        <f>SUBTOTAL(9,J904:J911)</f>
        <v>11164</v>
      </c>
      <c r="K912" s="412">
        <f t="shared" si="61"/>
        <v>-106</v>
      </c>
      <c r="L912" s="413">
        <f t="shared" si="62"/>
        <v>99.05944986690328</v>
      </c>
      <c r="N912" s="344">
        <f t="shared" si="64"/>
        <v>0</v>
      </c>
    </row>
    <row r="913" spans="1:14" ht="12.75" customHeight="1">
      <c r="A913" s="326">
        <f t="shared" si="63"/>
        <v>912</v>
      </c>
      <c r="B913" s="387">
        <v>7400</v>
      </c>
      <c r="C913" s="259">
        <v>6409</v>
      </c>
      <c r="D913" s="259" t="s">
        <v>281</v>
      </c>
      <c r="E913" s="259">
        <v>5321</v>
      </c>
      <c r="F913" s="259" t="s">
        <v>331</v>
      </c>
      <c r="G913" s="422"/>
      <c r="H913" s="349"/>
      <c r="I913" s="414">
        <v>20393</v>
      </c>
      <c r="J913" s="415">
        <v>20393</v>
      </c>
      <c r="K913" s="412"/>
      <c r="L913" s="490">
        <f t="shared" si="62"/>
        <v>100</v>
      </c>
      <c r="N913" s="344">
        <f t="shared" si="64"/>
        <v>0</v>
      </c>
    </row>
    <row r="914" spans="1:14" ht="12.75" customHeight="1">
      <c r="A914" s="326">
        <f t="shared" si="63"/>
        <v>913</v>
      </c>
      <c r="B914" s="387">
        <v>7400</v>
      </c>
      <c r="C914" s="259">
        <v>6409</v>
      </c>
      <c r="D914" s="259" t="s">
        <v>281</v>
      </c>
      <c r="E914" s="259">
        <v>5321</v>
      </c>
      <c r="F914" s="259" t="s">
        <v>331</v>
      </c>
      <c r="G914" s="419" t="s">
        <v>457</v>
      </c>
      <c r="H914" s="337"/>
      <c r="I914" s="337">
        <v>16550</v>
      </c>
      <c r="J914" s="338">
        <v>16550</v>
      </c>
      <c r="K914" s="339"/>
      <c r="L914" s="490">
        <f t="shared" si="62"/>
        <v>100</v>
      </c>
      <c r="N914" s="344">
        <f t="shared" si="64"/>
        <v>0</v>
      </c>
    </row>
    <row r="915" spans="1:14" ht="12.75" customHeight="1">
      <c r="A915" s="326">
        <f t="shared" si="63"/>
        <v>914</v>
      </c>
      <c r="B915" s="391"/>
      <c r="C915" s="347" t="s">
        <v>333</v>
      </c>
      <c r="D915" s="347"/>
      <c r="E915" s="347"/>
      <c r="F915" s="347"/>
      <c r="G915" s="422"/>
      <c r="H915" s="349">
        <f>SUBTOTAL(9,H913:H914)</f>
        <v>0</v>
      </c>
      <c r="I915" s="349">
        <f>SUBTOTAL(9,I913:I914)</f>
        <v>36943</v>
      </c>
      <c r="J915" s="349">
        <f>SUBTOTAL(9,J913:J914)</f>
        <v>36943</v>
      </c>
      <c r="K915" s="412">
        <f>J915-I915</f>
        <v>0</v>
      </c>
      <c r="L915" s="413">
        <f t="shared" si="62"/>
        <v>100</v>
      </c>
      <c r="N915" s="344">
        <f t="shared" si="64"/>
        <v>0</v>
      </c>
    </row>
    <row r="916" spans="1:14" ht="13.5" customHeight="1" thickBot="1">
      <c r="A916" s="326">
        <f t="shared" si="63"/>
        <v>915</v>
      </c>
      <c r="B916" s="366" t="s">
        <v>35</v>
      </c>
      <c r="C916" s="367"/>
      <c r="D916" s="367"/>
      <c r="E916" s="367"/>
      <c r="F916" s="367"/>
      <c r="G916" s="368"/>
      <c r="H916" s="432">
        <f>SUBTOTAL(9,H840:H915)</f>
        <v>233915</v>
      </c>
      <c r="I916" s="432">
        <f>SUBTOTAL(9,I840:I915)</f>
        <v>344082</v>
      </c>
      <c r="J916" s="432">
        <f>SUBTOTAL(9,J840:J914)</f>
        <v>339504</v>
      </c>
      <c r="K916" s="433">
        <f t="shared" si="61"/>
        <v>-4578</v>
      </c>
      <c r="L916" s="434">
        <f t="shared" si="62"/>
        <v>98.66950319981865</v>
      </c>
      <c r="N916" s="344">
        <f t="shared" si="64"/>
        <v>0</v>
      </c>
    </row>
    <row r="917" spans="1:14" ht="9.75" customHeight="1">
      <c r="A917" s="326">
        <f t="shared" si="63"/>
        <v>916</v>
      </c>
      <c r="B917" s="435"/>
      <c r="C917" s="436"/>
      <c r="D917" s="436"/>
      <c r="E917" s="436"/>
      <c r="F917" s="436"/>
      <c r="G917" s="437"/>
      <c r="H917" s="438">
        <v>0</v>
      </c>
      <c r="I917" s="438"/>
      <c r="J917" s="439"/>
      <c r="K917" s="440"/>
      <c r="L917" s="441"/>
      <c r="N917" s="344">
        <f t="shared" si="64"/>
        <v>0</v>
      </c>
    </row>
    <row r="918" spans="1:14" ht="15.75">
      <c r="A918" s="326">
        <f t="shared" si="63"/>
        <v>917</v>
      </c>
      <c r="B918" s="531" t="s">
        <v>97</v>
      </c>
      <c r="C918" s="532"/>
      <c r="D918" s="532"/>
      <c r="E918" s="472"/>
      <c r="F918" s="389"/>
      <c r="G918" s="420"/>
      <c r="H918" s="583">
        <v>0</v>
      </c>
      <c r="I918" s="583"/>
      <c r="J918" s="584"/>
      <c r="K918" s="585"/>
      <c r="L918" s="586"/>
      <c r="N918" s="344">
        <f t="shared" si="64"/>
        <v>0</v>
      </c>
    </row>
    <row r="919" spans="1:14" ht="12.75" customHeight="1">
      <c r="A919" s="326">
        <f t="shared" si="63"/>
        <v>918</v>
      </c>
      <c r="B919" s="533">
        <v>7500</v>
      </c>
      <c r="C919" s="472">
        <v>3322</v>
      </c>
      <c r="D919" s="472" t="s">
        <v>27</v>
      </c>
      <c r="E919" s="472">
        <v>5166</v>
      </c>
      <c r="F919" s="259" t="s">
        <v>315</v>
      </c>
      <c r="G919" s="420"/>
      <c r="H919" s="337">
        <v>0</v>
      </c>
      <c r="I919" s="337">
        <v>48</v>
      </c>
      <c r="J919" s="338">
        <v>0</v>
      </c>
      <c r="K919" s="339">
        <f>J919-I919</f>
        <v>-48</v>
      </c>
      <c r="L919" s="490">
        <f>J919/I919*100</f>
        <v>0</v>
      </c>
      <c r="N919" s="344">
        <f t="shared" si="64"/>
        <v>0</v>
      </c>
    </row>
    <row r="920" spans="1:14" ht="12.75" customHeight="1">
      <c r="A920" s="326">
        <f t="shared" si="63"/>
        <v>919</v>
      </c>
      <c r="B920" s="533">
        <v>7500</v>
      </c>
      <c r="C920" s="472">
        <v>3322</v>
      </c>
      <c r="D920" s="472" t="s">
        <v>27</v>
      </c>
      <c r="E920" s="472">
        <v>5169</v>
      </c>
      <c r="F920" s="259" t="s">
        <v>316</v>
      </c>
      <c r="G920" s="420"/>
      <c r="H920" s="337">
        <v>40</v>
      </c>
      <c r="I920" s="337">
        <v>40</v>
      </c>
      <c r="J920" s="338">
        <v>0</v>
      </c>
      <c r="K920" s="339">
        <f t="shared" si="61"/>
        <v>-40</v>
      </c>
      <c r="L920" s="490">
        <f>J920/I920*100</f>
        <v>0</v>
      </c>
      <c r="N920" s="344">
        <f t="shared" si="64"/>
        <v>0</v>
      </c>
    </row>
    <row r="921" spans="1:14" ht="12.75" customHeight="1">
      <c r="A921" s="326">
        <f t="shared" si="63"/>
        <v>920</v>
      </c>
      <c r="B921" s="533">
        <v>7500</v>
      </c>
      <c r="C921" s="472">
        <v>3322</v>
      </c>
      <c r="D921" s="472" t="s">
        <v>27</v>
      </c>
      <c r="E921" s="472">
        <v>5222</v>
      </c>
      <c r="F921" s="389" t="s">
        <v>407</v>
      </c>
      <c r="G921" s="336"/>
      <c r="H921" s="337">
        <v>0</v>
      </c>
      <c r="I921" s="337">
        <v>100</v>
      </c>
      <c r="J921" s="338">
        <v>100</v>
      </c>
      <c r="K921" s="339">
        <f t="shared" si="61"/>
        <v>0</v>
      </c>
      <c r="L921" s="343">
        <f>J921/I921*100</f>
        <v>100</v>
      </c>
      <c r="N921" s="344">
        <f t="shared" si="64"/>
        <v>0</v>
      </c>
    </row>
    <row r="922" spans="1:14" ht="12.75" customHeight="1">
      <c r="A922" s="326">
        <f t="shared" si="63"/>
        <v>921</v>
      </c>
      <c r="B922" s="533">
        <v>7500</v>
      </c>
      <c r="C922" s="472">
        <v>3322</v>
      </c>
      <c r="D922" s="472" t="s">
        <v>27</v>
      </c>
      <c r="E922" s="472">
        <v>5223</v>
      </c>
      <c r="F922" s="389" t="s">
        <v>478</v>
      </c>
      <c r="G922" s="336"/>
      <c r="H922" s="337">
        <v>0</v>
      </c>
      <c r="I922" s="337">
        <v>1210</v>
      </c>
      <c r="J922" s="338">
        <v>1122</v>
      </c>
      <c r="K922" s="339">
        <f t="shared" si="61"/>
        <v>-88</v>
      </c>
      <c r="L922" s="490">
        <f>J922/I922*100</f>
        <v>92.72727272727272</v>
      </c>
      <c r="N922" s="344">
        <f t="shared" si="64"/>
        <v>0</v>
      </c>
    </row>
    <row r="923" spans="1:14" ht="12.75" customHeight="1">
      <c r="A923" s="326">
        <f t="shared" si="63"/>
        <v>922</v>
      </c>
      <c r="B923" s="533">
        <v>7500</v>
      </c>
      <c r="C923" s="472">
        <v>3322</v>
      </c>
      <c r="D923" s="472" t="s">
        <v>27</v>
      </c>
      <c r="E923" s="472">
        <v>5229</v>
      </c>
      <c r="F923" s="389" t="s">
        <v>336</v>
      </c>
      <c r="G923" s="336"/>
      <c r="H923" s="337">
        <v>10170</v>
      </c>
      <c r="I923" s="337">
        <v>0</v>
      </c>
      <c r="J923" s="338">
        <v>0</v>
      </c>
      <c r="K923" s="339">
        <f t="shared" si="61"/>
        <v>0</v>
      </c>
      <c r="L923" s="490"/>
      <c r="N923" s="344">
        <f t="shared" si="64"/>
        <v>0</v>
      </c>
    </row>
    <row r="924" spans="1:14" ht="12.75" customHeight="1">
      <c r="A924" s="326">
        <f t="shared" si="63"/>
        <v>923</v>
      </c>
      <c r="B924" s="533">
        <v>7500</v>
      </c>
      <c r="C924" s="472">
        <v>3322</v>
      </c>
      <c r="D924" s="472" t="s">
        <v>27</v>
      </c>
      <c r="E924" s="472">
        <v>5331</v>
      </c>
      <c r="F924" s="389" t="s">
        <v>337</v>
      </c>
      <c r="G924" s="336" t="s">
        <v>469</v>
      </c>
      <c r="H924" s="337">
        <v>0</v>
      </c>
      <c r="I924" s="337">
        <v>658</v>
      </c>
      <c r="J924" s="338">
        <v>658</v>
      </c>
      <c r="K924" s="339">
        <f t="shared" si="61"/>
        <v>0</v>
      </c>
      <c r="L924" s="343">
        <f>J924/I924*100</f>
        <v>100</v>
      </c>
      <c r="N924" s="344">
        <f t="shared" si="64"/>
        <v>0</v>
      </c>
    </row>
    <row r="925" spans="1:14" ht="12.75" customHeight="1">
      <c r="A925" s="326">
        <f t="shared" si="63"/>
        <v>924</v>
      </c>
      <c r="B925" s="533">
        <v>7500</v>
      </c>
      <c r="C925" s="472">
        <v>3322</v>
      </c>
      <c r="D925" s="472" t="s">
        <v>27</v>
      </c>
      <c r="E925" s="472">
        <v>5331</v>
      </c>
      <c r="F925" s="389" t="s">
        <v>337</v>
      </c>
      <c r="G925" s="336" t="s">
        <v>541</v>
      </c>
      <c r="H925" s="337">
        <v>0</v>
      </c>
      <c r="I925" s="337">
        <v>360</v>
      </c>
      <c r="J925" s="338">
        <v>360</v>
      </c>
      <c r="K925" s="339">
        <f t="shared" si="61"/>
        <v>0</v>
      </c>
      <c r="L925" s="343">
        <f>J925/I925*100</f>
        <v>100</v>
      </c>
      <c r="N925" s="344">
        <f t="shared" si="64"/>
        <v>0</v>
      </c>
    </row>
    <row r="926" spans="1:14" ht="12.75" customHeight="1">
      <c r="A926" s="326">
        <f t="shared" si="63"/>
        <v>925</v>
      </c>
      <c r="B926" s="533">
        <v>7500</v>
      </c>
      <c r="C926" s="472">
        <v>3322</v>
      </c>
      <c r="D926" s="472" t="s">
        <v>27</v>
      </c>
      <c r="E926" s="472">
        <v>5331</v>
      </c>
      <c r="F926" s="389" t="s">
        <v>337</v>
      </c>
      <c r="G926" s="336" t="s">
        <v>531</v>
      </c>
      <c r="H926" s="337">
        <v>0</v>
      </c>
      <c r="I926" s="337">
        <v>4349</v>
      </c>
      <c r="J926" s="338">
        <v>3947</v>
      </c>
      <c r="K926" s="339">
        <f t="shared" si="61"/>
        <v>-402</v>
      </c>
      <c r="L926" s="343">
        <f>J926/I926*100</f>
        <v>90.75649574614853</v>
      </c>
      <c r="N926" s="344">
        <f t="shared" si="64"/>
        <v>0</v>
      </c>
    </row>
    <row r="927" spans="1:14" ht="12.75" customHeight="1">
      <c r="A927" s="326">
        <f t="shared" si="63"/>
        <v>926</v>
      </c>
      <c r="B927" s="533">
        <v>7500</v>
      </c>
      <c r="C927" s="472">
        <v>3322</v>
      </c>
      <c r="D927" s="472" t="s">
        <v>27</v>
      </c>
      <c r="E927" s="472">
        <v>5339</v>
      </c>
      <c r="F927" s="389" t="s">
        <v>428</v>
      </c>
      <c r="G927" s="336"/>
      <c r="H927" s="337">
        <v>0</v>
      </c>
      <c r="I927" s="337">
        <v>250</v>
      </c>
      <c r="J927" s="338">
        <v>250</v>
      </c>
      <c r="K927" s="339">
        <f t="shared" si="61"/>
        <v>0</v>
      </c>
      <c r="L927" s="343">
        <f t="shared" si="62"/>
        <v>100</v>
      </c>
      <c r="N927" s="344">
        <f t="shared" si="64"/>
        <v>0</v>
      </c>
    </row>
    <row r="928" spans="1:14" ht="12.75" customHeight="1">
      <c r="A928" s="326">
        <f t="shared" si="63"/>
        <v>927</v>
      </c>
      <c r="B928" s="446"/>
      <c r="C928" s="447" t="s">
        <v>400</v>
      </c>
      <c r="D928" s="447"/>
      <c r="E928" s="447"/>
      <c r="F928" s="421"/>
      <c r="G928" s="422"/>
      <c r="H928" s="349">
        <f>SUBTOTAL(9,H919:H927)</f>
        <v>10210</v>
      </c>
      <c r="I928" s="349">
        <f>SUBTOTAL(9,I919:I927)</f>
        <v>7015</v>
      </c>
      <c r="J928" s="349">
        <f>SUBTOTAL(9,J919:J927)</f>
        <v>6437</v>
      </c>
      <c r="K928" s="450">
        <f t="shared" si="61"/>
        <v>-578</v>
      </c>
      <c r="L928" s="451">
        <f t="shared" si="62"/>
        <v>91.76051318602994</v>
      </c>
      <c r="N928" s="344">
        <f t="shared" si="64"/>
        <v>0</v>
      </c>
    </row>
    <row r="929" spans="1:14" ht="12.75" customHeight="1">
      <c r="A929" s="326">
        <f t="shared" si="63"/>
        <v>928</v>
      </c>
      <c r="B929" s="533">
        <v>7500</v>
      </c>
      <c r="C929" s="472">
        <v>6409</v>
      </c>
      <c r="D929" s="472" t="s">
        <v>281</v>
      </c>
      <c r="E929" s="472">
        <v>5321</v>
      </c>
      <c r="F929" s="389" t="s">
        <v>331</v>
      </c>
      <c r="G929" s="336"/>
      <c r="H929" s="337">
        <v>0</v>
      </c>
      <c r="I929" s="337">
        <v>600</v>
      </c>
      <c r="J929" s="338">
        <v>483</v>
      </c>
      <c r="K929" s="339">
        <f t="shared" si="61"/>
        <v>-117</v>
      </c>
      <c r="L929" s="343">
        <f t="shared" si="62"/>
        <v>80.5</v>
      </c>
      <c r="N929" s="344">
        <f t="shared" si="64"/>
        <v>0</v>
      </c>
    </row>
    <row r="930" spans="1:14" ht="12.75" customHeight="1">
      <c r="A930" s="326">
        <f t="shared" si="63"/>
        <v>929</v>
      </c>
      <c r="B930" s="446"/>
      <c r="C930" s="447" t="s">
        <v>333</v>
      </c>
      <c r="D930" s="447"/>
      <c r="E930" s="447"/>
      <c r="F930" s="421"/>
      <c r="G930" s="422"/>
      <c r="H930" s="349">
        <f>SUBTOTAL(9,H928:H929)</f>
        <v>0</v>
      </c>
      <c r="I930" s="349">
        <f>SUBTOTAL(9,I929)</f>
        <v>600</v>
      </c>
      <c r="J930" s="349">
        <f>SUBTOTAL(9,J929)</f>
        <v>483</v>
      </c>
      <c r="K930" s="450">
        <f t="shared" si="61"/>
        <v>-117</v>
      </c>
      <c r="L930" s="451">
        <f t="shared" si="62"/>
        <v>80.5</v>
      </c>
      <c r="N930" s="344">
        <f t="shared" si="64"/>
        <v>0</v>
      </c>
    </row>
    <row r="931" spans="1:14" ht="13.5" customHeight="1" thickBot="1">
      <c r="A931" s="326">
        <f t="shared" si="63"/>
        <v>930</v>
      </c>
      <c r="B931" s="366" t="s">
        <v>98</v>
      </c>
      <c r="C931" s="367"/>
      <c r="D931" s="367"/>
      <c r="E931" s="367"/>
      <c r="F931" s="367"/>
      <c r="G931" s="368"/>
      <c r="H931" s="369">
        <f>SUBTOTAL(9,H919:H930)</f>
        <v>10210</v>
      </c>
      <c r="I931" s="369">
        <f>SUBTOTAL(9,I919:I930)</f>
        <v>7615</v>
      </c>
      <c r="J931" s="587">
        <f>SUBTOTAL(9,J919:J930)</f>
        <v>6920</v>
      </c>
      <c r="K931" s="370">
        <f t="shared" si="61"/>
        <v>-695</v>
      </c>
      <c r="L931" s="371">
        <f t="shared" si="62"/>
        <v>90.87327642810243</v>
      </c>
      <c r="N931" s="344">
        <f t="shared" si="64"/>
        <v>0</v>
      </c>
    </row>
    <row r="932" spans="1:14" ht="12.75">
      <c r="A932" s="326">
        <f t="shared" si="63"/>
        <v>931</v>
      </c>
      <c r="B932" s="446"/>
      <c r="C932" s="447"/>
      <c r="D932" s="447"/>
      <c r="E932" s="447"/>
      <c r="F932" s="421"/>
      <c r="G932" s="422"/>
      <c r="H932" s="448">
        <v>0</v>
      </c>
      <c r="I932" s="448"/>
      <c r="J932" s="449"/>
      <c r="K932" s="450"/>
      <c r="L932" s="451"/>
      <c r="N932" s="344">
        <f t="shared" si="64"/>
        <v>0</v>
      </c>
    </row>
    <row r="933" spans="1:14" ht="15.75">
      <c r="A933" s="326">
        <f t="shared" si="63"/>
        <v>932</v>
      </c>
      <c r="B933" s="473" t="s">
        <v>30</v>
      </c>
      <c r="C933" s="588"/>
      <c r="D933" s="588"/>
      <c r="E933" s="259"/>
      <c r="F933" s="538"/>
      <c r="G933" s="539"/>
      <c r="H933" s="583">
        <v>0</v>
      </c>
      <c r="I933" s="583"/>
      <c r="J933" s="584"/>
      <c r="K933" s="585"/>
      <c r="L933" s="586"/>
      <c r="N933" s="344">
        <f t="shared" si="64"/>
        <v>0</v>
      </c>
    </row>
    <row r="934" spans="1:14" ht="12.75" customHeight="1">
      <c r="A934" s="326">
        <f t="shared" si="63"/>
        <v>933</v>
      </c>
      <c r="B934" s="387">
        <v>8200</v>
      </c>
      <c r="C934" s="259">
        <v>1014</v>
      </c>
      <c r="D934" s="356" t="s">
        <v>579</v>
      </c>
      <c r="E934" s="259">
        <v>5011</v>
      </c>
      <c r="F934" s="259" t="s">
        <v>350</v>
      </c>
      <c r="G934" s="420"/>
      <c r="H934" s="337">
        <v>6651</v>
      </c>
      <c r="I934" s="337">
        <v>6651</v>
      </c>
      <c r="J934" s="338">
        <v>6612</v>
      </c>
      <c r="K934" s="339">
        <f t="shared" si="61"/>
        <v>-39</v>
      </c>
      <c r="L934" s="343">
        <f t="shared" si="62"/>
        <v>99.41362201172757</v>
      </c>
      <c r="N934" s="344">
        <f t="shared" si="64"/>
        <v>0</v>
      </c>
    </row>
    <row r="935" spans="1:14" ht="12.75" customHeight="1">
      <c r="A935" s="326">
        <f t="shared" si="63"/>
        <v>934</v>
      </c>
      <c r="B935" s="387">
        <v>8200</v>
      </c>
      <c r="C935" s="259">
        <v>1014</v>
      </c>
      <c r="D935" s="356" t="s">
        <v>579</v>
      </c>
      <c r="E935" s="259">
        <v>5021</v>
      </c>
      <c r="F935" s="389" t="s">
        <v>352</v>
      </c>
      <c r="G935" s="420"/>
      <c r="H935" s="337">
        <v>20</v>
      </c>
      <c r="I935" s="337">
        <v>20</v>
      </c>
      <c r="J935" s="338">
        <v>0</v>
      </c>
      <c r="K935" s="339">
        <f t="shared" si="61"/>
        <v>-20</v>
      </c>
      <c r="L935" s="490">
        <f t="shared" si="62"/>
        <v>0</v>
      </c>
      <c r="N935" s="344">
        <f t="shared" si="64"/>
        <v>0</v>
      </c>
    </row>
    <row r="936" spans="1:14" ht="12.75" customHeight="1">
      <c r="A936" s="326">
        <f t="shared" si="63"/>
        <v>935</v>
      </c>
      <c r="B936" s="387">
        <v>8200</v>
      </c>
      <c r="C936" s="259">
        <v>1014</v>
      </c>
      <c r="D936" s="356" t="s">
        <v>579</v>
      </c>
      <c r="E936" s="259">
        <v>5029</v>
      </c>
      <c r="F936" s="389" t="s">
        <v>580</v>
      </c>
      <c r="G936" s="420"/>
      <c r="H936" s="337">
        <v>5</v>
      </c>
      <c r="I936" s="337">
        <v>5</v>
      </c>
      <c r="J936" s="338">
        <v>0</v>
      </c>
      <c r="K936" s="339">
        <f t="shared" si="61"/>
        <v>-5</v>
      </c>
      <c r="L936" s="490">
        <f t="shared" si="62"/>
        <v>0</v>
      </c>
      <c r="N936" s="344">
        <f t="shared" si="64"/>
        <v>0</v>
      </c>
    </row>
    <row r="937" spans="1:14" ht="12.75" customHeight="1">
      <c r="A937" s="326">
        <f t="shared" si="63"/>
        <v>936</v>
      </c>
      <c r="B937" s="387">
        <v>8200</v>
      </c>
      <c r="C937" s="259">
        <v>1014</v>
      </c>
      <c r="D937" s="356" t="s">
        <v>579</v>
      </c>
      <c r="E937" s="259">
        <v>5031</v>
      </c>
      <c r="F937" s="259" t="s">
        <v>353</v>
      </c>
      <c r="G937" s="336"/>
      <c r="H937" s="337">
        <v>1664</v>
      </c>
      <c r="I937" s="337">
        <v>1664</v>
      </c>
      <c r="J937" s="338">
        <v>1654</v>
      </c>
      <c r="K937" s="339">
        <f t="shared" si="61"/>
        <v>-10</v>
      </c>
      <c r="L937" s="343">
        <f t="shared" si="62"/>
        <v>99.39903846153845</v>
      </c>
      <c r="N937" s="344">
        <f t="shared" si="64"/>
        <v>0</v>
      </c>
    </row>
    <row r="938" spans="1:14" ht="12.75" customHeight="1">
      <c r="A938" s="326">
        <f t="shared" si="63"/>
        <v>937</v>
      </c>
      <c r="B938" s="387">
        <v>8200</v>
      </c>
      <c r="C938" s="259">
        <v>1014</v>
      </c>
      <c r="D938" s="356" t="s">
        <v>579</v>
      </c>
      <c r="E938" s="472">
        <v>5032</v>
      </c>
      <c r="F938" s="259" t="s">
        <v>354</v>
      </c>
      <c r="G938" s="336"/>
      <c r="H938" s="337">
        <v>600</v>
      </c>
      <c r="I938" s="337">
        <v>600</v>
      </c>
      <c r="J938" s="338">
        <v>595</v>
      </c>
      <c r="K938" s="339">
        <f t="shared" si="61"/>
        <v>-5</v>
      </c>
      <c r="L938" s="343">
        <f t="shared" si="62"/>
        <v>99.16666666666667</v>
      </c>
      <c r="N938" s="344">
        <f t="shared" si="64"/>
        <v>0</v>
      </c>
    </row>
    <row r="939" spans="1:14" ht="12.75" customHeight="1">
      <c r="A939" s="326">
        <f t="shared" si="63"/>
        <v>938</v>
      </c>
      <c r="B939" s="387">
        <v>8200</v>
      </c>
      <c r="C939" s="259">
        <v>1014</v>
      </c>
      <c r="D939" s="356" t="s">
        <v>579</v>
      </c>
      <c r="E939" s="472">
        <v>5131</v>
      </c>
      <c r="F939" s="259" t="s">
        <v>581</v>
      </c>
      <c r="G939" s="336"/>
      <c r="H939" s="337">
        <v>20</v>
      </c>
      <c r="I939" s="337">
        <v>20</v>
      </c>
      <c r="J939" s="338">
        <v>11</v>
      </c>
      <c r="K939" s="339">
        <f t="shared" si="61"/>
        <v>-9</v>
      </c>
      <c r="L939" s="343">
        <f t="shared" si="62"/>
        <v>55.00000000000001</v>
      </c>
      <c r="N939" s="344">
        <f t="shared" si="64"/>
        <v>0</v>
      </c>
    </row>
    <row r="940" spans="1:14" ht="12.75" customHeight="1">
      <c r="A940" s="326">
        <f t="shared" si="63"/>
        <v>939</v>
      </c>
      <c r="B940" s="387">
        <v>8200</v>
      </c>
      <c r="C940" s="259">
        <v>1014</v>
      </c>
      <c r="D940" s="356" t="s">
        <v>579</v>
      </c>
      <c r="E940" s="472">
        <v>5133</v>
      </c>
      <c r="F940" s="259" t="s">
        <v>378</v>
      </c>
      <c r="G940" s="336"/>
      <c r="H940" s="337">
        <v>1288</v>
      </c>
      <c r="I940" s="337">
        <v>1276</v>
      </c>
      <c r="J940" s="338">
        <v>821</v>
      </c>
      <c r="K940" s="339">
        <f t="shared" si="61"/>
        <v>-455</v>
      </c>
      <c r="L940" s="343">
        <f t="shared" si="62"/>
        <v>64.34169278996865</v>
      </c>
      <c r="N940" s="344">
        <f t="shared" si="64"/>
        <v>0</v>
      </c>
    </row>
    <row r="941" spans="1:14" ht="12.75" customHeight="1">
      <c r="A941" s="326">
        <f t="shared" si="63"/>
        <v>940</v>
      </c>
      <c r="B941" s="387">
        <v>8200</v>
      </c>
      <c r="C941" s="259">
        <v>1014</v>
      </c>
      <c r="D941" s="356" t="s">
        <v>579</v>
      </c>
      <c r="E941" s="472">
        <v>5133</v>
      </c>
      <c r="F941" s="259" t="s">
        <v>378</v>
      </c>
      <c r="G941" s="336" t="s">
        <v>582</v>
      </c>
      <c r="H941" s="337">
        <v>50</v>
      </c>
      <c r="I941" s="337">
        <v>50</v>
      </c>
      <c r="J941" s="338">
        <v>0</v>
      </c>
      <c r="K941" s="339">
        <f t="shared" si="61"/>
        <v>-50</v>
      </c>
      <c r="L941" s="490">
        <f t="shared" si="62"/>
        <v>0</v>
      </c>
      <c r="N941" s="344">
        <f t="shared" si="64"/>
        <v>0</v>
      </c>
    </row>
    <row r="942" spans="1:14" ht="12.75" customHeight="1">
      <c r="A942" s="326">
        <f t="shared" si="63"/>
        <v>941</v>
      </c>
      <c r="B942" s="387">
        <v>8200</v>
      </c>
      <c r="C942" s="259">
        <v>1014</v>
      </c>
      <c r="D942" s="356" t="s">
        <v>579</v>
      </c>
      <c r="E942" s="472">
        <v>5134</v>
      </c>
      <c r="F942" s="389" t="s">
        <v>379</v>
      </c>
      <c r="G942" s="420"/>
      <c r="H942" s="337">
        <v>130</v>
      </c>
      <c r="I942" s="337">
        <v>130</v>
      </c>
      <c r="J942" s="338">
        <v>88</v>
      </c>
      <c r="K942" s="339">
        <f t="shared" si="61"/>
        <v>-42</v>
      </c>
      <c r="L942" s="343">
        <f t="shared" si="62"/>
        <v>67.6923076923077</v>
      </c>
      <c r="N942" s="344">
        <f t="shared" si="64"/>
        <v>0</v>
      </c>
    </row>
    <row r="943" spans="1:14" ht="12.75" customHeight="1">
      <c r="A943" s="326">
        <f t="shared" si="63"/>
        <v>942</v>
      </c>
      <c r="B943" s="387">
        <v>8200</v>
      </c>
      <c r="C943" s="259">
        <v>1014</v>
      </c>
      <c r="D943" s="356" t="s">
        <v>579</v>
      </c>
      <c r="E943" s="472">
        <v>5136</v>
      </c>
      <c r="F943" s="389" t="s">
        <v>341</v>
      </c>
      <c r="G943" s="420"/>
      <c r="H943" s="337">
        <v>2</v>
      </c>
      <c r="I943" s="337">
        <v>2</v>
      </c>
      <c r="J943" s="338">
        <v>1</v>
      </c>
      <c r="K943" s="339">
        <f t="shared" si="61"/>
        <v>-1</v>
      </c>
      <c r="L943" s="343">
        <f t="shared" si="62"/>
        <v>50</v>
      </c>
      <c r="N943" s="344">
        <f t="shared" si="64"/>
        <v>0</v>
      </c>
    </row>
    <row r="944" spans="1:14" ht="12.75" customHeight="1">
      <c r="A944" s="326">
        <f t="shared" si="63"/>
        <v>943</v>
      </c>
      <c r="B944" s="387">
        <v>8200</v>
      </c>
      <c r="C944" s="259">
        <v>1014</v>
      </c>
      <c r="D944" s="356" t="s">
        <v>579</v>
      </c>
      <c r="E944" s="472">
        <v>5137</v>
      </c>
      <c r="F944" s="356" t="s">
        <v>346</v>
      </c>
      <c r="G944" s="419"/>
      <c r="H944" s="337">
        <v>90</v>
      </c>
      <c r="I944" s="337">
        <v>90</v>
      </c>
      <c r="J944" s="338">
        <v>83</v>
      </c>
      <c r="K944" s="339">
        <f t="shared" si="61"/>
        <v>-7</v>
      </c>
      <c r="L944" s="343">
        <f t="shared" si="62"/>
        <v>92.22222222222223</v>
      </c>
      <c r="N944" s="344">
        <f t="shared" si="64"/>
        <v>0</v>
      </c>
    </row>
    <row r="945" spans="1:14" ht="12.75" customHeight="1">
      <c r="A945" s="326">
        <f t="shared" si="63"/>
        <v>944</v>
      </c>
      <c r="B945" s="387">
        <v>8200</v>
      </c>
      <c r="C945" s="259">
        <v>1014</v>
      </c>
      <c r="D945" s="356" t="s">
        <v>579</v>
      </c>
      <c r="E945" s="472">
        <v>5139</v>
      </c>
      <c r="F945" s="259" t="s">
        <v>342</v>
      </c>
      <c r="G945" s="336"/>
      <c r="H945" s="337">
        <v>1159</v>
      </c>
      <c r="I945" s="337">
        <v>1159</v>
      </c>
      <c r="J945" s="338">
        <v>1101</v>
      </c>
      <c r="K945" s="339">
        <f t="shared" si="61"/>
        <v>-58</v>
      </c>
      <c r="L945" s="343">
        <f t="shared" si="62"/>
        <v>94.99568593615186</v>
      </c>
      <c r="N945" s="344">
        <f t="shared" si="64"/>
        <v>0</v>
      </c>
    </row>
    <row r="946" spans="1:14" ht="12.75" customHeight="1">
      <c r="A946" s="326">
        <f t="shared" si="63"/>
        <v>945</v>
      </c>
      <c r="B946" s="387">
        <v>8200</v>
      </c>
      <c r="C946" s="259">
        <v>1014</v>
      </c>
      <c r="D946" s="356" t="s">
        <v>579</v>
      </c>
      <c r="E946" s="472">
        <v>5139</v>
      </c>
      <c r="F946" s="259" t="s">
        <v>342</v>
      </c>
      <c r="G946" s="336" t="s">
        <v>582</v>
      </c>
      <c r="H946" s="337">
        <v>50</v>
      </c>
      <c r="I946" s="337">
        <v>50</v>
      </c>
      <c r="J946" s="338">
        <v>0</v>
      </c>
      <c r="K946" s="339">
        <f t="shared" si="61"/>
        <v>-50</v>
      </c>
      <c r="L946" s="490">
        <f t="shared" si="62"/>
        <v>0</v>
      </c>
      <c r="N946" s="344">
        <f t="shared" si="64"/>
        <v>0</v>
      </c>
    </row>
    <row r="947" spans="1:14" ht="12.75" customHeight="1">
      <c r="A947" s="326">
        <f t="shared" si="63"/>
        <v>946</v>
      </c>
      <c r="B947" s="387">
        <v>8200</v>
      </c>
      <c r="C947" s="259">
        <v>1014</v>
      </c>
      <c r="D947" s="356" t="s">
        <v>579</v>
      </c>
      <c r="E947" s="472">
        <v>5151</v>
      </c>
      <c r="F947" s="259" t="s">
        <v>451</v>
      </c>
      <c r="G947" s="420"/>
      <c r="H947" s="337">
        <v>160</v>
      </c>
      <c r="I947" s="337">
        <v>170</v>
      </c>
      <c r="J947" s="338">
        <v>166</v>
      </c>
      <c r="K947" s="339">
        <f t="shared" si="61"/>
        <v>-4</v>
      </c>
      <c r="L947" s="343">
        <f t="shared" si="62"/>
        <v>97.6470588235294</v>
      </c>
      <c r="N947" s="344">
        <f t="shared" si="64"/>
        <v>0</v>
      </c>
    </row>
    <row r="948" spans="1:14" ht="12.75" customHeight="1">
      <c r="A948" s="326">
        <f t="shared" si="63"/>
        <v>947</v>
      </c>
      <c r="B948" s="387">
        <v>8200</v>
      </c>
      <c r="C948" s="259">
        <v>1014</v>
      </c>
      <c r="D948" s="356" t="s">
        <v>579</v>
      </c>
      <c r="E948" s="472">
        <v>5153</v>
      </c>
      <c r="F948" s="389" t="s">
        <v>380</v>
      </c>
      <c r="G948" s="420"/>
      <c r="H948" s="337">
        <v>685</v>
      </c>
      <c r="I948" s="337">
        <v>675</v>
      </c>
      <c r="J948" s="338">
        <v>333</v>
      </c>
      <c r="K948" s="339">
        <f t="shared" si="61"/>
        <v>-342</v>
      </c>
      <c r="L948" s="343">
        <f t="shared" si="62"/>
        <v>49.333333333333336</v>
      </c>
      <c r="N948" s="344">
        <f t="shared" si="64"/>
        <v>0</v>
      </c>
    </row>
    <row r="949" spans="1:14" ht="12.75" customHeight="1">
      <c r="A949" s="326">
        <f t="shared" si="63"/>
        <v>948</v>
      </c>
      <c r="B949" s="387">
        <v>8200</v>
      </c>
      <c r="C949" s="259">
        <v>1014</v>
      </c>
      <c r="D949" s="356" t="s">
        <v>579</v>
      </c>
      <c r="E949" s="472">
        <v>5154</v>
      </c>
      <c r="F949" s="389" t="s">
        <v>347</v>
      </c>
      <c r="G949" s="420"/>
      <c r="H949" s="337">
        <v>485</v>
      </c>
      <c r="I949" s="337">
        <v>485</v>
      </c>
      <c r="J949" s="338">
        <v>219</v>
      </c>
      <c r="K949" s="339">
        <f t="shared" si="61"/>
        <v>-266</v>
      </c>
      <c r="L949" s="343">
        <f t="shared" si="62"/>
        <v>45.154639175257735</v>
      </c>
      <c r="N949" s="344">
        <f t="shared" si="64"/>
        <v>0</v>
      </c>
    </row>
    <row r="950" spans="1:14" ht="12.75" customHeight="1">
      <c r="A950" s="326">
        <f t="shared" si="63"/>
        <v>949</v>
      </c>
      <c r="B950" s="387">
        <v>8200</v>
      </c>
      <c r="C950" s="259">
        <v>1014</v>
      </c>
      <c r="D950" s="356" t="s">
        <v>579</v>
      </c>
      <c r="E950" s="472">
        <v>5156</v>
      </c>
      <c r="F950" s="389" t="s">
        <v>372</v>
      </c>
      <c r="G950" s="420"/>
      <c r="H950" s="337">
        <v>220</v>
      </c>
      <c r="I950" s="337">
        <v>220</v>
      </c>
      <c r="J950" s="338">
        <v>169</v>
      </c>
      <c r="K950" s="339">
        <f t="shared" si="61"/>
        <v>-51</v>
      </c>
      <c r="L950" s="343">
        <f t="shared" si="62"/>
        <v>76.81818181818181</v>
      </c>
      <c r="N950" s="344">
        <f t="shared" si="64"/>
        <v>0</v>
      </c>
    </row>
    <row r="951" spans="1:14" ht="12.75" customHeight="1">
      <c r="A951" s="326">
        <f t="shared" si="63"/>
        <v>950</v>
      </c>
      <c r="B951" s="387">
        <v>8200</v>
      </c>
      <c r="C951" s="259">
        <v>1014</v>
      </c>
      <c r="D951" s="356" t="s">
        <v>579</v>
      </c>
      <c r="E951" s="472">
        <v>5161</v>
      </c>
      <c r="F951" s="259" t="s">
        <v>381</v>
      </c>
      <c r="G951" s="420"/>
      <c r="H951" s="337">
        <v>2</v>
      </c>
      <c r="I951" s="337">
        <v>2</v>
      </c>
      <c r="J951" s="338">
        <v>0</v>
      </c>
      <c r="K951" s="339">
        <f t="shared" si="61"/>
        <v>-2</v>
      </c>
      <c r="L951" s="490">
        <f t="shared" si="62"/>
        <v>0</v>
      </c>
      <c r="N951" s="344">
        <f t="shared" si="64"/>
        <v>0</v>
      </c>
    </row>
    <row r="952" spans="1:14" ht="12.75" customHeight="1">
      <c r="A952" s="326">
        <f t="shared" si="63"/>
        <v>951</v>
      </c>
      <c r="B952" s="387">
        <v>8200</v>
      </c>
      <c r="C952" s="259">
        <v>1014</v>
      </c>
      <c r="D952" s="356" t="s">
        <v>579</v>
      </c>
      <c r="E952" s="472">
        <v>5162</v>
      </c>
      <c r="F952" s="259" t="s">
        <v>382</v>
      </c>
      <c r="G952" s="420"/>
      <c r="H952" s="337">
        <v>124</v>
      </c>
      <c r="I952" s="337">
        <v>124</v>
      </c>
      <c r="J952" s="338">
        <v>59</v>
      </c>
      <c r="K952" s="339">
        <f t="shared" si="61"/>
        <v>-65</v>
      </c>
      <c r="L952" s="343">
        <f t="shared" si="62"/>
        <v>47.58064516129033</v>
      </c>
      <c r="N952" s="344">
        <f t="shared" si="64"/>
        <v>0</v>
      </c>
    </row>
    <row r="953" spans="1:14" ht="12.75" customHeight="1">
      <c r="A953" s="326">
        <f t="shared" si="63"/>
        <v>952</v>
      </c>
      <c r="B953" s="387">
        <v>8200</v>
      </c>
      <c r="C953" s="259">
        <v>1014</v>
      </c>
      <c r="D953" s="356" t="s">
        <v>579</v>
      </c>
      <c r="E953" s="472">
        <v>5163</v>
      </c>
      <c r="F953" s="389" t="s">
        <v>323</v>
      </c>
      <c r="G953" s="420"/>
      <c r="H953" s="337">
        <v>50</v>
      </c>
      <c r="I953" s="337">
        <v>50</v>
      </c>
      <c r="J953" s="338">
        <v>31</v>
      </c>
      <c r="K953" s="339">
        <f t="shared" si="61"/>
        <v>-19</v>
      </c>
      <c r="L953" s="343">
        <f t="shared" si="62"/>
        <v>62</v>
      </c>
      <c r="N953" s="344">
        <f t="shared" si="64"/>
        <v>0</v>
      </c>
    </row>
    <row r="954" spans="1:14" ht="12.75" customHeight="1">
      <c r="A954" s="326">
        <f t="shared" si="63"/>
        <v>953</v>
      </c>
      <c r="B954" s="387">
        <v>8200</v>
      </c>
      <c r="C954" s="259">
        <v>1014</v>
      </c>
      <c r="D954" s="356" t="s">
        <v>579</v>
      </c>
      <c r="E954" s="472">
        <v>5164</v>
      </c>
      <c r="F954" s="389" t="s">
        <v>348</v>
      </c>
      <c r="G954" s="420"/>
      <c r="H954" s="337">
        <v>32</v>
      </c>
      <c r="I954" s="337">
        <v>32</v>
      </c>
      <c r="J954" s="338">
        <v>21</v>
      </c>
      <c r="K954" s="339">
        <f t="shared" si="61"/>
        <v>-11</v>
      </c>
      <c r="L954" s="343">
        <f t="shared" si="62"/>
        <v>65.625</v>
      </c>
      <c r="N954" s="344">
        <f t="shared" si="64"/>
        <v>0</v>
      </c>
    </row>
    <row r="955" spans="1:14" ht="12.75" customHeight="1">
      <c r="A955" s="326">
        <f t="shared" si="63"/>
        <v>954</v>
      </c>
      <c r="B955" s="387">
        <v>8200</v>
      </c>
      <c r="C955" s="259">
        <v>1014</v>
      </c>
      <c r="D955" s="356" t="s">
        <v>579</v>
      </c>
      <c r="E955" s="472">
        <v>5167</v>
      </c>
      <c r="F955" s="389" t="s">
        <v>383</v>
      </c>
      <c r="G955" s="420"/>
      <c r="H955" s="337">
        <v>13</v>
      </c>
      <c r="I955" s="337">
        <v>25</v>
      </c>
      <c r="J955" s="338">
        <v>25</v>
      </c>
      <c r="K955" s="339">
        <f t="shared" si="61"/>
        <v>0</v>
      </c>
      <c r="L955" s="343">
        <f t="shared" si="62"/>
        <v>100</v>
      </c>
      <c r="N955" s="344">
        <f t="shared" si="64"/>
        <v>0</v>
      </c>
    </row>
    <row r="956" spans="1:14" ht="12.75" customHeight="1">
      <c r="A956" s="326">
        <f t="shared" si="63"/>
        <v>955</v>
      </c>
      <c r="B956" s="387">
        <v>8200</v>
      </c>
      <c r="C956" s="259">
        <v>1014</v>
      </c>
      <c r="D956" s="356" t="s">
        <v>579</v>
      </c>
      <c r="E956" s="472">
        <v>5169</v>
      </c>
      <c r="F956" s="259" t="s">
        <v>316</v>
      </c>
      <c r="G956" s="336"/>
      <c r="H956" s="337">
        <v>1671</v>
      </c>
      <c r="I956" s="337">
        <v>1671</v>
      </c>
      <c r="J956" s="338">
        <v>1143</v>
      </c>
      <c r="K956" s="339">
        <f t="shared" si="61"/>
        <v>-528</v>
      </c>
      <c r="L956" s="343">
        <f t="shared" si="62"/>
        <v>68.40215439856372</v>
      </c>
      <c r="N956" s="344">
        <f t="shared" si="64"/>
        <v>0</v>
      </c>
    </row>
    <row r="957" spans="1:14" ht="12.75" customHeight="1">
      <c r="A957" s="326">
        <f t="shared" si="63"/>
        <v>956</v>
      </c>
      <c r="B957" s="387">
        <v>8200</v>
      </c>
      <c r="C957" s="259">
        <v>1014</v>
      </c>
      <c r="D957" s="356" t="s">
        <v>579</v>
      </c>
      <c r="E957" s="472">
        <v>5169</v>
      </c>
      <c r="F957" s="259" t="s">
        <v>316</v>
      </c>
      <c r="G957" s="420" t="s">
        <v>360</v>
      </c>
      <c r="H957" s="337">
        <v>67</v>
      </c>
      <c r="I957" s="337">
        <v>67</v>
      </c>
      <c r="J957" s="338">
        <v>63</v>
      </c>
      <c r="K957" s="339">
        <f t="shared" si="61"/>
        <v>-4</v>
      </c>
      <c r="L957" s="343">
        <f t="shared" si="62"/>
        <v>94.02985074626866</v>
      </c>
      <c r="N957" s="344">
        <f t="shared" si="64"/>
        <v>0</v>
      </c>
    </row>
    <row r="958" spans="1:14" ht="12.75" customHeight="1">
      <c r="A958" s="326">
        <f t="shared" si="63"/>
        <v>957</v>
      </c>
      <c r="B958" s="387">
        <v>8200</v>
      </c>
      <c r="C958" s="259">
        <v>1014</v>
      </c>
      <c r="D958" s="356" t="s">
        <v>579</v>
      </c>
      <c r="E958" s="472">
        <v>5171</v>
      </c>
      <c r="F958" s="389" t="s">
        <v>384</v>
      </c>
      <c r="G958" s="420"/>
      <c r="H958" s="337">
        <v>382</v>
      </c>
      <c r="I958" s="337">
        <v>382</v>
      </c>
      <c r="J958" s="338">
        <v>204</v>
      </c>
      <c r="K958" s="339">
        <f t="shared" si="61"/>
        <v>-178</v>
      </c>
      <c r="L958" s="343">
        <f t="shared" si="62"/>
        <v>53.403141361256544</v>
      </c>
      <c r="N958" s="344">
        <f t="shared" si="64"/>
        <v>0</v>
      </c>
    </row>
    <row r="959" spans="1:14" ht="12.75" customHeight="1">
      <c r="A959" s="326">
        <f t="shared" si="63"/>
        <v>958</v>
      </c>
      <c r="B959" s="387">
        <v>8200</v>
      </c>
      <c r="C959" s="259">
        <v>1014</v>
      </c>
      <c r="D959" s="356" t="s">
        <v>579</v>
      </c>
      <c r="E959" s="472">
        <v>5175</v>
      </c>
      <c r="F959" s="389" t="s">
        <v>334</v>
      </c>
      <c r="G959" s="420"/>
      <c r="H959" s="337">
        <v>1</v>
      </c>
      <c r="I959" s="337">
        <v>1</v>
      </c>
      <c r="J959" s="338">
        <v>0</v>
      </c>
      <c r="K959" s="339">
        <f t="shared" si="61"/>
        <v>-1</v>
      </c>
      <c r="L959" s="490">
        <f t="shared" si="62"/>
        <v>0</v>
      </c>
      <c r="N959" s="344">
        <f t="shared" si="64"/>
        <v>0</v>
      </c>
    </row>
    <row r="960" spans="1:14" ht="12.75" customHeight="1">
      <c r="A960" s="326">
        <f t="shared" si="63"/>
        <v>959</v>
      </c>
      <c r="B960" s="387">
        <v>8200</v>
      </c>
      <c r="C960" s="259">
        <v>1014</v>
      </c>
      <c r="D960" s="356" t="s">
        <v>579</v>
      </c>
      <c r="E960" s="472">
        <v>5179</v>
      </c>
      <c r="F960" s="389" t="s">
        <v>386</v>
      </c>
      <c r="G960" s="420"/>
      <c r="H960" s="337">
        <v>16</v>
      </c>
      <c r="I960" s="337">
        <v>16</v>
      </c>
      <c r="J960" s="338">
        <v>0</v>
      </c>
      <c r="K960" s="339">
        <f t="shared" si="61"/>
        <v>-16</v>
      </c>
      <c r="L960" s="490">
        <f t="shared" si="62"/>
        <v>0</v>
      </c>
      <c r="N960" s="344">
        <f t="shared" si="64"/>
        <v>0</v>
      </c>
    </row>
    <row r="961" spans="1:14" ht="12.75" customHeight="1">
      <c r="A961" s="326">
        <f t="shared" si="63"/>
        <v>960</v>
      </c>
      <c r="B961" s="387">
        <v>8200</v>
      </c>
      <c r="C961" s="259">
        <v>1014</v>
      </c>
      <c r="D961" s="356" t="s">
        <v>579</v>
      </c>
      <c r="E961" s="472">
        <v>5179</v>
      </c>
      <c r="F961" s="389" t="s">
        <v>386</v>
      </c>
      <c r="G961" s="420" t="s">
        <v>360</v>
      </c>
      <c r="H961" s="337">
        <v>14</v>
      </c>
      <c r="I961" s="337">
        <v>14</v>
      </c>
      <c r="J961" s="338">
        <v>13</v>
      </c>
      <c r="K961" s="339">
        <f t="shared" si="61"/>
        <v>-1</v>
      </c>
      <c r="L961" s="343">
        <f t="shared" si="62"/>
        <v>92.85714285714286</v>
      </c>
      <c r="N961" s="344">
        <f t="shared" si="64"/>
        <v>0</v>
      </c>
    </row>
    <row r="962" spans="1:14" ht="12.75" customHeight="1">
      <c r="A962" s="326">
        <f t="shared" si="63"/>
        <v>961</v>
      </c>
      <c r="B962" s="387">
        <v>8200</v>
      </c>
      <c r="C962" s="259">
        <v>1014</v>
      </c>
      <c r="D962" s="356" t="s">
        <v>579</v>
      </c>
      <c r="E962" s="472">
        <v>5192</v>
      </c>
      <c r="F962" s="389" t="s">
        <v>335</v>
      </c>
      <c r="G962" s="420"/>
      <c r="H962" s="337">
        <v>30</v>
      </c>
      <c r="I962" s="337">
        <v>30</v>
      </c>
      <c r="J962" s="338">
        <v>4</v>
      </c>
      <c r="K962" s="339">
        <f t="shared" si="61"/>
        <v>-26</v>
      </c>
      <c r="L962" s="343">
        <f t="shared" si="62"/>
        <v>13.333333333333334</v>
      </c>
      <c r="N962" s="344">
        <f t="shared" si="64"/>
        <v>0</v>
      </c>
    </row>
    <row r="963" spans="1:14" ht="12.75" customHeight="1">
      <c r="A963" s="326">
        <f t="shared" si="63"/>
        <v>962</v>
      </c>
      <c r="B963" s="387">
        <v>8200</v>
      </c>
      <c r="C963" s="259">
        <v>1014</v>
      </c>
      <c r="D963" s="356" t="s">
        <v>579</v>
      </c>
      <c r="E963" s="259">
        <v>5424</v>
      </c>
      <c r="F963" s="259" t="s">
        <v>389</v>
      </c>
      <c r="G963" s="420"/>
      <c r="H963" s="337">
        <v>96</v>
      </c>
      <c r="I963" s="337">
        <v>96</v>
      </c>
      <c r="J963" s="338">
        <v>14</v>
      </c>
      <c r="K963" s="339">
        <f t="shared" si="61"/>
        <v>-82</v>
      </c>
      <c r="L963" s="343">
        <f t="shared" si="62"/>
        <v>14.583333333333334</v>
      </c>
      <c r="N963" s="344">
        <f t="shared" si="64"/>
        <v>0</v>
      </c>
    </row>
    <row r="964" spans="1:14" ht="12.75" customHeight="1">
      <c r="A964" s="326">
        <f aca="true" t="shared" si="65" ref="A964:A1027">A963+1</f>
        <v>963</v>
      </c>
      <c r="B964" s="387">
        <v>8200</v>
      </c>
      <c r="C964" s="259">
        <v>1014</v>
      </c>
      <c r="D964" s="356" t="s">
        <v>579</v>
      </c>
      <c r="E964" s="472">
        <v>5499</v>
      </c>
      <c r="F964" s="259" t="s">
        <v>391</v>
      </c>
      <c r="G964" s="420" t="s">
        <v>360</v>
      </c>
      <c r="H964" s="337">
        <v>234</v>
      </c>
      <c r="I964" s="337">
        <v>251</v>
      </c>
      <c r="J964" s="338">
        <v>194</v>
      </c>
      <c r="K964" s="339">
        <f t="shared" si="61"/>
        <v>-57</v>
      </c>
      <c r="L964" s="343">
        <f t="shared" si="62"/>
        <v>77.29083665338645</v>
      </c>
      <c r="N964" s="344">
        <f aca="true" t="shared" si="66" ref="N964:N1027">I964-J964+K964</f>
        <v>0</v>
      </c>
    </row>
    <row r="965" spans="1:14" ht="12.75" customHeight="1">
      <c r="A965" s="326">
        <f t="shared" si="65"/>
        <v>964</v>
      </c>
      <c r="B965" s="391"/>
      <c r="C965" s="347" t="s">
        <v>411</v>
      </c>
      <c r="D965" s="589"/>
      <c r="E965" s="447"/>
      <c r="F965" s="421"/>
      <c r="G965" s="422"/>
      <c r="H965" s="349">
        <f>SUBTOTAL(9,H934:H964)</f>
        <v>16011</v>
      </c>
      <c r="I965" s="349">
        <f>SUBTOTAL(9,I934:I964)</f>
        <v>16028</v>
      </c>
      <c r="J965" s="349">
        <f>SUBTOTAL(9,J934:J964)</f>
        <v>13624</v>
      </c>
      <c r="K965" s="456">
        <f t="shared" si="61"/>
        <v>-2404</v>
      </c>
      <c r="L965" s="457">
        <f t="shared" si="62"/>
        <v>85.00124781632144</v>
      </c>
      <c r="N965" s="344">
        <f t="shared" si="66"/>
        <v>0</v>
      </c>
    </row>
    <row r="966" spans="1:14" ht="12.75" customHeight="1">
      <c r="A966" s="326">
        <f t="shared" si="65"/>
        <v>965</v>
      </c>
      <c r="B966" s="533">
        <v>8200</v>
      </c>
      <c r="C966" s="472">
        <v>5311</v>
      </c>
      <c r="D966" s="472" t="s">
        <v>88</v>
      </c>
      <c r="E966" s="472">
        <v>5011</v>
      </c>
      <c r="F966" s="259" t="s">
        <v>350</v>
      </c>
      <c r="G966" s="420"/>
      <c r="H966" s="337">
        <v>201147</v>
      </c>
      <c r="I966" s="337">
        <v>201530</v>
      </c>
      <c r="J966" s="338">
        <v>200400</v>
      </c>
      <c r="K966" s="339">
        <f t="shared" si="61"/>
        <v>-1130</v>
      </c>
      <c r="L966" s="343">
        <f t="shared" si="62"/>
        <v>99.43928943581601</v>
      </c>
      <c r="N966" s="344">
        <f t="shared" si="66"/>
        <v>0</v>
      </c>
    </row>
    <row r="967" spans="1:14" ht="12.75" customHeight="1">
      <c r="A967" s="326">
        <f t="shared" si="65"/>
        <v>966</v>
      </c>
      <c r="B967" s="533">
        <v>8200</v>
      </c>
      <c r="C967" s="472">
        <v>5311</v>
      </c>
      <c r="D967" s="472" t="s">
        <v>88</v>
      </c>
      <c r="E967" s="472">
        <v>5011</v>
      </c>
      <c r="F967" s="259" t="s">
        <v>350</v>
      </c>
      <c r="G967" s="420" t="s">
        <v>360</v>
      </c>
      <c r="H967" s="337">
        <v>200</v>
      </c>
      <c r="I967" s="337">
        <v>200</v>
      </c>
      <c r="J967" s="338">
        <v>200</v>
      </c>
      <c r="K967" s="339">
        <f t="shared" si="61"/>
        <v>0</v>
      </c>
      <c r="L967" s="343">
        <f t="shared" si="62"/>
        <v>100</v>
      </c>
      <c r="N967" s="344">
        <f t="shared" si="66"/>
        <v>0</v>
      </c>
    </row>
    <row r="968" spans="1:14" ht="12.75" customHeight="1">
      <c r="A968" s="326">
        <f t="shared" si="65"/>
        <v>967</v>
      </c>
      <c r="B968" s="533">
        <v>8200</v>
      </c>
      <c r="C968" s="472">
        <v>5311</v>
      </c>
      <c r="D968" s="472" t="s">
        <v>88</v>
      </c>
      <c r="E968" s="472">
        <v>5021</v>
      </c>
      <c r="F968" s="389" t="s">
        <v>352</v>
      </c>
      <c r="G968" s="420"/>
      <c r="H968" s="337">
        <v>650</v>
      </c>
      <c r="I968" s="337">
        <v>650</v>
      </c>
      <c r="J968" s="338">
        <v>493</v>
      </c>
      <c r="K968" s="339">
        <f t="shared" si="61"/>
        <v>-157</v>
      </c>
      <c r="L968" s="343">
        <f t="shared" si="62"/>
        <v>75.84615384615384</v>
      </c>
      <c r="N968" s="344">
        <f t="shared" si="66"/>
        <v>0</v>
      </c>
    </row>
    <row r="969" spans="1:14" ht="12.75" customHeight="1">
      <c r="A969" s="326">
        <f t="shared" si="65"/>
        <v>968</v>
      </c>
      <c r="B969" s="533">
        <v>8200</v>
      </c>
      <c r="C969" s="472">
        <v>5311</v>
      </c>
      <c r="D969" s="472" t="s">
        <v>88</v>
      </c>
      <c r="E969" s="472">
        <v>5024</v>
      </c>
      <c r="F969" s="389" t="s">
        <v>375</v>
      </c>
      <c r="G969" s="420"/>
      <c r="H969" s="337">
        <v>60</v>
      </c>
      <c r="I969" s="337">
        <v>1485</v>
      </c>
      <c r="J969" s="338">
        <v>1469</v>
      </c>
      <c r="K969" s="339">
        <f aca="true" t="shared" si="67" ref="K969:K1032">J969-I969</f>
        <v>-16</v>
      </c>
      <c r="L969" s="343">
        <f aca="true" t="shared" si="68" ref="L969:L1032">J969/I969*100</f>
        <v>98.92255892255892</v>
      </c>
      <c r="N969" s="344">
        <f t="shared" si="66"/>
        <v>0</v>
      </c>
    </row>
    <row r="970" spans="1:14" ht="12.75" customHeight="1">
      <c r="A970" s="326">
        <f t="shared" si="65"/>
        <v>969</v>
      </c>
      <c r="B970" s="533">
        <v>8200</v>
      </c>
      <c r="C970" s="472">
        <v>5311</v>
      </c>
      <c r="D970" s="472" t="s">
        <v>88</v>
      </c>
      <c r="E970" s="472">
        <v>5031</v>
      </c>
      <c r="F970" s="259" t="s">
        <v>353</v>
      </c>
      <c r="G970" s="336"/>
      <c r="H970" s="337">
        <v>50386</v>
      </c>
      <c r="I970" s="337">
        <v>50386</v>
      </c>
      <c r="J970" s="338">
        <v>50202</v>
      </c>
      <c r="K970" s="339">
        <f t="shared" si="67"/>
        <v>-184</v>
      </c>
      <c r="L970" s="343">
        <f t="shared" si="68"/>
        <v>99.63481919580836</v>
      </c>
      <c r="N970" s="344">
        <f t="shared" si="66"/>
        <v>0</v>
      </c>
    </row>
    <row r="971" spans="1:14" ht="12.75" customHeight="1">
      <c r="A971" s="326">
        <f t="shared" si="65"/>
        <v>970</v>
      </c>
      <c r="B971" s="533">
        <v>8200</v>
      </c>
      <c r="C971" s="472">
        <v>5311</v>
      </c>
      <c r="D971" s="472" t="s">
        <v>88</v>
      </c>
      <c r="E971" s="472">
        <v>5031</v>
      </c>
      <c r="F971" s="259" t="s">
        <v>353</v>
      </c>
      <c r="G971" s="336" t="s">
        <v>360</v>
      </c>
      <c r="H971" s="337">
        <v>52</v>
      </c>
      <c r="I971" s="337">
        <v>52</v>
      </c>
      <c r="J971" s="338">
        <v>52</v>
      </c>
      <c r="K971" s="339">
        <f t="shared" si="67"/>
        <v>0</v>
      </c>
      <c r="L971" s="343">
        <f t="shared" si="68"/>
        <v>100</v>
      </c>
      <c r="N971" s="344">
        <f t="shared" si="66"/>
        <v>0</v>
      </c>
    </row>
    <row r="972" spans="1:14" ht="12.75" customHeight="1">
      <c r="A972" s="326">
        <f t="shared" si="65"/>
        <v>971</v>
      </c>
      <c r="B972" s="533">
        <v>8200</v>
      </c>
      <c r="C972" s="472">
        <v>5311</v>
      </c>
      <c r="D972" s="472" t="s">
        <v>88</v>
      </c>
      <c r="E972" s="472">
        <v>5032</v>
      </c>
      <c r="F972" s="259" t="s">
        <v>354</v>
      </c>
      <c r="G972" s="336"/>
      <c r="H972" s="337">
        <v>18204</v>
      </c>
      <c r="I972" s="337">
        <v>18204</v>
      </c>
      <c r="J972" s="338">
        <v>18071</v>
      </c>
      <c r="K972" s="339">
        <f t="shared" si="67"/>
        <v>-133</v>
      </c>
      <c r="L972" s="343">
        <f t="shared" si="68"/>
        <v>99.26939134256207</v>
      </c>
      <c r="N972" s="344">
        <f t="shared" si="66"/>
        <v>0</v>
      </c>
    </row>
    <row r="973" spans="1:14" ht="12.75" customHeight="1">
      <c r="A973" s="326">
        <f t="shared" si="65"/>
        <v>972</v>
      </c>
      <c r="B973" s="533">
        <v>8200</v>
      </c>
      <c r="C973" s="472">
        <v>5311</v>
      </c>
      <c r="D973" s="472" t="s">
        <v>88</v>
      </c>
      <c r="E973" s="472">
        <v>5032</v>
      </c>
      <c r="F973" s="259" t="s">
        <v>354</v>
      </c>
      <c r="G973" s="336" t="s">
        <v>360</v>
      </c>
      <c r="H973" s="337">
        <v>18</v>
      </c>
      <c r="I973" s="337">
        <v>18</v>
      </c>
      <c r="J973" s="338">
        <v>18</v>
      </c>
      <c r="K973" s="339">
        <f t="shared" si="67"/>
        <v>0</v>
      </c>
      <c r="L973" s="343">
        <f t="shared" si="68"/>
        <v>100</v>
      </c>
      <c r="N973" s="344">
        <f t="shared" si="66"/>
        <v>0</v>
      </c>
    </row>
    <row r="974" spans="1:14" ht="12.75" customHeight="1">
      <c r="A974" s="326">
        <f t="shared" si="65"/>
        <v>973</v>
      </c>
      <c r="B974" s="533">
        <v>8200</v>
      </c>
      <c r="C974" s="472">
        <v>5311</v>
      </c>
      <c r="D974" s="472" t="s">
        <v>88</v>
      </c>
      <c r="E974" s="472">
        <v>5131</v>
      </c>
      <c r="F974" s="259" t="s">
        <v>581</v>
      </c>
      <c r="G974" s="336"/>
      <c r="H974" s="337">
        <v>270</v>
      </c>
      <c r="I974" s="337">
        <v>270</v>
      </c>
      <c r="J974" s="338">
        <v>224</v>
      </c>
      <c r="K974" s="339">
        <f t="shared" si="67"/>
        <v>-46</v>
      </c>
      <c r="L974" s="343">
        <f t="shared" si="68"/>
        <v>82.96296296296296</v>
      </c>
      <c r="N974" s="344">
        <f t="shared" si="66"/>
        <v>0</v>
      </c>
    </row>
    <row r="975" spans="1:14" ht="12.75" customHeight="1">
      <c r="A975" s="326">
        <f t="shared" si="65"/>
        <v>974</v>
      </c>
      <c r="B975" s="533">
        <v>8200</v>
      </c>
      <c r="C975" s="472">
        <v>5311</v>
      </c>
      <c r="D975" s="472" t="s">
        <v>88</v>
      </c>
      <c r="E975" s="472">
        <v>5133</v>
      </c>
      <c r="F975" s="259" t="s">
        <v>378</v>
      </c>
      <c r="G975" s="336"/>
      <c r="H975" s="337">
        <v>100</v>
      </c>
      <c r="I975" s="337">
        <v>105</v>
      </c>
      <c r="J975" s="338">
        <v>103</v>
      </c>
      <c r="K975" s="339">
        <f t="shared" si="67"/>
        <v>-2</v>
      </c>
      <c r="L975" s="343">
        <f t="shared" si="68"/>
        <v>98.09523809523809</v>
      </c>
      <c r="N975" s="344">
        <f t="shared" si="66"/>
        <v>0</v>
      </c>
    </row>
    <row r="976" spans="1:14" ht="12.75" customHeight="1">
      <c r="A976" s="326">
        <f t="shared" si="65"/>
        <v>975</v>
      </c>
      <c r="B976" s="533">
        <v>8200</v>
      </c>
      <c r="C976" s="472">
        <v>5311</v>
      </c>
      <c r="D976" s="472" t="s">
        <v>88</v>
      </c>
      <c r="E976" s="472">
        <v>5134</v>
      </c>
      <c r="F976" s="389" t="s">
        <v>379</v>
      </c>
      <c r="G976" s="420"/>
      <c r="H976" s="337">
        <v>4406</v>
      </c>
      <c r="I976" s="337">
        <v>4406</v>
      </c>
      <c r="J976" s="338">
        <v>3260</v>
      </c>
      <c r="K976" s="339">
        <f t="shared" si="67"/>
        <v>-1146</v>
      </c>
      <c r="L976" s="343">
        <f t="shared" si="68"/>
        <v>73.99001361779392</v>
      </c>
      <c r="N976" s="344">
        <f t="shared" si="66"/>
        <v>0</v>
      </c>
    </row>
    <row r="977" spans="1:14" ht="12.75" customHeight="1">
      <c r="A977" s="326">
        <f t="shared" si="65"/>
        <v>976</v>
      </c>
      <c r="B977" s="533">
        <v>8200</v>
      </c>
      <c r="C977" s="472">
        <v>5311</v>
      </c>
      <c r="D977" s="472" t="s">
        <v>88</v>
      </c>
      <c r="E977" s="472">
        <v>5136</v>
      </c>
      <c r="F977" s="389" t="s">
        <v>341</v>
      </c>
      <c r="G977" s="420"/>
      <c r="H977" s="337">
        <v>146</v>
      </c>
      <c r="I977" s="337">
        <v>146</v>
      </c>
      <c r="J977" s="338">
        <v>92</v>
      </c>
      <c r="K977" s="339">
        <f t="shared" si="67"/>
        <v>-54</v>
      </c>
      <c r="L977" s="343">
        <f t="shared" si="68"/>
        <v>63.013698630136986</v>
      </c>
      <c r="N977" s="344">
        <f t="shared" si="66"/>
        <v>0</v>
      </c>
    </row>
    <row r="978" spans="1:14" ht="12.75" customHeight="1">
      <c r="A978" s="326">
        <f t="shared" si="65"/>
        <v>977</v>
      </c>
      <c r="B978" s="533">
        <v>8200</v>
      </c>
      <c r="C978" s="472">
        <v>5311</v>
      </c>
      <c r="D978" s="472" t="s">
        <v>88</v>
      </c>
      <c r="E978" s="472">
        <v>5137</v>
      </c>
      <c r="F978" s="356" t="s">
        <v>346</v>
      </c>
      <c r="G978" s="419"/>
      <c r="H978" s="337">
        <v>3464</v>
      </c>
      <c r="I978" s="337">
        <v>4314</v>
      </c>
      <c r="J978" s="338">
        <v>3814</v>
      </c>
      <c r="K978" s="339">
        <f t="shared" si="67"/>
        <v>-500</v>
      </c>
      <c r="L978" s="343">
        <f t="shared" si="68"/>
        <v>88.40982846546129</v>
      </c>
      <c r="N978" s="344">
        <f t="shared" si="66"/>
        <v>0</v>
      </c>
    </row>
    <row r="979" spans="1:14" ht="12.75" customHeight="1">
      <c r="A979" s="326">
        <f t="shared" si="65"/>
        <v>978</v>
      </c>
      <c r="B979" s="533">
        <v>8200</v>
      </c>
      <c r="C979" s="472">
        <v>5311</v>
      </c>
      <c r="D979" s="472" t="s">
        <v>88</v>
      </c>
      <c r="E979" s="472">
        <v>5137</v>
      </c>
      <c r="F979" s="356" t="s">
        <v>346</v>
      </c>
      <c r="G979" s="419" t="s">
        <v>360</v>
      </c>
      <c r="H979" s="337">
        <v>30</v>
      </c>
      <c r="I979" s="337">
        <v>253</v>
      </c>
      <c r="J979" s="338">
        <v>208</v>
      </c>
      <c r="K979" s="339">
        <f t="shared" si="67"/>
        <v>-45</v>
      </c>
      <c r="L979" s="343">
        <f t="shared" si="68"/>
        <v>82.21343873517787</v>
      </c>
      <c r="N979" s="344">
        <f t="shared" si="66"/>
        <v>0</v>
      </c>
    </row>
    <row r="980" spans="1:14" ht="12.75" customHeight="1">
      <c r="A980" s="326">
        <f t="shared" si="65"/>
        <v>979</v>
      </c>
      <c r="B980" s="533">
        <v>8200</v>
      </c>
      <c r="C980" s="472">
        <v>5311</v>
      </c>
      <c r="D980" s="472" t="s">
        <v>88</v>
      </c>
      <c r="E980" s="472">
        <v>5139</v>
      </c>
      <c r="F980" s="259" t="s">
        <v>342</v>
      </c>
      <c r="G980" s="336"/>
      <c r="H980" s="337">
        <v>4879</v>
      </c>
      <c r="I980" s="337">
        <v>3699</v>
      </c>
      <c r="J980" s="338">
        <v>3547</v>
      </c>
      <c r="K980" s="339">
        <f t="shared" si="67"/>
        <v>-152</v>
      </c>
      <c r="L980" s="343">
        <f t="shared" si="68"/>
        <v>95.89078129224114</v>
      </c>
      <c r="N980" s="344">
        <f t="shared" si="66"/>
        <v>0</v>
      </c>
    </row>
    <row r="981" spans="1:14" ht="12.75" customHeight="1">
      <c r="A981" s="326">
        <f t="shared" si="65"/>
        <v>980</v>
      </c>
      <c r="B981" s="533">
        <v>8200</v>
      </c>
      <c r="C981" s="472">
        <v>5311</v>
      </c>
      <c r="D981" s="472" t="s">
        <v>88</v>
      </c>
      <c r="E981" s="472">
        <v>5139</v>
      </c>
      <c r="F981" s="259" t="s">
        <v>342</v>
      </c>
      <c r="G981" s="336" t="s">
        <v>360</v>
      </c>
      <c r="H981" s="337">
        <v>47</v>
      </c>
      <c r="I981" s="337">
        <v>50</v>
      </c>
      <c r="J981" s="338">
        <v>23</v>
      </c>
      <c r="K981" s="339">
        <f t="shared" si="67"/>
        <v>-27</v>
      </c>
      <c r="L981" s="343">
        <f t="shared" si="68"/>
        <v>46</v>
      </c>
      <c r="N981" s="344">
        <f t="shared" si="66"/>
        <v>0</v>
      </c>
    </row>
    <row r="982" spans="1:14" ht="12.75" customHeight="1">
      <c r="A982" s="326">
        <f t="shared" si="65"/>
        <v>981</v>
      </c>
      <c r="B982" s="533">
        <v>8200</v>
      </c>
      <c r="C982" s="472">
        <v>5311</v>
      </c>
      <c r="D982" s="472" t="s">
        <v>88</v>
      </c>
      <c r="E982" s="472">
        <v>5151</v>
      </c>
      <c r="F982" s="259" t="s">
        <v>451</v>
      </c>
      <c r="G982" s="420"/>
      <c r="H982" s="337">
        <v>760</v>
      </c>
      <c r="I982" s="337">
        <v>760</v>
      </c>
      <c r="J982" s="338">
        <v>595</v>
      </c>
      <c r="K982" s="339">
        <f t="shared" si="67"/>
        <v>-165</v>
      </c>
      <c r="L982" s="343">
        <f t="shared" si="68"/>
        <v>78.28947368421053</v>
      </c>
      <c r="N982" s="344">
        <f t="shared" si="66"/>
        <v>0</v>
      </c>
    </row>
    <row r="983" spans="1:14" ht="12.75" customHeight="1">
      <c r="A983" s="326">
        <f t="shared" si="65"/>
        <v>982</v>
      </c>
      <c r="B983" s="533">
        <v>8200</v>
      </c>
      <c r="C983" s="472">
        <v>5311</v>
      </c>
      <c r="D983" s="472" t="s">
        <v>88</v>
      </c>
      <c r="E983" s="472">
        <v>5151</v>
      </c>
      <c r="F983" s="259" t="s">
        <v>451</v>
      </c>
      <c r="G983" s="420" t="s">
        <v>360</v>
      </c>
      <c r="H983" s="337">
        <v>60</v>
      </c>
      <c r="I983" s="337">
        <v>60</v>
      </c>
      <c r="J983" s="338">
        <v>19</v>
      </c>
      <c r="K983" s="339">
        <f t="shared" si="67"/>
        <v>-41</v>
      </c>
      <c r="L983" s="343">
        <f t="shared" si="68"/>
        <v>31.666666666666664</v>
      </c>
      <c r="N983" s="344">
        <f t="shared" si="66"/>
        <v>0</v>
      </c>
    </row>
    <row r="984" spans="1:14" ht="12.75" customHeight="1">
      <c r="A984" s="326">
        <f t="shared" si="65"/>
        <v>983</v>
      </c>
      <c r="B984" s="533">
        <v>8200</v>
      </c>
      <c r="C984" s="472">
        <v>5311</v>
      </c>
      <c r="D984" s="472" t="s">
        <v>88</v>
      </c>
      <c r="E984" s="472">
        <v>5152</v>
      </c>
      <c r="F984" s="389" t="s">
        <v>464</v>
      </c>
      <c r="G984" s="420"/>
      <c r="H984" s="337">
        <v>804</v>
      </c>
      <c r="I984" s="337">
        <v>804</v>
      </c>
      <c r="J984" s="338">
        <v>675</v>
      </c>
      <c r="K984" s="339">
        <f t="shared" si="67"/>
        <v>-129</v>
      </c>
      <c r="L984" s="343">
        <f t="shared" si="68"/>
        <v>83.95522388059702</v>
      </c>
      <c r="N984" s="344">
        <f t="shared" si="66"/>
        <v>0</v>
      </c>
    </row>
    <row r="985" spans="1:14" ht="12.75" customHeight="1">
      <c r="A985" s="326">
        <f t="shared" si="65"/>
        <v>984</v>
      </c>
      <c r="B985" s="533">
        <v>8200</v>
      </c>
      <c r="C985" s="472">
        <v>5311</v>
      </c>
      <c r="D985" s="472" t="s">
        <v>88</v>
      </c>
      <c r="E985" s="472">
        <v>5153</v>
      </c>
      <c r="F985" s="389" t="s">
        <v>380</v>
      </c>
      <c r="G985" s="420"/>
      <c r="H985" s="337">
        <v>2758</v>
      </c>
      <c r="I985" s="337">
        <v>2758</v>
      </c>
      <c r="J985" s="338">
        <v>1999</v>
      </c>
      <c r="K985" s="339">
        <f t="shared" si="67"/>
        <v>-759</v>
      </c>
      <c r="L985" s="343">
        <f t="shared" si="68"/>
        <v>72.48005801305294</v>
      </c>
      <c r="N985" s="344">
        <f t="shared" si="66"/>
        <v>0</v>
      </c>
    </row>
    <row r="986" spans="1:14" ht="12.75" customHeight="1">
      <c r="A986" s="326">
        <f t="shared" si="65"/>
        <v>985</v>
      </c>
      <c r="B986" s="533">
        <v>8200</v>
      </c>
      <c r="C986" s="472">
        <v>5311</v>
      </c>
      <c r="D986" s="472" t="s">
        <v>88</v>
      </c>
      <c r="E986" s="472">
        <v>5153</v>
      </c>
      <c r="F986" s="389" t="s">
        <v>380</v>
      </c>
      <c r="G986" s="420" t="s">
        <v>360</v>
      </c>
      <c r="H986" s="337">
        <v>276</v>
      </c>
      <c r="I986" s="337">
        <v>276</v>
      </c>
      <c r="J986" s="338">
        <v>199</v>
      </c>
      <c r="K986" s="339">
        <f t="shared" si="67"/>
        <v>-77</v>
      </c>
      <c r="L986" s="343">
        <f t="shared" si="68"/>
        <v>72.10144927536231</v>
      </c>
      <c r="N986" s="344">
        <f t="shared" si="66"/>
        <v>0</v>
      </c>
    </row>
    <row r="987" spans="1:14" ht="12.75" customHeight="1">
      <c r="A987" s="326">
        <f t="shared" si="65"/>
        <v>986</v>
      </c>
      <c r="B987" s="533">
        <v>8200</v>
      </c>
      <c r="C987" s="472">
        <v>5311</v>
      </c>
      <c r="D987" s="472" t="s">
        <v>88</v>
      </c>
      <c r="E987" s="472">
        <v>5154</v>
      </c>
      <c r="F987" s="389" t="s">
        <v>347</v>
      </c>
      <c r="G987" s="420"/>
      <c r="H987" s="337">
        <v>3860</v>
      </c>
      <c r="I987" s="337">
        <v>3305</v>
      </c>
      <c r="J987" s="338">
        <v>2810</v>
      </c>
      <c r="K987" s="339">
        <f t="shared" si="67"/>
        <v>-495</v>
      </c>
      <c r="L987" s="343">
        <f t="shared" si="68"/>
        <v>85.02269288956127</v>
      </c>
      <c r="N987" s="344">
        <f t="shared" si="66"/>
        <v>0</v>
      </c>
    </row>
    <row r="988" spans="1:14" ht="12.75" customHeight="1">
      <c r="A988" s="326">
        <f t="shared" si="65"/>
        <v>987</v>
      </c>
      <c r="B988" s="533">
        <v>8200</v>
      </c>
      <c r="C988" s="472">
        <v>5311</v>
      </c>
      <c r="D988" s="472" t="s">
        <v>88</v>
      </c>
      <c r="E988" s="472">
        <v>5154</v>
      </c>
      <c r="F988" s="389" t="s">
        <v>347</v>
      </c>
      <c r="G988" s="420" t="s">
        <v>360</v>
      </c>
      <c r="H988" s="337">
        <v>165</v>
      </c>
      <c r="I988" s="337">
        <v>165</v>
      </c>
      <c r="J988" s="338">
        <v>66</v>
      </c>
      <c r="K988" s="339">
        <f t="shared" si="67"/>
        <v>-99</v>
      </c>
      <c r="L988" s="343">
        <f t="shared" si="68"/>
        <v>40</v>
      </c>
      <c r="N988" s="344">
        <f t="shared" si="66"/>
        <v>0</v>
      </c>
    </row>
    <row r="989" spans="1:14" ht="12.75" customHeight="1">
      <c r="A989" s="326">
        <f t="shared" si="65"/>
        <v>988</v>
      </c>
      <c r="B989" s="533">
        <v>8200</v>
      </c>
      <c r="C989" s="472">
        <v>5311</v>
      </c>
      <c r="D989" s="472" t="s">
        <v>88</v>
      </c>
      <c r="E989" s="472">
        <v>5156</v>
      </c>
      <c r="F989" s="389" t="s">
        <v>372</v>
      </c>
      <c r="G989" s="420"/>
      <c r="H989" s="337">
        <v>5618</v>
      </c>
      <c r="I989" s="337">
        <v>5618</v>
      </c>
      <c r="J989" s="338">
        <v>4918</v>
      </c>
      <c r="K989" s="339">
        <f t="shared" si="67"/>
        <v>-700</v>
      </c>
      <c r="L989" s="343">
        <f t="shared" si="68"/>
        <v>87.54004983980064</v>
      </c>
      <c r="N989" s="344">
        <f t="shared" si="66"/>
        <v>0</v>
      </c>
    </row>
    <row r="990" spans="1:14" ht="12.75" customHeight="1">
      <c r="A990" s="326">
        <f t="shared" si="65"/>
        <v>989</v>
      </c>
      <c r="B990" s="533">
        <v>8200</v>
      </c>
      <c r="C990" s="472">
        <v>5311</v>
      </c>
      <c r="D990" s="472" t="s">
        <v>88</v>
      </c>
      <c r="E990" s="472">
        <v>5161</v>
      </c>
      <c r="F990" s="259" t="s">
        <v>381</v>
      </c>
      <c r="G990" s="420"/>
      <c r="H990" s="337">
        <v>10</v>
      </c>
      <c r="I990" s="337">
        <v>10</v>
      </c>
      <c r="J990" s="338">
        <v>3</v>
      </c>
      <c r="K990" s="339">
        <f t="shared" si="67"/>
        <v>-7</v>
      </c>
      <c r="L990" s="343">
        <f t="shared" si="68"/>
        <v>30</v>
      </c>
      <c r="N990" s="344">
        <f t="shared" si="66"/>
        <v>0</v>
      </c>
    </row>
    <row r="991" spans="1:14" ht="12.75" customHeight="1">
      <c r="A991" s="326">
        <f t="shared" si="65"/>
        <v>990</v>
      </c>
      <c r="B991" s="533">
        <v>8200</v>
      </c>
      <c r="C991" s="472">
        <v>5311</v>
      </c>
      <c r="D991" s="472" t="s">
        <v>88</v>
      </c>
      <c r="E991" s="472">
        <v>5162</v>
      </c>
      <c r="F991" s="259" t="s">
        <v>382</v>
      </c>
      <c r="G991" s="420"/>
      <c r="H991" s="337">
        <v>5110</v>
      </c>
      <c r="I991" s="337">
        <v>3710</v>
      </c>
      <c r="J991" s="338">
        <v>2540</v>
      </c>
      <c r="K991" s="339">
        <f t="shared" si="67"/>
        <v>-1170</v>
      </c>
      <c r="L991" s="343">
        <f t="shared" si="68"/>
        <v>68.46361185983828</v>
      </c>
      <c r="N991" s="344">
        <f t="shared" si="66"/>
        <v>0</v>
      </c>
    </row>
    <row r="992" spans="1:14" ht="12.75" customHeight="1">
      <c r="A992" s="326">
        <f t="shared" si="65"/>
        <v>991</v>
      </c>
      <c r="B992" s="533">
        <v>8200</v>
      </c>
      <c r="C992" s="472">
        <v>5311</v>
      </c>
      <c r="D992" s="472" t="s">
        <v>88</v>
      </c>
      <c r="E992" s="472">
        <v>5163</v>
      </c>
      <c r="F992" s="389" t="s">
        <v>323</v>
      </c>
      <c r="G992" s="420"/>
      <c r="H992" s="337">
        <v>1712</v>
      </c>
      <c r="I992" s="337">
        <v>1612</v>
      </c>
      <c r="J992" s="338">
        <v>1607</v>
      </c>
      <c r="K992" s="339">
        <f t="shared" si="67"/>
        <v>-5</v>
      </c>
      <c r="L992" s="343">
        <f t="shared" si="68"/>
        <v>99.68982630272953</v>
      </c>
      <c r="N992" s="344">
        <f t="shared" si="66"/>
        <v>0</v>
      </c>
    </row>
    <row r="993" spans="1:14" ht="12.75" customHeight="1">
      <c r="A993" s="326">
        <f t="shared" si="65"/>
        <v>992</v>
      </c>
      <c r="B993" s="533">
        <v>8200</v>
      </c>
      <c r="C993" s="472">
        <v>5311</v>
      </c>
      <c r="D993" s="472" t="s">
        <v>88</v>
      </c>
      <c r="E993" s="472">
        <v>5163</v>
      </c>
      <c r="F993" s="389" t="s">
        <v>323</v>
      </c>
      <c r="G993" s="420" t="s">
        <v>360</v>
      </c>
      <c r="H993" s="337">
        <v>21</v>
      </c>
      <c r="I993" s="337">
        <v>21</v>
      </c>
      <c r="J993" s="338">
        <v>20</v>
      </c>
      <c r="K993" s="339">
        <f t="shared" si="67"/>
        <v>-1</v>
      </c>
      <c r="L993" s="343">
        <f t="shared" si="68"/>
        <v>95.23809523809523</v>
      </c>
      <c r="N993" s="344">
        <f t="shared" si="66"/>
        <v>0</v>
      </c>
    </row>
    <row r="994" spans="1:14" ht="12.75" customHeight="1">
      <c r="A994" s="326">
        <f t="shared" si="65"/>
        <v>993</v>
      </c>
      <c r="B994" s="533">
        <v>8200</v>
      </c>
      <c r="C994" s="472">
        <v>5311</v>
      </c>
      <c r="D994" s="472" t="s">
        <v>88</v>
      </c>
      <c r="E994" s="472">
        <v>5164</v>
      </c>
      <c r="F994" s="389" t="s">
        <v>348</v>
      </c>
      <c r="G994" s="420"/>
      <c r="H994" s="337">
        <v>882</v>
      </c>
      <c r="I994" s="337">
        <v>682</v>
      </c>
      <c r="J994" s="338">
        <v>442</v>
      </c>
      <c r="K994" s="339">
        <f t="shared" si="67"/>
        <v>-240</v>
      </c>
      <c r="L994" s="343">
        <f t="shared" si="68"/>
        <v>64.80938416422288</v>
      </c>
      <c r="N994" s="344">
        <f t="shared" si="66"/>
        <v>0</v>
      </c>
    </row>
    <row r="995" spans="1:14" ht="12.75" customHeight="1">
      <c r="A995" s="326">
        <f t="shared" si="65"/>
        <v>994</v>
      </c>
      <c r="B995" s="533">
        <v>8200</v>
      </c>
      <c r="C995" s="472">
        <v>5311</v>
      </c>
      <c r="D995" s="472" t="s">
        <v>88</v>
      </c>
      <c r="E995" s="472">
        <v>5164</v>
      </c>
      <c r="F995" s="389" t="s">
        <v>348</v>
      </c>
      <c r="G995" s="420" t="s">
        <v>360</v>
      </c>
      <c r="H995" s="337">
        <v>84</v>
      </c>
      <c r="I995" s="337">
        <v>84</v>
      </c>
      <c r="J995" s="338">
        <v>55</v>
      </c>
      <c r="K995" s="339">
        <f t="shared" si="67"/>
        <v>-29</v>
      </c>
      <c r="L995" s="343">
        <f t="shared" si="68"/>
        <v>65.47619047619048</v>
      </c>
      <c r="N995" s="344">
        <f t="shared" si="66"/>
        <v>0</v>
      </c>
    </row>
    <row r="996" spans="1:14" ht="12.75" customHeight="1">
      <c r="A996" s="326">
        <f t="shared" si="65"/>
        <v>995</v>
      </c>
      <c r="B996" s="533">
        <v>8200</v>
      </c>
      <c r="C996" s="472">
        <v>5311</v>
      </c>
      <c r="D996" s="472" t="s">
        <v>88</v>
      </c>
      <c r="E996" s="472">
        <v>5166</v>
      </c>
      <c r="F996" s="259" t="s">
        <v>315</v>
      </c>
      <c r="G996" s="336"/>
      <c r="H996" s="337">
        <v>125</v>
      </c>
      <c r="I996" s="337">
        <v>1445</v>
      </c>
      <c r="J996" s="338">
        <v>1043</v>
      </c>
      <c r="K996" s="339">
        <f t="shared" si="67"/>
        <v>-402</v>
      </c>
      <c r="L996" s="343">
        <f t="shared" si="68"/>
        <v>72.17993079584775</v>
      </c>
      <c r="N996" s="344">
        <f t="shared" si="66"/>
        <v>0</v>
      </c>
    </row>
    <row r="997" spans="1:14" ht="12.75" customHeight="1">
      <c r="A997" s="326">
        <f t="shared" si="65"/>
        <v>996</v>
      </c>
      <c r="B997" s="533">
        <v>8200</v>
      </c>
      <c r="C997" s="472">
        <v>5311</v>
      </c>
      <c r="D997" s="472" t="s">
        <v>88</v>
      </c>
      <c r="E997" s="472">
        <v>5166</v>
      </c>
      <c r="F997" s="259" t="s">
        <v>315</v>
      </c>
      <c r="G997" s="336" t="s">
        <v>360</v>
      </c>
      <c r="H997" s="337">
        <v>5</v>
      </c>
      <c r="I997" s="337">
        <v>5</v>
      </c>
      <c r="J997" s="338">
        <v>0</v>
      </c>
      <c r="K997" s="339">
        <f t="shared" si="67"/>
        <v>-5</v>
      </c>
      <c r="L997" s="490">
        <f t="shared" si="68"/>
        <v>0</v>
      </c>
      <c r="N997" s="344">
        <f t="shared" si="66"/>
        <v>0</v>
      </c>
    </row>
    <row r="998" spans="1:14" ht="12.75" customHeight="1">
      <c r="A998" s="326">
        <f t="shared" si="65"/>
        <v>997</v>
      </c>
      <c r="B998" s="533">
        <v>8200</v>
      </c>
      <c r="C998" s="472">
        <v>5311</v>
      </c>
      <c r="D998" s="472" t="s">
        <v>88</v>
      </c>
      <c r="E998" s="472">
        <v>5167</v>
      </c>
      <c r="F998" s="389" t="s">
        <v>383</v>
      </c>
      <c r="G998" s="420"/>
      <c r="H998" s="337">
        <v>283</v>
      </c>
      <c r="I998" s="337">
        <v>283</v>
      </c>
      <c r="J998" s="338">
        <v>223</v>
      </c>
      <c r="K998" s="339">
        <f t="shared" si="67"/>
        <v>-60</v>
      </c>
      <c r="L998" s="343">
        <f t="shared" si="68"/>
        <v>78.79858657243817</v>
      </c>
      <c r="N998" s="344">
        <f t="shared" si="66"/>
        <v>0</v>
      </c>
    </row>
    <row r="999" spans="1:14" ht="12.75" customHeight="1">
      <c r="A999" s="326">
        <f t="shared" si="65"/>
        <v>998</v>
      </c>
      <c r="B999" s="533">
        <v>8200</v>
      </c>
      <c r="C999" s="472">
        <v>5311</v>
      </c>
      <c r="D999" s="472" t="s">
        <v>88</v>
      </c>
      <c r="E999" s="472">
        <v>5169</v>
      </c>
      <c r="F999" s="259" t="s">
        <v>316</v>
      </c>
      <c r="G999" s="336"/>
      <c r="H999" s="337">
        <v>16943</v>
      </c>
      <c r="I999" s="337">
        <v>15742</v>
      </c>
      <c r="J999" s="338">
        <v>14409</v>
      </c>
      <c r="K999" s="339">
        <f t="shared" si="67"/>
        <v>-1333</v>
      </c>
      <c r="L999" s="343">
        <f t="shared" si="68"/>
        <v>91.53220683521789</v>
      </c>
      <c r="N999" s="344">
        <f t="shared" si="66"/>
        <v>0</v>
      </c>
    </row>
    <row r="1000" spans="1:14" ht="12.75" customHeight="1">
      <c r="A1000" s="326">
        <f t="shared" si="65"/>
        <v>999</v>
      </c>
      <c r="B1000" s="533">
        <v>8200</v>
      </c>
      <c r="C1000" s="472">
        <v>5311</v>
      </c>
      <c r="D1000" s="472" t="s">
        <v>88</v>
      </c>
      <c r="E1000" s="472">
        <v>5169</v>
      </c>
      <c r="F1000" s="259" t="s">
        <v>316</v>
      </c>
      <c r="G1000" s="336" t="s">
        <v>360</v>
      </c>
      <c r="H1000" s="337">
        <v>1748</v>
      </c>
      <c r="I1000" s="337">
        <v>1778</v>
      </c>
      <c r="J1000" s="338">
        <v>1764</v>
      </c>
      <c r="K1000" s="339">
        <f t="shared" si="67"/>
        <v>-14</v>
      </c>
      <c r="L1000" s="343">
        <f t="shared" si="68"/>
        <v>99.21259842519686</v>
      </c>
      <c r="N1000" s="344">
        <f t="shared" si="66"/>
        <v>0</v>
      </c>
    </row>
    <row r="1001" spans="1:14" ht="12.75" customHeight="1">
      <c r="A1001" s="326">
        <f t="shared" si="65"/>
        <v>1000</v>
      </c>
      <c r="B1001" s="533">
        <v>8200</v>
      </c>
      <c r="C1001" s="472">
        <v>5311</v>
      </c>
      <c r="D1001" s="472" t="s">
        <v>88</v>
      </c>
      <c r="E1001" s="472">
        <v>5171</v>
      </c>
      <c r="F1001" s="389" t="s">
        <v>384</v>
      </c>
      <c r="G1001" s="420"/>
      <c r="H1001" s="337">
        <v>3313</v>
      </c>
      <c r="I1001" s="337">
        <v>4713</v>
      </c>
      <c r="J1001" s="338">
        <v>4142</v>
      </c>
      <c r="K1001" s="339">
        <f t="shared" si="67"/>
        <v>-571</v>
      </c>
      <c r="L1001" s="343">
        <f t="shared" si="68"/>
        <v>87.88457458094632</v>
      </c>
      <c r="N1001" s="344">
        <f t="shared" si="66"/>
        <v>0</v>
      </c>
    </row>
    <row r="1002" spans="1:14" ht="12.75" customHeight="1">
      <c r="A1002" s="326">
        <f t="shared" si="65"/>
        <v>1001</v>
      </c>
      <c r="B1002" s="533">
        <v>8200</v>
      </c>
      <c r="C1002" s="472">
        <v>5311</v>
      </c>
      <c r="D1002" s="472" t="s">
        <v>88</v>
      </c>
      <c r="E1002" s="472">
        <v>5171</v>
      </c>
      <c r="F1002" s="389" t="s">
        <v>384</v>
      </c>
      <c r="G1002" s="420" t="s">
        <v>360</v>
      </c>
      <c r="H1002" s="337">
        <v>286</v>
      </c>
      <c r="I1002" s="337">
        <v>271</v>
      </c>
      <c r="J1002" s="338">
        <v>92</v>
      </c>
      <c r="K1002" s="339">
        <f t="shared" si="67"/>
        <v>-179</v>
      </c>
      <c r="L1002" s="343">
        <f t="shared" si="68"/>
        <v>33.94833948339483</v>
      </c>
      <c r="N1002" s="344">
        <f t="shared" si="66"/>
        <v>0</v>
      </c>
    </row>
    <row r="1003" spans="1:14" ht="12.75" customHeight="1">
      <c r="A1003" s="326">
        <f t="shared" si="65"/>
        <v>1002</v>
      </c>
      <c r="B1003" s="533">
        <v>8200</v>
      </c>
      <c r="C1003" s="472">
        <v>5311</v>
      </c>
      <c r="D1003" s="472" t="s">
        <v>88</v>
      </c>
      <c r="E1003" s="472">
        <v>5172</v>
      </c>
      <c r="F1003" s="389" t="s">
        <v>396</v>
      </c>
      <c r="G1003" s="420"/>
      <c r="H1003" s="337">
        <v>300</v>
      </c>
      <c r="I1003" s="337">
        <v>300</v>
      </c>
      <c r="J1003" s="338">
        <v>119</v>
      </c>
      <c r="K1003" s="339">
        <f t="shared" si="67"/>
        <v>-181</v>
      </c>
      <c r="L1003" s="343">
        <f t="shared" si="68"/>
        <v>39.666666666666664</v>
      </c>
      <c r="N1003" s="344">
        <f t="shared" si="66"/>
        <v>0</v>
      </c>
    </row>
    <row r="1004" spans="1:14" ht="12.75" customHeight="1">
      <c r="A1004" s="326">
        <f t="shared" si="65"/>
        <v>1003</v>
      </c>
      <c r="B1004" s="533">
        <v>8200</v>
      </c>
      <c r="C1004" s="472">
        <v>5311</v>
      </c>
      <c r="D1004" s="472" t="s">
        <v>88</v>
      </c>
      <c r="E1004" s="472">
        <v>5173</v>
      </c>
      <c r="F1004" s="389" t="s">
        <v>355</v>
      </c>
      <c r="G1004" s="420"/>
      <c r="H1004" s="337">
        <v>155</v>
      </c>
      <c r="I1004" s="337">
        <v>155</v>
      </c>
      <c r="J1004" s="338">
        <v>76</v>
      </c>
      <c r="K1004" s="339">
        <f t="shared" si="67"/>
        <v>-79</v>
      </c>
      <c r="L1004" s="343">
        <f t="shared" si="68"/>
        <v>49.03225806451613</v>
      </c>
      <c r="N1004" s="344">
        <f t="shared" si="66"/>
        <v>0</v>
      </c>
    </row>
    <row r="1005" spans="1:14" ht="12.75" customHeight="1">
      <c r="A1005" s="326">
        <f t="shared" si="65"/>
        <v>1004</v>
      </c>
      <c r="B1005" s="533">
        <v>8200</v>
      </c>
      <c r="C1005" s="472">
        <v>5311</v>
      </c>
      <c r="D1005" s="472" t="s">
        <v>88</v>
      </c>
      <c r="E1005" s="472">
        <v>5175</v>
      </c>
      <c r="F1005" s="389" t="s">
        <v>334</v>
      </c>
      <c r="G1005" s="420"/>
      <c r="H1005" s="337">
        <v>262</v>
      </c>
      <c r="I1005" s="337">
        <v>262</v>
      </c>
      <c r="J1005" s="338">
        <v>223</v>
      </c>
      <c r="K1005" s="339">
        <f t="shared" si="67"/>
        <v>-39</v>
      </c>
      <c r="L1005" s="343">
        <f t="shared" si="68"/>
        <v>85.1145038167939</v>
      </c>
      <c r="N1005" s="344">
        <f t="shared" si="66"/>
        <v>0</v>
      </c>
    </row>
    <row r="1006" spans="1:14" ht="12.75" customHeight="1">
      <c r="A1006" s="326">
        <f t="shared" si="65"/>
        <v>1005</v>
      </c>
      <c r="B1006" s="533">
        <v>8200</v>
      </c>
      <c r="C1006" s="472">
        <v>5311</v>
      </c>
      <c r="D1006" s="472" t="s">
        <v>88</v>
      </c>
      <c r="E1006" s="472">
        <v>5175</v>
      </c>
      <c r="F1006" s="389" t="s">
        <v>334</v>
      </c>
      <c r="G1006" s="420" t="s">
        <v>360</v>
      </c>
      <c r="H1006" s="337">
        <v>5</v>
      </c>
      <c r="I1006" s="337">
        <v>0</v>
      </c>
      <c r="J1006" s="338">
        <v>0</v>
      </c>
      <c r="K1006" s="339">
        <f t="shared" si="67"/>
        <v>0</v>
      </c>
      <c r="L1006" s="490"/>
      <c r="N1006" s="344">
        <f t="shared" si="66"/>
        <v>0</v>
      </c>
    </row>
    <row r="1007" spans="1:14" ht="12.75" customHeight="1">
      <c r="A1007" s="326">
        <f t="shared" si="65"/>
        <v>1006</v>
      </c>
      <c r="B1007" s="533">
        <v>8200</v>
      </c>
      <c r="C1007" s="472">
        <v>5311</v>
      </c>
      <c r="D1007" s="472" t="s">
        <v>88</v>
      </c>
      <c r="E1007" s="472">
        <v>5176</v>
      </c>
      <c r="F1007" s="389" t="s">
        <v>385</v>
      </c>
      <c r="G1007" s="420"/>
      <c r="H1007" s="337">
        <v>15</v>
      </c>
      <c r="I1007" s="337">
        <v>15</v>
      </c>
      <c r="J1007" s="338">
        <v>5</v>
      </c>
      <c r="K1007" s="339">
        <f t="shared" si="67"/>
        <v>-10</v>
      </c>
      <c r="L1007" s="343">
        <f t="shared" si="68"/>
        <v>33.33333333333333</v>
      </c>
      <c r="N1007" s="344">
        <f t="shared" si="66"/>
        <v>0</v>
      </c>
    </row>
    <row r="1008" spans="1:14" ht="12.75" customHeight="1">
      <c r="A1008" s="326">
        <f t="shared" si="65"/>
        <v>1007</v>
      </c>
      <c r="B1008" s="533">
        <v>8200</v>
      </c>
      <c r="C1008" s="472">
        <v>5311</v>
      </c>
      <c r="D1008" s="472" t="s">
        <v>88</v>
      </c>
      <c r="E1008" s="472">
        <v>5179</v>
      </c>
      <c r="F1008" s="389" t="s">
        <v>386</v>
      </c>
      <c r="G1008" s="420"/>
      <c r="H1008" s="337">
        <v>331</v>
      </c>
      <c r="I1008" s="337">
        <v>331</v>
      </c>
      <c r="J1008" s="338">
        <v>1</v>
      </c>
      <c r="K1008" s="339">
        <f t="shared" si="67"/>
        <v>-330</v>
      </c>
      <c r="L1008" s="343">
        <f t="shared" si="68"/>
        <v>0.3021148036253776</v>
      </c>
      <c r="N1008" s="344">
        <f t="shared" si="66"/>
        <v>0</v>
      </c>
    </row>
    <row r="1009" spans="1:14" ht="12.75" customHeight="1">
      <c r="A1009" s="326">
        <f t="shared" si="65"/>
        <v>1008</v>
      </c>
      <c r="B1009" s="533">
        <v>8200</v>
      </c>
      <c r="C1009" s="472">
        <v>5311</v>
      </c>
      <c r="D1009" s="472" t="s">
        <v>88</v>
      </c>
      <c r="E1009" s="472">
        <v>5179</v>
      </c>
      <c r="F1009" s="389" t="s">
        <v>386</v>
      </c>
      <c r="G1009" s="420" t="s">
        <v>360</v>
      </c>
      <c r="H1009" s="337">
        <v>430</v>
      </c>
      <c r="I1009" s="337">
        <v>463</v>
      </c>
      <c r="J1009" s="338">
        <v>463</v>
      </c>
      <c r="K1009" s="339">
        <f t="shared" si="67"/>
        <v>0</v>
      </c>
      <c r="L1009" s="343">
        <f t="shared" si="68"/>
        <v>100</v>
      </c>
      <c r="N1009" s="344">
        <f t="shared" si="66"/>
        <v>0</v>
      </c>
    </row>
    <row r="1010" spans="1:14" ht="12.75" customHeight="1">
      <c r="A1010" s="326">
        <f t="shared" si="65"/>
        <v>1009</v>
      </c>
      <c r="B1010" s="533">
        <v>8200</v>
      </c>
      <c r="C1010" s="472">
        <v>5311</v>
      </c>
      <c r="D1010" s="472" t="s">
        <v>88</v>
      </c>
      <c r="E1010" s="472">
        <v>5192</v>
      </c>
      <c r="F1010" s="389" t="s">
        <v>335</v>
      </c>
      <c r="G1010" s="420"/>
      <c r="H1010" s="337">
        <v>1154</v>
      </c>
      <c r="I1010" s="337">
        <v>954</v>
      </c>
      <c r="J1010" s="338">
        <v>545</v>
      </c>
      <c r="K1010" s="339">
        <f t="shared" si="67"/>
        <v>-409</v>
      </c>
      <c r="L1010" s="343">
        <f t="shared" si="68"/>
        <v>57.127882599580715</v>
      </c>
      <c r="N1010" s="344">
        <f t="shared" si="66"/>
        <v>0</v>
      </c>
    </row>
    <row r="1011" spans="1:14" ht="12.75" customHeight="1">
      <c r="A1011" s="326">
        <f t="shared" si="65"/>
        <v>1010</v>
      </c>
      <c r="B1011" s="533">
        <v>8200</v>
      </c>
      <c r="C1011" s="472">
        <v>5311</v>
      </c>
      <c r="D1011" s="472" t="s">
        <v>88</v>
      </c>
      <c r="E1011" s="472">
        <v>5194</v>
      </c>
      <c r="F1011" s="389" t="s">
        <v>343</v>
      </c>
      <c r="G1011" s="420"/>
      <c r="H1011" s="337">
        <v>200</v>
      </c>
      <c r="I1011" s="337">
        <v>200</v>
      </c>
      <c r="J1011" s="338">
        <v>194</v>
      </c>
      <c r="K1011" s="339">
        <f t="shared" si="67"/>
        <v>-6</v>
      </c>
      <c r="L1011" s="343">
        <f t="shared" si="68"/>
        <v>97</v>
      </c>
      <c r="N1011" s="344">
        <f t="shared" si="66"/>
        <v>0</v>
      </c>
    </row>
    <row r="1012" spans="1:14" ht="12.75" customHeight="1">
      <c r="A1012" s="326">
        <f t="shared" si="65"/>
        <v>1011</v>
      </c>
      <c r="B1012" s="533">
        <v>8200</v>
      </c>
      <c r="C1012" s="472">
        <v>5311</v>
      </c>
      <c r="D1012" s="472" t="s">
        <v>88</v>
      </c>
      <c r="E1012" s="472">
        <v>5222</v>
      </c>
      <c r="F1012" s="359" t="s">
        <v>407</v>
      </c>
      <c r="G1012" s="420"/>
      <c r="H1012" s="337">
        <v>5</v>
      </c>
      <c r="I1012" s="337">
        <v>5</v>
      </c>
      <c r="J1012" s="338">
        <v>3</v>
      </c>
      <c r="K1012" s="339">
        <f t="shared" si="67"/>
        <v>-2</v>
      </c>
      <c r="L1012" s="343">
        <f t="shared" si="68"/>
        <v>60</v>
      </c>
      <c r="N1012" s="344">
        <f t="shared" si="66"/>
        <v>0</v>
      </c>
    </row>
    <row r="1013" spans="1:14" ht="12.75" customHeight="1">
      <c r="A1013" s="326">
        <f t="shared" si="65"/>
        <v>1012</v>
      </c>
      <c r="B1013" s="533">
        <v>8200</v>
      </c>
      <c r="C1013" s="472">
        <v>5311</v>
      </c>
      <c r="D1013" s="472" t="s">
        <v>88</v>
      </c>
      <c r="E1013" s="472">
        <v>5361</v>
      </c>
      <c r="F1013" s="389" t="s">
        <v>387</v>
      </c>
      <c r="G1013" s="420"/>
      <c r="H1013" s="337">
        <v>405</v>
      </c>
      <c r="I1013" s="337">
        <v>405</v>
      </c>
      <c r="J1013" s="338">
        <v>322</v>
      </c>
      <c r="K1013" s="339">
        <f t="shared" si="67"/>
        <v>-83</v>
      </c>
      <c r="L1013" s="343">
        <f t="shared" si="68"/>
        <v>79.50617283950618</v>
      </c>
      <c r="N1013" s="344">
        <f t="shared" si="66"/>
        <v>0</v>
      </c>
    </row>
    <row r="1014" spans="1:14" ht="12.75" customHeight="1">
      <c r="A1014" s="326">
        <f t="shared" si="65"/>
        <v>1013</v>
      </c>
      <c r="B1014" s="533">
        <v>8200</v>
      </c>
      <c r="C1014" s="472">
        <v>5311</v>
      </c>
      <c r="D1014" s="472" t="s">
        <v>88</v>
      </c>
      <c r="E1014" s="472">
        <v>5362</v>
      </c>
      <c r="F1014" s="259" t="s">
        <v>325</v>
      </c>
      <c r="G1014" s="420"/>
      <c r="H1014" s="337">
        <v>50</v>
      </c>
      <c r="I1014" s="337">
        <v>50</v>
      </c>
      <c r="J1014" s="338">
        <v>10</v>
      </c>
      <c r="K1014" s="339">
        <f t="shared" si="67"/>
        <v>-40</v>
      </c>
      <c r="L1014" s="343">
        <f t="shared" si="68"/>
        <v>20</v>
      </c>
      <c r="N1014" s="344">
        <f t="shared" si="66"/>
        <v>0</v>
      </c>
    </row>
    <row r="1015" spans="1:14" ht="12.75" customHeight="1">
      <c r="A1015" s="326">
        <f t="shared" si="65"/>
        <v>1014</v>
      </c>
      <c r="B1015" s="533">
        <v>8200</v>
      </c>
      <c r="C1015" s="472">
        <v>5311</v>
      </c>
      <c r="D1015" s="472" t="s">
        <v>88</v>
      </c>
      <c r="E1015" s="259">
        <v>5424</v>
      </c>
      <c r="F1015" s="259" t="s">
        <v>389</v>
      </c>
      <c r="G1015" s="420"/>
      <c r="H1015" s="337">
        <v>1263</v>
      </c>
      <c r="I1015" s="337">
        <v>1263</v>
      </c>
      <c r="J1015" s="338">
        <v>738</v>
      </c>
      <c r="K1015" s="339">
        <f t="shared" si="67"/>
        <v>-525</v>
      </c>
      <c r="L1015" s="343">
        <f t="shared" si="68"/>
        <v>58.432304038004744</v>
      </c>
      <c r="N1015" s="344">
        <f t="shared" si="66"/>
        <v>0</v>
      </c>
    </row>
    <row r="1016" spans="1:14" ht="12.75" customHeight="1">
      <c r="A1016" s="326">
        <f t="shared" si="65"/>
        <v>1015</v>
      </c>
      <c r="B1016" s="533">
        <v>8200</v>
      </c>
      <c r="C1016" s="472">
        <v>5311</v>
      </c>
      <c r="D1016" s="472" t="s">
        <v>88</v>
      </c>
      <c r="E1016" s="472">
        <v>5429</v>
      </c>
      <c r="F1016" s="259" t="s">
        <v>313</v>
      </c>
      <c r="G1016" s="420"/>
      <c r="H1016" s="337">
        <v>15</v>
      </c>
      <c r="I1016" s="337">
        <v>15</v>
      </c>
      <c r="J1016" s="338">
        <v>0</v>
      </c>
      <c r="K1016" s="339">
        <f t="shared" si="67"/>
        <v>-15</v>
      </c>
      <c r="L1016" s="490">
        <f t="shared" si="68"/>
        <v>0</v>
      </c>
      <c r="N1016" s="344">
        <f t="shared" si="66"/>
        <v>0</v>
      </c>
    </row>
    <row r="1017" spans="1:14" ht="12.75" customHeight="1">
      <c r="A1017" s="326">
        <f t="shared" si="65"/>
        <v>1016</v>
      </c>
      <c r="B1017" s="533">
        <v>8200</v>
      </c>
      <c r="C1017" s="472">
        <v>5311</v>
      </c>
      <c r="D1017" s="472" t="s">
        <v>88</v>
      </c>
      <c r="E1017" s="472">
        <v>5499</v>
      </c>
      <c r="F1017" s="259" t="s">
        <v>391</v>
      </c>
      <c r="G1017" s="336" t="s">
        <v>360</v>
      </c>
      <c r="H1017" s="337">
        <v>6957</v>
      </c>
      <c r="I1017" s="337">
        <v>7163</v>
      </c>
      <c r="J1017" s="338">
        <v>6517</v>
      </c>
      <c r="K1017" s="339">
        <f t="shared" si="67"/>
        <v>-646</v>
      </c>
      <c r="L1017" s="343">
        <f t="shared" si="68"/>
        <v>90.98143236074272</v>
      </c>
      <c r="N1017" s="344">
        <f t="shared" si="66"/>
        <v>0</v>
      </c>
    </row>
    <row r="1018" spans="1:14" ht="12.75" customHeight="1">
      <c r="A1018" s="326">
        <f t="shared" si="65"/>
        <v>1017</v>
      </c>
      <c r="B1018" s="533"/>
      <c r="C1018" s="447" t="s">
        <v>583</v>
      </c>
      <c r="D1018" s="472"/>
      <c r="E1018" s="472"/>
      <c r="F1018" s="389"/>
      <c r="G1018" s="420"/>
      <c r="H1018" s="349">
        <f>SUBTOTAL(9,H966:H1017)</f>
        <v>340429</v>
      </c>
      <c r="I1018" s="349">
        <f>SUBTOTAL(9,I966:I1017)</f>
        <v>341451</v>
      </c>
      <c r="J1018" s="349">
        <f>SUBTOTAL(9,J966:J1017)</f>
        <v>329013</v>
      </c>
      <c r="K1018" s="450">
        <f t="shared" si="67"/>
        <v>-12438</v>
      </c>
      <c r="L1018" s="396">
        <f t="shared" si="68"/>
        <v>96.35731041935739</v>
      </c>
      <c r="N1018" s="344">
        <f t="shared" si="66"/>
        <v>0</v>
      </c>
    </row>
    <row r="1019" spans="1:14" ht="12.75" customHeight="1">
      <c r="A1019" s="326">
        <f t="shared" si="65"/>
        <v>1018</v>
      </c>
      <c r="B1019" s="533">
        <v>8200</v>
      </c>
      <c r="C1019" s="472">
        <v>5319</v>
      </c>
      <c r="D1019" s="472" t="s">
        <v>529</v>
      </c>
      <c r="E1019" s="472">
        <v>5011</v>
      </c>
      <c r="F1019" s="389" t="s">
        <v>350</v>
      </c>
      <c r="G1019" s="420"/>
      <c r="H1019" s="337">
        <v>0</v>
      </c>
      <c r="I1019" s="337">
        <v>275</v>
      </c>
      <c r="J1019" s="338">
        <v>275</v>
      </c>
      <c r="K1019" s="339">
        <f t="shared" si="67"/>
        <v>0</v>
      </c>
      <c r="L1019" s="343">
        <f t="shared" si="68"/>
        <v>100</v>
      </c>
      <c r="N1019" s="344">
        <f t="shared" si="66"/>
        <v>0</v>
      </c>
    </row>
    <row r="1020" spans="1:14" ht="12.75" customHeight="1">
      <c r="A1020" s="326">
        <f t="shared" si="65"/>
        <v>1019</v>
      </c>
      <c r="B1020" s="533">
        <v>8200</v>
      </c>
      <c r="C1020" s="472">
        <v>5319</v>
      </c>
      <c r="D1020" s="472" t="s">
        <v>529</v>
      </c>
      <c r="E1020" s="472">
        <v>5021</v>
      </c>
      <c r="F1020" s="389" t="s">
        <v>352</v>
      </c>
      <c r="G1020" s="420"/>
      <c r="H1020" s="337">
        <v>22</v>
      </c>
      <c r="I1020" s="337">
        <v>255</v>
      </c>
      <c r="J1020" s="338">
        <v>241</v>
      </c>
      <c r="K1020" s="339">
        <f t="shared" si="67"/>
        <v>-14</v>
      </c>
      <c r="L1020" s="343">
        <f t="shared" si="68"/>
        <v>94.50980392156862</v>
      </c>
      <c r="N1020" s="344">
        <f t="shared" si="66"/>
        <v>0</v>
      </c>
    </row>
    <row r="1021" spans="1:14" ht="12.75" customHeight="1">
      <c r="A1021" s="326">
        <f t="shared" si="65"/>
        <v>1020</v>
      </c>
      <c r="B1021" s="533">
        <v>8200</v>
      </c>
      <c r="C1021" s="472">
        <v>5319</v>
      </c>
      <c r="D1021" s="472" t="s">
        <v>529</v>
      </c>
      <c r="E1021" s="472">
        <v>5031</v>
      </c>
      <c r="F1021" s="259" t="s">
        <v>353</v>
      </c>
      <c r="G1021" s="420"/>
      <c r="H1021" s="337">
        <v>0</v>
      </c>
      <c r="I1021" s="337">
        <v>69</v>
      </c>
      <c r="J1021" s="338">
        <v>69</v>
      </c>
      <c r="K1021" s="339">
        <f t="shared" si="67"/>
        <v>0</v>
      </c>
      <c r="L1021" s="343">
        <f t="shared" si="68"/>
        <v>100</v>
      </c>
      <c r="N1021" s="344">
        <f t="shared" si="66"/>
        <v>0</v>
      </c>
    </row>
    <row r="1022" spans="1:14" ht="12.75" customHeight="1">
      <c r="A1022" s="326">
        <f t="shared" si="65"/>
        <v>1021</v>
      </c>
      <c r="B1022" s="533">
        <v>8200</v>
      </c>
      <c r="C1022" s="472">
        <v>5319</v>
      </c>
      <c r="D1022" s="472" t="s">
        <v>529</v>
      </c>
      <c r="E1022" s="472">
        <v>5032</v>
      </c>
      <c r="F1022" s="259" t="s">
        <v>354</v>
      </c>
      <c r="G1022" s="420"/>
      <c r="H1022" s="337">
        <v>0</v>
      </c>
      <c r="I1022" s="337">
        <v>25</v>
      </c>
      <c r="J1022" s="338">
        <v>25</v>
      </c>
      <c r="K1022" s="339">
        <f t="shared" si="67"/>
        <v>0</v>
      </c>
      <c r="L1022" s="343">
        <f t="shared" si="68"/>
        <v>100</v>
      </c>
      <c r="N1022" s="344">
        <f t="shared" si="66"/>
        <v>0</v>
      </c>
    </row>
    <row r="1023" spans="1:14" ht="12.75" customHeight="1">
      <c r="A1023" s="326">
        <f t="shared" si="65"/>
        <v>1022</v>
      </c>
      <c r="B1023" s="533">
        <v>8200</v>
      </c>
      <c r="C1023" s="472">
        <v>5319</v>
      </c>
      <c r="D1023" s="472" t="s">
        <v>529</v>
      </c>
      <c r="E1023" s="472">
        <v>5133</v>
      </c>
      <c r="F1023" s="259" t="s">
        <v>378</v>
      </c>
      <c r="G1023" s="420"/>
      <c r="H1023" s="337">
        <v>3</v>
      </c>
      <c r="I1023" s="337">
        <v>0</v>
      </c>
      <c r="J1023" s="338">
        <v>0</v>
      </c>
      <c r="K1023" s="339">
        <f t="shared" si="67"/>
        <v>0</v>
      </c>
      <c r="L1023" s="490"/>
      <c r="N1023" s="344">
        <f t="shared" si="66"/>
        <v>0</v>
      </c>
    </row>
    <row r="1024" spans="1:14" ht="12.75" customHeight="1">
      <c r="A1024" s="326">
        <f t="shared" si="65"/>
        <v>1023</v>
      </c>
      <c r="B1024" s="533">
        <v>8200</v>
      </c>
      <c r="C1024" s="472">
        <v>5319</v>
      </c>
      <c r="D1024" s="472" t="s">
        <v>529</v>
      </c>
      <c r="E1024" s="472">
        <v>5136</v>
      </c>
      <c r="F1024" s="259" t="s">
        <v>341</v>
      </c>
      <c r="G1024" s="420"/>
      <c r="H1024" s="337">
        <v>5</v>
      </c>
      <c r="I1024" s="337">
        <v>5</v>
      </c>
      <c r="J1024" s="338">
        <v>4</v>
      </c>
      <c r="K1024" s="339">
        <f t="shared" si="67"/>
        <v>-1</v>
      </c>
      <c r="L1024" s="343">
        <f t="shared" si="68"/>
        <v>80</v>
      </c>
      <c r="N1024" s="344">
        <f t="shared" si="66"/>
        <v>0</v>
      </c>
    </row>
    <row r="1025" spans="1:14" ht="12.75" customHeight="1">
      <c r="A1025" s="326">
        <f t="shared" si="65"/>
        <v>1024</v>
      </c>
      <c r="B1025" s="533">
        <v>8200</v>
      </c>
      <c r="C1025" s="472">
        <v>5319</v>
      </c>
      <c r="D1025" s="472" t="s">
        <v>529</v>
      </c>
      <c r="E1025" s="472">
        <v>5137</v>
      </c>
      <c r="F1025" s="356" t="s">
        <v>346</v>
      </c>
      <c r="G1025" s="420"/>
      <c r="H1025" s="337">
        <v>20</v>
      </c>
      <c r="I1025" s="337">
        <v>63</v>
      </c>
      <c r="J1025" s="338">
        <v>62</v>
      </c>
      <c r="K1025" s="339">
        <f t="shared" si="67"/>
        <v>-1</v>
      </c>
      <c r="L1025" s="343">
        <f t="shared" si="68"/>
        <v>98.4126984126984</v>
      </c>
      <c r="N1025" s="344">
        <f t="shared" si="66"/>
        <v>0</v>
      </c>
    </row>
    <row r="1026" spans="1:14" ht="12.75" customHeight="1">
      <c r="A1026" s="326">
        <f t="shared" si="65"/>
        <v>1025</v>
      </c>
      <c r="B1026" s="533">
        <v>8200</v>
      </c>
      <c r="C1026" s="472">
        <v>5319</v>
      </c>
      <c r="D1026" s="472" t="s">
        <v>529</v>
      </c>
      <c r="E1026" s="472">
        <v>5139</v>
      </c>
      <c r="F1026" s="389" t="s">
        <v>342</v>
      </c>
      <c r="G1026" s="420"/>
      <c r="H1026" s="337">
        <v>277</v>
      </c>
      <c r="I1026" s="337">
        <v>376</v>
      </c>
      <c r="J1026" s="338">
        <v>374</v>
      </c>
      <c r="K1026" s="339">
        <f t="shared" si="67"/>
        <v>-2</v>
      </c>
      <c r="L1026" s="343">
        <f t="shared" si="68"/>
        <v>99.46808510638297</v>
      </c>
      <c r="N1026" s="344">
        <f t="shared" si="66"/>
        <v>0</v>
      </c>
    </row>
    <row r="1027" spans="1:14" ht="12.75" customHeight="1">
      <c r="A1027" s="326">
        <f t="shared" si="65"/>
        <v>1026</v>
      </c>
      <c r="B1027" s="533">
        <v>8200</v>
      </c>
      <c r="C1027" s="472">
        <v>5319</v>
      </c>
      <c r="D1027" s="472" t="s">
        <v>529</v>
      </c>
      <c r="E1027" s="472">
        <v>5156</v>
      </c>
      <c r="F1027" s="259" t="s">
        <v>372</v>
      </c>
      <c r="G1027" s="420"/>
      <c r="H1027" s="337">
        <v>0</v>
      </c>
      <c r="I1027" s="337">
        <v>11</v>
      </c>
      <c r="J1027" s="338">
        <v>11</v>
      </c>
      <c r="K1027" s="339">
        <f t="shared" si="67"/>
        <v>0</v>
      </c>
      <c r="L1027" s="343">
        <f t="shared" si="68"/>
        <v>100</v>
      </c>
      <c r="N1027" s="344">
        <f t="shared" si="66"/>
        <v>0</v>
      </c>
    </row>
    <row r="1028" spans="1:14" ht="12.75" customHeight="1">
      <c r="A1028" s="326">
        <f aca="true" t="shared" si="69" ref="A1028:A1044">A1027+1</f>
        <v>1027</v>
      </c>
      <c r="B1028" s="533">
        <v>8200</v>
      </c>
      <c r="C1028" s="472">
        <v>5319</v>
      </c>
      <c r="D1028" s="472" t="s">
        <v>529</v>
      </c>
      <c r="E1028" s="472">
        <v>5163</v>
      </c>
      <c r="F1028" s="389" t="s">
        <v>323</v>
      </c>
      <c r="G1028" s="420"/>
      <c r="H1028" s="337">
        <v>3</v>
      </c>
      <c r="I1028" s="337">
        <v>5</v>
      </c>
      <c r="J1028" s="338">
        <v>5</v>
      </c>
      <c r="K1028" s="339">
        <f t="shared" si="67"/>
        <v>0</v>
      </c>
      <c r="L1028" s="343">
        <f t="shared" si="68"/>
        <v>100</v>
      </c>
      <c r="N1028" s="344">
        <f aca="true" t="shared" si="70" ref="N1028:N1045">I1028-J1028+K1028</f>
        <v>0</v>
      </c>
    </row>
    <row r="1029" spans="1:14" ht="12.75" customHeight="1">
      <c r="A1029" s="326">
        <f t="shared" si="69"/>
        <v>1028</v>
      </c>
      <c r="B1029" s="533">
        <v>8200</v>
      </c>
      <c r="C1029" s="472">
        <v>5319</v>
      </c>
      <c r="D1029" s="472" t="s">
        <v>529</v>
      </c>
      <c r="E1029" s="472">
        <v>5164</v>
      </c>
      <c r="F1029" s="389" t="s">
        <v>348</v>
      </c>
      <c r="G1029" s="420"/>
      <c r="H1029" s="337">
        <v>67</v>
      </c>
      <c r="I1029" s="337">
        <v>158</v>
      </c>
      <c r="J1029" s="338">
        <v>157</v>
      </c>
      <c r="K1029" s="339">
        <f t="shared" si="67"/>
        <v>-1</v>
      </c>
      <c r="L1029" s="343">
        <f t="shared" si="68"/>
        <v>99.36708860759494</v>
      </c>
      <c r="N1029" s="344">
        <f t="shared" si="70"/>
        <v>0</v>
      </c>
    </row>
    <row r="1030" spans="1:14" ht="12.75" customHeight="1">
      <c r="A1030" s="326">
        <f t="shared" si="69"/>
        <v>1029</v>
      </c>
      <c r="B1030" s="533">
        <v>8200</v>
      </c>
      <c r="C1030" s="472">
        <v>5319</v>
      </c>
      <c r="D1030" s="472" t="s">
        <v>529</v>
      </c>
      <c r="E1030" s="472">
        <v>5169</v>
      </c>
      <c r="F1030" s="259" t="s">
        <v>316</v>
      </c>
      <c r="G1030" s="336"/>
      <c r="H1030" s="337">
        <v>207</v>
      </c>
      <c r="I1030" s="337">
        <v>307</v>
      </c>
      <c r="J1030" s="338">
        <v>305</v>
      </c>
      <c r="K1030" s="339">
        <f t="shared" si="67"/>
        <v>-2</v>
      </c>
      <c r="L1030" s="343">
        <f t="shared" si="68"/>
        <v>99.3485342019544</v>
      </c>
      <c r="N1030" s="344">
        <f t="shared" si="70"/>
        <v>0</v>
      </c>
    </row>
    <row r="1031" spans="1:14" ht="12.75" customHeight="1">
      <c r="A1031" s="326">
        <f t="shared" si="69"/>
        <v>1030</v>
      </c>
      <c r="B1031" s="533">
        <v>8200</v>
      </c>
      <c r="C1031" s="472">
        <v>5319</v>
      </c>
      <c r="D1031" s="472" t="s">
        <v>529</v>
      </c>
      <c r="E1031" s="590">
        <v>5173</v>
      </c>
      <c r="F1031" s="389" t="s">
        <v>355</v>
      </c>
      <c r="G1031" s="444"/>
      <c r="H1031" s="337">
        <v>2</v>
      </c>
      <c r="I1031" s="337">
        <v>3</v>
      </c>
      <c r="J1031" s="338">
        <v>2</v>
      </c>
      <c r="K1031" s="339">
        <f t="shared" si="67"/>
        <v>-1</v>
      </c>
      <c r="L1031" s="343">
        <f t="shared" si="68"/>
        <v>66.66666666666666</v>
      </c>
      <c r="N1031" s="344">
        <f t="shared" si="70"/>
        <v>0</v>
      </c>
    </row>
    <row r="1032" spans="1:14" ht="12.75" customHeight="1">
      <c r="A1032" s="326">
        <f t="shared" si="69"/>
        <v>1031</v>
      </c>
      <c r="B1032" s="533">
        <v>8200</v>
      </c>
      <c r="C1032" s="472">
        <v>5319</v>
      </c>
      <c r="D1032" s="472" t="s">
        <v>529</v>
      </c>
      <c r="E1032" s="590">
        <v>5175</v>
      </c>
      <c r="F1032" s="389" t="s">
        <v>334</v>
      </c>
      <c r="G1032" s="551"/>
      <c r="H1032" s="337">
        <v>43</v>
      </c>
      <c r="I1032" s="337">
        <v>87</v>
      </c>
      <c r="J1032" s="338">
        <v>81</v>
      </c>
      <c r="K1032" s="339">
        <f t="shared" si="67"/>
        <v>-6</v>
      </c>
      <c r="L1032" s="343">
        <f t="shared" si="68"/>
        <v>93.10344827586206</v>
      </c>
      <c r="N1032" s="344">
        <f t="shared" si="70"/>
        <v>0</v>
      </c>
    </row>
    <row r="1033" spans="1:14" ht="12.75" customHeight="1">
      <c r="A1033" s="326">
        <f t="shared" si="69"/>
        <v>1032</v>
      </c>
      <c r="B1033" s="533">
        <v>8200</v>
      </c>
      <c r="C1033" s="472">
        <v>5319</v>
      </c>
      <c r="D1033" s="472" t="s">
        <v>529</v>
      </c>
      <c r="E1033" s="590">
        <v>5179</v>
      </c>
      <c r="F1033" s="389" t="s">
        <v>386</v>
      </c>
      <c r="G1033" s="551"/>
      <c r="H1033" s="337">
        <v>5</v>
      </c>
      <c r="I1033" s="337">
        <v>7</v>
      </c>
      <c r="J1033" s="338">
        <v>8</v>
      </c>
      <c r="K1033" s="339">
        <f aca="true" t="shared" si="71" ref="K1033:K1044">J1033-I1033</f>
        <v>1</v>
      </c>
      <c r="L1033" s="343">
        <f>J1033/I1033*100</f>
        <v>114.28571428571428</v>
      </c>
      <c r="N1033" s="344">
        <f t="shared" si="70"/>
        <v>0</v>
      </c>
    </row>
    <row r="1034" spans="1:14" ht="12.75" customHeight="1">
      <c r="A1034" s="326">
        <f t="shared" si="69"/>
        <v>1033</v>
      </c>
      <c r="B1034" s="533">
        <v>8200</v>
      </c>
      <c r="C1034" s="472">
        <v>5319</v>
      </c>
      <c r="D1034" s="472" t="s">
        <v>529</v>
      </c>
      <c r="E1034" s="590">
        <v>5366</v>
      </c>
      <c r="F1034" s="389" t="s">
        <v>409</v>
      </c>
      <c r="G1034" s="551"/>
      <c r="H1034" s="337">
        <v>0</v>
      </c>
      <c r="I1034" s="337">
        <v>7</v>
      </c>
      <c r="J1034" s="338">
        <v>7</v>
      </c>
      <c r="K1034" s="339">
        <f t="shared" si="71"/>
        <v>0</v>
      </c>
      <c r="L1034" s="343">
        <f>J1034/I1034*100</f>
        <v>100</v>
      </c>
      <c r="N1034" s="344">
        <f t="shared" si="70"/>
        <v>0</v>
      </c>
    </row>
    <row r="1035" spans="1:14" ht="12.75" customHeight="1">
      <c r="A1035" s="326">
        <f t="shared" si="69"/>
        <v>1034</v>
      </c>
      <c r="B1035" s="533"/>
      <c r="C1035" s="447" t="s">
        <v>364</v>
      </c>
      <c r="D1035" s="472"/>
      <c r="E1035" s="472"/>
      <c r="F1035" s="389"/>
      <c r="G1035" s="420"/>
      <c r="H1035" s="349">
        <f>SUBTOTAL(9,H1019:H1034)</f>
        <v>654</v>
      </c>
      <c r="I1035" s="349">
        <f>SUBTOTAL(9,I1019:I1034)</f>
        <v>1653</v>
      </c>
      <c r="J1035" s="349">
        <f>SUBTOTAL(9,J1019:J1034)</f>
        <v>1626</v>
      </c>
      <c r="K1035" s="450">
        <f t="shared" si="71"/>
        <v>-27</v>
      </c>
      <c r="L1035" s="451">
        <f>J1035/I1035*100</f>
        <v>98.36660617059891</v>
      </c>
      <c r="N1035" s="344">
        <f t="shared" si="70"/>
        <v>0</v>
      </c>
    </row>
    <row r="1036" spans="1:14" ht="12.75" customHeight="1">
      <c r="A1036" s="326">
        <f t="shared" si="69"/>
        <v>1035</v>
      </c>
      <c r="B1036" s="533">
        <v>8200</v>
      </c>
      <c r="C1036" s="472">
        <v>6399</v>
      </c>
      <c r="D1036" s="472" t="s">
        <v>81</v>
      </c>
      <c r="E1036" s="590">
        <v>5909</v>
      </c>
      <c r="F1036" s="389" t="s">
        <v>318</v>
      </c>
      <c r="G1036" s="551"/>
      <c r="H1036" s="337">
        <v>0</v>
      </c>
      <c r="I1036" s="337">
        <v>0</v>
      </c>
      <c r="J1036" s="338">
        <v>2310</v>
      </c>
      <c r="K1036" s="339">
        <f t="shared" si="71"/>
        <v>2310</v>
      </c>
      <c r="L1036" s="490"/>
      <c r="N1036" s="344">
        <f t="shared" si="70"/>
        <v>0</v>
      </c>
    </row>
    <row r="1037" spans="1:14" ht="12.75" customHeight="1">
      <c r="A1037" s="326">
        <f t="shared" si="69"/>
        <v>1036</v>
      </c>
      <c r="B1037" s="533"/>
      <c r="C1037" s="447" t="s">
        <v>326</v>
      </c>
      <c r="D1037" s="472"/>
      <c r="E1037" s="472"/>
      <c r="F1037" s="389"/>
      <c r="G1037" s="420"/>
      <c r="H1037" s="349">
        <f>SUBTOTAL(9,H1036:H1036)</f>
        <v>0</v>
      </c>
      <c r="I1037" s="349">
        <f>SUBTOTAL(9,I1036:I1036)</f>
        <v>0</v>
      </c>
      <c r="J1037" s="349">
        <f>SUBTOTAL(9,J1036:J1036)</f>
        <v>2310</v>
      </c>
      <c r="K1037" s="450">
        <f t="shared" si="71"/>
        <v>2310</v>
      </c>
      <c r="L1037" s="451"/>
      <c r="N1037" s="344">
        <f t="shared" si="70"/>
        <v>0</v>
      </c>
    </row>
    <row r="1038" spans="1:14" ht="13.5" customHeight="1" thickBot="1">
      <c r="A1038" s="326">
        <f t="shared" si="69"/>
        <v>1037</v>
      </c>
      <c r="B1038" s="366" t="s">
        <v>28</v>
      </c>
      <c r="C1038" s="367"/>
      <c r="D1038" s="367"/>
      <c r="E1038" s="367"/>
      <c r="F1038" s="367"/>
      <c r="G1038" s="368"/>
      <c r="H1038" s="369">
        <f>SUBTOTAL(9,H934:H1037)</f>
        <v>357094</v>
      </c>
      <c r="I1038" s="369">
        <f>SUBTOTAL(9,I934:I1037)</f>
        <v>359132</v>
      </c>
      <c r="J1038" s="369">
        <f>SUBTOTAL(9,J934:J1037)</f>
        <v>346573</v>
      </c>
      <c r="K1038" s="370">
        <f t="shared" si="71"/>
        <v>-12559</v>
      </c>
      <c r="L1038" s="371">
        <f>J1038/I1038*100</f>
        <v>96.50295712996892</v>
      </c>
      <c r="N1038" s="344">
        <f t="shared" si="70"/>
        <v>0</v>
      </c>
    </row>
    <row r="1039" spans="1:14" ht="9" customHeight="1">
      <c r="A1039" s="326">
        <f t="shared" si="69"/>
        <v>1038</v>
      </c>
      <c r="B1039" s="591"/>
      <c r="C1039" s="592"/>
      <c r="D1039" s="592"/>
      <c r="E1039" s="592"/>
      <c r="F1039" s="592"/>
      <c r="G1039" s="593"/>
      <c r="H1039" s="594"/>
      <c r="I1039" s="594"/>
      <c r="J1039" s="595"/>
      <c r="K1039" s="596"/>
      <c r="L1039" s="597"/>
      <c r="N1039" s="344">
        <f t="shared" si="70"/>
        <v>0</v>
      </c>
    </row>
    <row r="1040" spans="1:14" ht="15.75">
      <c r="A1040" s="326">
        <f t="shared" si="69"/>
        <v>1039</v>
      </c>
      <c r="B1040" s="473" t="s">
        <v>584</v>
      </c>
      <c r="C1040" s="472"/>
      <c r="D1040" s="472"/>
      <c r="E1040" s="472"/>
      <c r="F1040" s="259"/>
      <c r="G1040" s="420"/>
      <c r="H1040" s="452"/>
      <c r="I1040" s="452"/>
      <c r="J1040" s="453"/>
      <c r="K1040" s="456"/>
      <c r="L1040" s="457"/>
      <c r="N1040" s="344">
        <f t="shared" si="70"/>
        <v>0</v>
      </c>
    </row>
    <row r="1041" spans="1:14" ht="12.75" customHeight="1">
      <c r="A1041" s="326">
        <f t="shared" si="69"/>
        <v>1040</v>
      </c>
      <c r="B1041" s="533">
        <v>8887</v>
      </c>
      <c r="C1041" s="472">
        <v>6399</v>
      </c>
      <c r="D1041" s="472" t="s">
        <v>81</v>
      </c>
      <c r="E1041" s="472">
        <v>5909</v>
      </c>
      <c r="F1041" s="259" t="s">
        <v>318</v>
      </c>
      <c r="G1041" s="420" t="s">
        <v>585</v>
      </c>
      <c r="H1041" s="452"/>
      <c r="I1041" s="452"/>
      <c r="J1041" s="453">
        <v>2707</v>
      </c>
      <c r="K1041" s="339">
        <f t="shared" si="71"/>
        <v>2707</v>
      </c>
      <c r="L1041" s="490"/>
      <c r="N1041" s="344">
        <f t="shared" si="70"/>
        <v>0</v>
      </c>
    </row>
    <row r="1042" spans="1:14" ht="12.75" customHeight="1">
      <c r="A1042" s="326">
        <f t="shared" si="69"/>
        <v>1041</v>
      </c>
      <c r="B1042" s="533"/>
      <c r="C1042" s="447" t="s">
        <v>326</v>
      </c>
      <c r="D1042" s="472"/>
      <c r="E1042" s="472"/>
      <c r="F1042" s="389"/>
      <c r="G1042" s="420"/>
      <c r="H1042" s="448">
        <f aca="true" t="shared" si="72" ref="H1042:K1043">SUBTOTAL(9,H1041:H1041)</f>
        <v>0</v>
      </c>
      <c r="I1042" s="448">
        <f t="shared" si="72"/>
        <v>0</v>
      </c>
      <c r="J1042" s="449">
        <f t="shared" si="72"/>
        <v>2707</v>
      </c>
      <c r="K1042" s="456">
        <f t="shared" si="72"/>
        <v>2707</v>
      </c>
      <c r="L1042" s="457"/>
      <c r="N1042" s="344">
        <f t="shared" si="70"/>
        <v>0</v>
      </c>
    </row>
    <row r="1043" spans="1:14" ht="13.5" customHeight="1" thickBot="1">
      <c r="A1043" s="326">
        <f t="shared" si="69"/>
        <v>1042</v>
      </c>
      <c r="B1043" s="598" t="s">
        <v>277</v>
      </c>
      <c r="C1043" s="599"/>
      <c r="D1043" s="599"/>
      <c r="E1043" s="599"/>
      <c r="F1043" s="599"/>
      <c r="G1043" s="600"/>
      <c r="H1043" s="601">
        <f t="shared" si="72"/>
        <v>0</v>
      </c>
      <c r="I1043" s="601">
        <f t="shared" si="72"/>
        <v>0</v>
      </c>
      <c r="J1043" s="602">
        <f t="shared" si="72"/>
        <v>0</v>
      </c>
      <c r="K1043" s="603"/>
      <c r="L1043" s="604"/>
      <c r="N1043" s="344">
        <f t="shared" si="70"/>
        <v>0</v>
      </c>
    </row>
    <row r="1044" spans="1:14" ht="13.5" thickBot="1">
      <c r="A1044" s="326">
        <f t="shared" si="69"/>
        <v>1043</v>
      </c>
      <c r="B1044" s="605" t="s">
        <v>586</v>
      </c>
      <c r="C1044" s="606"/>
      <c r="D1044" s="606"/>
      <c r="E1044" s="606"/>
      <c r="F1044" s="606"/>
      <c r="G1044" s="606"/>
      <c r="H1044" s="607">
        <f>SUBTOTAL(9,H1:H1043)</f>
        <v>7802445</v>
      </c>
      <c r="I1044" s="607">
        <f>SUBTOTAL(9,I1:I1043)</f>
        <v>8185038.99</v>
      </c>
      <c r="J1044" s="608">
        <f>SUBTOTAL(9,J1:J1043)</f>
        <v>7731879</v>
      </c>
      <c r="K1044" s="609">
        <f t="shared" si="71"/>
        <v>-453159.9900000002</v>
      </c>
      <c r="L1044" s="610">
        <f>J1044/I1044*100</f>
        <v>94.46355734464254</v>
      </c>
      <c r="N1044" s="344">
        <f t="shared" si="70"/>
        <v>0</v>
      </c>
    </row>
    <row r="1045" ht="12.75">
      <c r="N1045" s="344">
        <f t="shared" si="70"/>
        <v>0</v>
      </c>
    </row>
    <row r="1047" spans="8:10" ht="12.75" hidden="1">
      <c r="H1047" s="613">
        <v>7802445</v>
      </c>
      <c r="I1047" s="613">
        <v>8185039</v>
      </c>
      <c r="J1047" s="613">
        <v>7731879</v>
      </c>
    </row>
  </sheetData>
  <sheetProtection/>
  <mergeCells count="6">
    <mergeCell ref="C186:D186"/>
    <mergeCell ref="C188:D188"/>
    <mergeCell ref="C191:D191"/>
    <mergeCell ref="C400:D400"/>
    <mergeCell ref="B482:D482"/>
    <mergeCell ref="B507:D507"/>
  </mergeCells>
  <printOptions/>
  <pageMargins left="0.7086614173228347" right="0.7086614173228347" top="0.7874015748031497" bottom="0.7874015748031497" header="0.39" footer="0.31496062992125984"/>
  <pageSetup horizontalDpi="600" verticalDpi="600" orientation="landscape" paperSize="9" scale="77" r:id="rId1"/>
  <headerFooter>
    <oddHeader>&amp;C&amp;"Times New Roman,Tučné"&amp;14Čerpání rozpočtu běžných výdajů města k 31.12.2014 (v tis. Kč)</oddHeader>
  </headerFooter>
  <rowBreaks count="2" manualBreakCount="2">
    <brk id="49" max="11" man="1"/>
    <brk id="92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98"/>
  <sheetViews>
    <sheetView showZeros="0" zoomScaleSheetLayoutView="75" zoomScalePageLayoutView="0" workbookViewId="0" topLeftCell="A1">
      <selection activeCell="F67" sqref="F67"/>
    </sheetView>
  </sheetViews>
  <sheetFormatPr defaultColWidth="5.75390625" defaultRowHeight="12.75"/>
  <cols>
    <col min="1" max="1" width="7.75390625" style="1" customWidth="1"/>
    <col min="2" max="2" width="7.75390625" style="22" customWidth="1"/>
    <col min="3" max="3" width="38.375" style="18" customWidth="1"/>
    <col min="4" max="4" width="13.375" style="4" customWidth="1"/>
    <col min="5" max="5" width="13.75390625" style="4" customWidth="1"/>
    <col min="6" max="6" width="13.875" style="4" customWidth="1"/>
    <col min="7" max="8" width="8.875" style="33" customWidth="1"/>
    <col min="9" max="15" width="5.75390625" style="238" customWidth="1"/>
    <col min="16" max="16384" width="5.75390625" style="1" customWidth="1"/>
  </cols>
  <sheetData>
    <row r="1" spans="1:15" s="3" customFormat="1" ht="13.5" thickBot="1">
      <c r="A1" s="49" t="s">
        <v>226</v>
      </c>
      <c r="B1" s="2" t="s">
        <v>0</v>
      </c>
      <c r="C1" s="2" t="s">
        <v>3</v>
      </c>
      <c r="D1" s="40" t="s">
        <v>245</v>
      </c>
      <c r="E1" s="40" t="s">
        <v>298</v>
      </c>
      <c r="F1" s="40" t="s">
        <v>299</v>
      </c>
      <c r="G1" s="34" t="s">
        <v>50</v>
      </c>
      <c r="H1" s="35" t="s">
        <v>51</v>
      </c>
      <c r="I1" s="246"/>
      <c r="J1" s="246"/>
      <c r="K1" s="246"/>
      <c r="L1" s="246"/>
      <c r="M1" s="246"/>
      <c r="N1" s="246"/>
      <c r="O1" s="246"/>
    </row>
    <row r="2" spans="1:8" ht="12.75">
      <c r="A2" s="280" t="s">
        <v>43</v>
      </c>
      <c r="B2" s="281"/>
      <c r="C2" s="282"/>
      <c r="D2" s="37"/>
      <c r="E2" s="269"/>
      <c r="F2" s="300"/>
      <c r="G2" s="45">
        <f aca="true" t="shared" si="0" ref="G2:H4">IF(D2&lt;=0,0,$F2/D2*100)</f>
        <v>0</v>
      </c>
      <c r="H2" s="46">
        <f t="shared" si="0"/>
        <v>0</v>
      </c>
    </row>
    <row r="3" spans="1:8" ht="12.75">
      <c r="A3" s="283">
        <v>1700</v>
      </c>
      <c r="B3" s="281">
        <v>6409</v>
      </c>
      <c r="C3" s="282" t="s">
        <v>263</v>
      </c>
      <c r="D3" s="23"/>
      <c r="E3" s="9">
        <v>214703</v>
      </c>
      <c r="F3" s="9">
        <v>214703</v>
      </c>
      <c r="G3" s="273">
        <f t="shared" si="0"/>
        <v>0</v>
      </c>
      <c r="H3" s="44">
        <f t="shared" si="0"/>
        <v>100</v>
      </c>
    </row>
    <row r="4" spans="1:8" ht="12.75">
      <c r="A4" s="284" t="s">
        <v>189</v>
      </c>
      <c r="B4" s="285"/>
      <c r="C4" s="286"/>
      <c r="D4" s="37">
        <f>SUBTOTAL(9,D3:D3)</f>
        <v>0</v>
      </c>
      <c r="E4" s="36">
        <f>SUBTOTAL(9,E3:E3)</f>
        <v>214703</v>
      </c>
      <c r="F4" s="36">
        <f>SUBTOTAL(9,F3:F3)</f>
        <v>214703</v>
      </c>
      <c r="G4" s="60">
        <f t="shared" si="0"/>
        <v>0</v>
      </c>
      <c r="H4" s="46">
        <f t="shared" si="0"/>
        <v>100</v>
      </c>
    </row>
    <row r="5" spans="1:8" ht="12.75">
      <c r="A5" s="280"/>
      <c r="B5" s="281"/>
      <c r="C5" s="282"/>
      <c r="D5" s="37"/>
      <c r="E5" s="36"/>
      <c r="F5" s="300"/>
      <c r="G5" s="45"/>
      <c r="H5" s="46"/>
    </row>
    <row r="6" spans="1:8" ht="12.75">
      <c r="A6" s="280" t="s">
        <v>166</v>
      </c>
      <c r="B6" s="281"/>
      <c r="C6" s="282"/>
      <c r="D6" s="37"/>
      <c r="E6" s="36"/>
      <c r="F6" s="300"/>
      <c r="G6" s="45">
        <f>IF(D6&lt;=0,0,$F6/D6*100)</f>
        <v>0</v>
      </c>
      <c r="H6" s="46">
        <f>IF(E6&lt;=0,0,$F6/E6*100)</f>
        <v>0</v>
      </c>
    </row>
    <row r="7" spans="1:8" ht="12.75">
      <c r="A7" s="283">
        <v>1900</v>
      </c>
      <c r="B7" s="281">
        <v>2143</v>
      </c>
      <c r="C7" s="282" t="s">
        <v>185</v>
      </c>
      <c r="D7" s="23">
        <v>1325</v>
      </c>
      <c r="E7" s="9">
        <v>4350</v>
      </c>
      <c r="F7" s="9">
        <v>2524</v>
      </c>
      <c r="G7" s="47">
        <f>IF(D7&lt;=0,0,$F7/D7*100)</f>
        <v>190.49056603773585</v>
      </c>
      <c r="H7" s="48">
        <f>IF(E7&lt;=0,0,$F7/E7*100)</f>
        <v>58.02298850574713</v>
      </c>
    </row>
    <row r="8" spans="1:8" ht="12.75">
      <c r="A8" s="284" t="s">
        <v>164</v>
      </c>
      <c r="B8" s="285"/>
      <c r="C8" s="286"/>
      <c r="D8" s="37">
        <f>SUBTOTAL(9,D7:D7)</f>
        <v>1325</v>
      </c>
      <c r="E8" s="36">
        <f>SUBTOTAL(9,E7:E7)</f>
        <v>4350</v>
      </c>
      <c r="F8" s="36">
        <f>SUBTOTAL(9,F7:F7)</f>
        <v>2524</v>
      </c>
      <c r="G8" s="60">
        <f aca="true" t="shared" si="1" ref="G8:G93">IF(D8&lt;=0,0,$F8/D8*100)</f>
        <v>190.49056603773585</v>
      </c>
      <c r="H8" s="46">
        <f aca="true" t="shared" si="2" ref="H8:H93">IF(E8&lt;=0,0,$F8/E8*100)</f>
        <v>58.02298850574713</v>
      </c>
    </row>
    <row r="9" spans="1:8" ht="12.75">
      <c r="A9" s="24"/>
      <c r="B9" s="17"/>
      <c r="C9" s="11"/>
      <c r="D9" s="37"/>
      <c r="E9" s="36"/>
      <c r="F9" s="36"/>
      <c r="G9" s="45">
        <f t="shared" si="1"/>
        <v>0</v>
      </c>
      <c r="H9" s="46">
        <f t="shared" si="2"/>
        <v>0</v>
      </c>
    </row>
    <row r="10" spans="1:8" ht="12.75">
      <c r="A10" s="280" t="s">
        <v>36</v>
      </c>
      <c r="B10" s="17"/>
      <c r="C10" s="11"/>
      <c r="D10" s="37"/>
      <c r="E10" s="36"/>
      <c r="F10" s="36"/>
      <c r="G10" s="45">
        <f t="shared" si="1"/>
        <v>0</v>
      </c>
      <c r="H10" s="46">
        <f t="shared" si="2"/>
        <v>0</v>
      </c>
    </row>
    <row r="11" spans="1:8" ht="12.75">
      <c r="A11" s="283">
        <v>3200</v>
      </c>
      <c r="B11" s="17">
        <v>6171</v>
      </c>
      <c r="C11" s="11" t="s">
        <v>9</v>
      </c>
      <c r="D11" s="23">
        <v>1550</v>
      </c>
      <c r="E11" s="9">
        <v>3800</v>
      </c>
      <c r="F11" s="9">
        <v>3542</v>
      </c>
      <c r="G11" s="47">
        <f t="shared" si="1"/>
        <v>228.51612903225805</v>
      </c>
      <c r="H11" s="48">
        <f t="shared" si="2"/>
        <v>93.21052631578948</v>
      </c>
    </row>
    <row r="12" spans="1:8" ht="12.75">
      <c r="A12" s="284" t="s">
        <v>33</v>
      </c>
      <c r="B12" s="17"/>
      <c r="C12" s="11"/>
      <c r="D12" s="37">
        <f>SUBTOTAL(9,D11:D11)</f>
        <v>1550</v>
      </c>
      <c r="E12" s="36">
        <f>SUBTOTAL(9,E11:E11)</f>
        <v>3800</v>
      </c>
      <c r="F12" s="36">
        <f>SUBTOTAL(9,F11:F11)</f>
        <v>3542</v>
      </c>
      <c r="G12" s="302">
        <f t="shared" si="1"/>
        <v>228.51612903225805</v>
      </c>
      <c r="H12" s="303">
        <f t="shared" si="2"/>
        <v>93.21052631578948</v>
      </c>
    </row>
    <row r="13" spans="1:8" ht="12.75">
      <c r="A13" s="24"/>
      <c r="B13" s="17"/>
      <c r="C13" s="11"/>
      <c r="D13" s="37"/>
      <c r="E13" s="36"/>
      <c r="F13" s="36"/>
      <c r="G13" s="60">
        <f t="shared" si="1"/>
        <v>0</v>
      </c>
      <c r="H13" s="46">
        <f t="shared" si="2"/>
        <v>0</v>
      </c>
    </row>
    <row r="14" spans="1:15" s="3" customFormat="1" ht="12.75">
      <c r="A14" s="280" t="s">
        <v>55</v>
      </c>
      <c r="B14" s="281"/>
      <c r="C14" s="282"/>
      <c r="D14" s="37"/>
      <c r="E14" s="36"/>
      <c r="F14" s="36"/>
      <c r="G14" s="45">
        <f t="shared" si="1"/>
        <v>0</v>
      </c>
      <c r="H14" s="46">
        <f t="shared" si="2"/>
        <v>0</v>
      </c>
      <c r="I14" s="246"/>
      <c r="J14" s="246"/>
      <c r="K14" s="246"/>
      <c r="L14" s="246"/>
      <c r="M14" s="246"/>
      <c r="N14" s="246"/>
      <c r="O14" s="246"/>
    </row>
    <row r="15" spans="1:8" ht="12.75">
      <c r="A15" s="283">
        <v>3900</v>
      </c>
      <c r="B15" s="281">
        <v>6211</v>
      </c>
      <c r="C15" s="282" t="s">
        <v>56</v>
      </c>
      <c r="D15" s="23">
        <v>1500</v>
      </c>
      <c r="E15" s="9">
        <v>1000</v>
      </c>
      <c r="F15" s="9">
        <v>151</v>
      </c>
      <c r="G15" s="304">
        <f t="shared" si="1"/>
        <v>10.066666666666666</v>
      </c>
      <c r="H15" s="305">
        <f t="shared" si="2"/>
        <v>15.1</v>
      </c>
    </row>
    <row r="16" spans="1:8" ht="12.75">
      <c r="A16" s="284" t="s">
        <v>196</v>
      </c>
      <c r="B16" s="285"/>
      <c r="C16" s="286"/>
      <c r="D16" s="37">
        <f>SUBTOTAL(9,D15:D15)</f>
        <v>1500</v>
      </c>
      <c r="E16" s="36">
        <f>SUBTOTAL(9,E15:E15)</f>
        <v>1000</v>
      </c>
      <c r="F16" s="36">
        <f>SUBTOTAL(9,F15:F15)</f>
        <v>151</v>
      </c>
      <c r="G16" s="302">
        <f t="shared" si="1"/>
        <v>10.066666666666666</v>
      </c>
      <c r="H16" s="303">
        <f t="shared" si="2"/>
        <v>15.1</v>
      </c>
    </row>
    <row r="17" spans="1:8" ht="12.75">
      <c r="A17" s="24"/>
      <c r="B17" s="17"/>
      <c r="C17" s="11"/>
      <c r="D17" s="37"/>
      <c r="E17" s="36"/>
      <c r="F17" s="36"/>
      <c r="G17" s="47">
        <f t="shared" si="1"/>
        <v>0</v>
      </c>
      <c r="H17" s="48">
        <f t="shared" si="2"/>
        <v>0</v>
      </c>
    </row>
    <row r="18" spans="1:8" ht="12.75">
      <c r="A18" s="280" t="s">
        <v>83</v>
      </c>
      <c r="B18" s="281"/>
      <c r="C18" s="282"/>
      <c r="D18" s="37"/>
      <c r="E18" s="36"/>
      <c r="F18" s="36"/>
      <c r="G18" s="45">
        <f t="shared" si="1"/>
        <v>0</v>
      </c>
      <c r="H18" s="46">
        <f t="shared" si="2"/>
        <v>0</v>
      </c>
    </row>
    <row r="19" spans="1:15" s="3" customFormat="1" ht="12.75">
      <c r="A19" s="283">
        <v>4100</v>
      </c>
      <c r="B19" s="281">
        <v>3113</v>
      </c>
      <c r="C19" s="287" t="s">
        <v>23</v>
      </c>
      <c r="D19" s="23"/>
      <c r="E19" s="9">
        <v>150</v>
      </c>
      <c r="F19" s="9">
        <v>77</v>
      </c>
      <c r="G19" s="273">
        <f t="shared" si="1"/>
        <v>0</v>
      </c>
      <c r="H19" s="44">
        <f t="shared" si="2"/>
        <v>51.33333333333333</v>
      </c>
      <c r="I19" s="246"/>
      <c r="J19" s="246"/>
      <c r="K19" s="246"/>
      <c r="L19" s="246"/>
      <c r="M19" s="246"/>
      <c r="N19" s="246"/>
      <c r="O19" s="246"/>
    </row>
    <row r="20" spans="1:15" s="3" customFormat="1" ht="12.75">
      <c r="A20" s="283">
        <v>4100</v>
      </c>
      <c r="B20" s="281">
        <v>3421</v>
      </c>
      <c r="C20" s="287" t="s">
        <v>264</v>
      </c>
      <c r="D20" s="23"/>
      <c r="E20" s="9">
        <v>95049</v>
      </c>
      <c r="F20" s="9">
        <v>95049</v>
      </c>
      <c r="G20" s="273">
        <f t="shared" si="1"/>
        <v>0</v>
      </c>
      <c r="H20" s="44">
        <f t="shared" si="2"/>
        <v>100</v>
      </c>
      <c r="I20" s="246"/>
      <c r="J20" s="246"/>
      <c r="K20" s="246"/>
      <c r="L20" s="246"/>
      <c r="M20" s="246"/>
      <c r="N20" s="246"/>
      <c r="O20" s="246"/>
    </row>
    <row r="21" spans="1:8" ht="12.75">
      <c r="A21" s="283">
        <v>4100</v>
      </c>
      <c r="B21" s="281">
        <v>3429</v>
      </c>
      <c r="C21" s="282" t="s">
        <v>58</v>
      </c>
      <c r="D21" s="23"/>
      <c r="E21" s="9">
        <v>30</v>
      </c>
      <c r="F21" s="9">
        <v>27</v>
      </c>
      <c r="G21" s="273">
        <f t="shared" si="1"/>
        <v>0</v>
      </c>
      <c r="H21" s="44">
        <f t="shared" si="2"/>
        <v>90</v>
      </c>
    </row>
    <row r="22" spans="1:8" ht="12.75">
      <c r="A22" s="283">
        <v>4100</v>
      </c>
      <c r="B22" s="281">
        <v>3522</v>
      </c>
      <c r="C22" s="282" t="s">
        <v>265</v>
      </c>
      <c r="D22" s="23"/>
      <c r="E22" s="9">
        <v>66216</v>
      </c>
      <c r="F22" s="9">
        <v>66214</v>
      </c>
      <c r="G22" s="273">
        <f t="shared" si="1"/>
        <v>0</v>
      </c>
      <c r="H22" s="44">
        <f t="shared" si="2"/>
        <v>99.99697958197414</v>
      </c>
    </row>
    <row r="23" spans="1:15" s="3" customFormat="1" ht="12.75">
      <c r="A23" s="283">
        <v>4100</v>
      </c>
      <c r="B23" s="281">
        <v>3639</v>
      </c>
      <c r="C23" s="287" t="s">
        <v>124</v>
      </c>
      <c r="D23" s="23">
        <v>5000</v>
      </c>
      <c r="E23" s="9">
        <v>3500</v>
      </c>
      <c r="F23" s="9">
        <v>2691</v>
      </c>
      <c r="G23" s="273">
        <f>IF(D23&lt;=0,0,$F23/D23*100)</f>
        <v>53.82</v>
      </c>
      <c r="H23" s="44">
        <f>IF(E23&lt;=0,0,$F23/E23*100)</f>
        <v>76.88571428571429</v>
      </c>
      <c r="I23" s="246"/>
      <c r="J23" s="246"/>
      <c r="K23" s="246"/>
      <c r="L23" s="246"/>
      <c r="M23" s="246"/>
      <c r="N23" s="246"/>
      <c r="O23" s="246"/>
    </row>
    <row r="24" spans="1:15" s="3" customFormat="1" ht="12.75">
      <c r="A24" s="283">
        <v>4100</v>
      </c>
      <c r="B24" s="281">
        <v>3745</v>
      </c>
      <c r="C24" s="287" t="s">
        <v>280</v>
      </c>
      <c r="D24" s="23"/>
      <c r="E24" s="9">
        <v>1000</v>
      </c>
      <c r="F24" s="9">
        <v>1000</v>
      </c>
      <c r="G24" s="273">
        <f t="shared" si="1"/>
        <v>0</v>
      </c>
      <c r="H24" s="44">
        <f t="shared" si="2"/>
        <v>100</v>
      </c>
      <c r="I24" s="246"/>
      <c r="J24" s="246"/>
      <c r="K24" s="246"/>
      <c r="L24" s="246"/>
      <c r="M24" s="246"/>
      <c r="N24" s="246"/>
      <c r="O24" s="246"/>
    </row>
    <row r="25" spans="1:15" s="3" customFormat="1" ht="12.75">
      <c r="A25" s="284" t="s">
        <v>191</v>
      </c>
      <c r="B25" s="285"/>
      <c r="C25" s="286"/>
      <c r="D25" s="37">
        <f>SUBTOTAL(9,D19:D24)</f>
        <v>5000</v>
      </c>
      <c r="E25" s="36">
        <f>SUBTOTAL(9,E19:E24)</f>
        <v>165945</v>
      </c>
      <c r="F25" s="36">
        <f>SUBTOTAL(9,F19:F24)</f>
        <v>165058</v>
      </c>
      <c r="G25" s="45">
        <f t="shared" si="1"/>
        <v>3301.1600000000003</v>
      </c>
      <c r="H25" s="46">
        <f t="shared" si="2"/>
        <v>99.46548555244208</v>
      </c>
      <c r="I25" s="246"/>
      <c r="J25" s="246"/>
      <c r="K25" s="246"/>
      <c r="L25" s="246"/>
      <c r="M25" s="246"/>
      <c r="N25" s="246"/>
      <c r="O25" s="246"/>
    </row>
    <row r="26" spans="1:15" s="3" customFormat="1" ht="12.75">
      <c r="A26" s="24"/>
      <c r="B26" s="17"/>
      <c r="C26" s="10"/>
      <c r="D26" s="37"/>
      <c r="E26" s="36"/>
      <c r="F26" s="36"/>
      <c r="G26" s="47">
        <f t="shared" si="1"/>
        <v>0</v>
      </c>
      <c r="H26" s="48">
        <f t="shared" si="2"/>
        <v>0</v>
      </c>
      <c r="I26" s="246"/>
      <c r="J26" s="246"/>
      <c r="K26" s="246"/>
      <c r="L26" s="246"/>
      <c r="M26" s="246"/>
      <c r="N26" s="246"/>
      <c r="O26" s="246"/>
    </row>
    <row r="27" spans="1:8" ht="12.75">
      <c r="A27" s="280" t="s">
        <v>4</v>
      </c>
      <c r="B27" s="281"/>
      <c r="C27" s="282"/>
      <c r="D27" s="37"/>
      <c r="E27" s="36"/>
      <c r="F27" s="36"/>
      <c r="G27" s="45">
        <f aca="true" t="shared" si="3" ref="G27:H33">IF(D27&lt;=0,0,$F27/D27*100)</f>
        <v>0</v>
      </c>
      <c r="H27" s="46">
        <f t="shared" si="3"/>
        <v>0</v>
      </c>
    </row>
    <row r="28" spans="1:15" s="3" customFormat="1" ht="12.75">
      <c r="A28" s="283">
        <v>4200</v>
      </c>
      <c r="B28" s="281">
        <v>3632</v>
      </c>
      <c r="C28" s="282" t="s">
        <v>1</v>
      </c>
      <c r="D28" s="23"/>
      <c r="E28" s="9">
        <v>5070</v>
      </c>
      <c r="F28" s="9">
        <v>4025</v>
      </c>
      <c r="G28" s="273">
        <f t="shared" si="3"/>
        <v>0</v>
      </c>
      <c r="H28" s="44">
        <f t="shared" si="3"/>
        <v>79.38856015779092</v>
      </c>
      <c r="I28" s="246"/>
      <c r="J28" s="246"/>
      <c r="K28" s="246"/>
      <c r="L28" s="246"/>
      <c r="M28" s="246"/>
      <c r="N28" s="246"/>
      <c r="O28" s="246"/>
    </row>
    <row r="29" spans="1:15" s="3" customFormat="1" ht="12.75">
      <c r="A29" s="283">
        <v>4200</v>
      </c>
      <c r="B29" s="281">
        <v>3725</v>
      </c>
      <c r="C29" s="282" t="s">
        <v>282</v>
      </c>
      <c r="D29" s="23"/>
      <c r="E29" s="9">
        <v>4000</v>
      </c>
      <c r="F29" s="9">
        <v>4000</v>
      </c>
      <c r="G29" s="273">
        <f t="shared" si="3"/>
        <v>0</v>
      </c>
      <c r="H29" s="44">
        <f t="shared" si="3"/>
        <v>100</v>
      </c>
      <c r="I29" s="246"/>
      <c r="J29" s="246"/>
      <c r="K29" s="246"/>
      <c r="L29" s="246"/>
      <c r="M29" s="246"/>
      <c r="N29" s="246"/>
      <c r="O29" s="246"/>
    </row>
    <row r="30" spans="1:8" ht="12.75">
      <c r="A30" s="283">
        <v>4200</v>
      </c>
      <c r="B30" s="281">
        <v>3741</v>
      </c>
      <c r="C30" s="282" t="s">
        <v>6</v>
      </c>
      <c r="D30" s="23"/>
      <c r="E30" s="9">
        <v>3100</v>
      </c>
      <c r="F30" s="9">
        <v>3100</v>
      </c>
      <c r="G30" s="273">
        <f t="shared" si="3"/>
        <v>0</v>
      </c>
      <c r="H30" s="44">
        <f t="shared" si="3"/>
        <v>100</v>
      </c>
    </row>
    <row r="31" spans="1:8" ht="12.75">
      <c r="A31" s="283">
        <v>4200</v>
      </c>
      <c r="B31" s="281">
        <v>3745</v>
      </c>
      <c r="C31" s="282" t="s">
        <v>280</v>
      </c>
      <c r="D31" s="23"/>
      <c r="E31" s="9">
        <v>3193</v>
      </c>
      <c r="F31" s="9">
        <v>2987</v>
      </c>
      <c r="G31" s="273">
        <f t="shared" si="3"/>
        <v>0</v>
      </c>
      <c r="H31" s="44">
        <f t="shared" si="3"/>
        <v>93.54838709677419</v>
      </c>
    </row>
    <row r="32" spans="1:8" ht="12.75">
      <c r="A32" s="283">
        <v>4200</v>
      </c>
      <c r="B32" s="281">
        <v>3792</v>
      </c>
      <c r="C32" s="282" t="s">
        <v>8</v>
      </c>
      <c r="D32" s="23"/>
      <c r="E32" s="9">
        <v>20</v>
      </c>
      <c r="F32" s="9">
        <v>20</v>
      </c>
      <c r="G32" s="273">
        <f t="shared" si="3"/>
        <v>0</v>
      </c>
      <c r="H32" s="44">
        <f t="shared" si="3"/>
        <v>100</v>
      </c>
    </row>
    <row r="33" spans="1:15" s="3" customFormat="1" ht="12.75">
      <c r="A33" s="283">
        <v>4200</v>
      </c>
      <c r="B33" s="281">
        <v>6409</v>
      </c>
      <c r="C33" s="282" t="s">
        <v>281</v>
      </c>
      <c r="D33" s="23"/>
      <c r="E33" s="9">
        <v>1062</v>
      </c>
      <c r="F33" s="9">
        <v>1062</v>
      </c>
      <c r="G33" s="273">
        <f t="shared" si="3"/>
        <v>0</v>
      </c>
      <c r="H33" s="44">
        <f t="shared" si="3"/>
        <v>100</v>
      </c>
      <c r="I33" s="246"/>
      <c r="J33" s="246"/>
      <c r="K33" s="246"/>
      <c r="L33" s="246"/>
      <c r="M33" s="246"/>
      <c r="N33" s="246"/>
      <c r="O33" s="246"/>
    </row>
    <row r="34" spans="1:15" s="3" customFormat="1" ht="12.75">
      <c r="A34" s="284" t="s">
        <v>190</v>
      </c>
      <c r="B34" s="285"/>
      <c r="C34" s="282"/>
      <c r="D34" s="37">
        <f>SUBTOTAL(9,D29:D33)</f>
        <v>0</v>
      </c>
      <c r="E34" s="36">
        <f>SUBTOTAL(9,E28:E33)</f>
        <v>16445</v>
      </c>
      <c r="F34" s="36">
        <f>SUBTOTAL(9,F28:F33)</f>
        <v>15194</v>
      </c>
      <c r="G34" s="45">
        <f>IF(D34&lt;=0,0,$F34/D34*100)</f>
        <v>0</v>
      </c>
      <c r="H34" s="46">
        <f>IF(E34&lt;=0,0,$F34/E34*100)</f>
        <v>92.3928245667376</v>
      </c>
      <c r="I34" s="246"/>
      <c r="J34" s="246"/>
      <c r="K34" s="246"/>
      <c r="L34" s="246"/>
      <c r="M34" s="246"/>
      <c r="N34" s="246"/>
      <c r="O34" s="246"/>
    </row>
    <row r="35" spans="1:15" s="3" customFormat="1" ht="12.75">
      <c r="A35" s="24"/>
      <c r="B35" s="17"/>
      <c r="C35" s="10"/>
      <c r="D35" s="37"/>
      <c r="E35" s="36"/>
      <c r="F35" s="36"/>
      <c r="G35" s="47"/>
      <c r="H35" s="48"/>
      <c r="I35" s="246"/>
      <c r="J35" s="246"/>
      <c r="K35" s="246"/>
      <c r="L35" s="246"/>
      <c r="M35" s="246"/>
      <c r="N35" s="246"/>
      <c r="O35" s="246"/>
    </row>
    <row r="36" spans="1:15" s="3" customFormat="1" ht="12.75">
      <c r="A36" s="28" t="s">
        <v>37</v>
      </c>
      <c r="B36" s="19"/>
      <c r="C36" s="8"/>
      <c r="D36" s="37"/>
      <c r="E36" s="36"/>
      <c r="F36" s="36"/>
      <c r="G36" s="45">
        <f t="shared" si="1"/>
        <v>0</v>
      </c>
      <c r="H36" s="46">
        <f t="shared" si="2"/>
        <v>0</v>
      </c>
      <c r="I36" s="246"/>
      <c r="J36" s="246"/>
      <c r="K36" s="246"/>
      <c r="L36" s="246"/>
      <c r="M36" s="246"/>
      <c r="N36" s="246"/>
      <c r="O36" s="246"/>
    </row>
    <row r="37" spans="1:15" s="3" customFormat="1" ht="12.75">
      <c r="A37" s="50">
        <v>5300</v>
      </c>
      <c r="B37" s="17">
        <v>6171</v>
      </c>
      <c r="C37" s="10" t="s">
        <v>9</v>
      </c>
      <c r="D37" s="23">
        <f>54225+2299</f>
        <v>56524</v>
      </c>
      <c r="E37" s="9">
        <v>54736</v>
      </c>
      <c r="F37" s="9">
        <v>49398</v>
      </c>
      <c r="G37" s="304">
        <f t="shared" si="1"/>
        <v>87.39296581982875</v>
      </c>
      <c r="H37" s="305">
        <f t="shared" si="2"/>
        <v>90.24773458053201</v>
      </c>
      <c r="I37" s="246"/>
      <c r="J37" s="246"/>
      <c r="K37" s="246"/>
      <c r="L37" s="246"/>
      <c r="M37" s="246"/>
      <c r="N37" s="246"/>
      <c r="O37" s="246"/>
    </row>
    <row r="38" spans="1:8" ht="12.75">
      <c r="A38" s="24" t="s">
        <v>42</v>
      </c>
      <c r="B38" s="17"/>
      <c r="C38" s="10"/>
      <c r="D38" s="37">
        <f>SUBTOTAL(9,D37:D37)</f>
        <v>56524</v>
      </c>
      <c r="E38" s="36">
        <f>SUBTOTAL(9,E37:E37)</f>
        <v>54736</v>
      </c>
      <c r="F38" s="36">
        <f>SUBTOTAL(9,F37:F37)</f>
        <v>49398</v>
      </c>
      <c r="G38" s="45">
        <f t="shared" si="1"/>
        <v>87.39296581982875</v>
      </c>
      <c r="H38" s="46">
        <f t="shared" si="2"/>
        <v>90.24773458053201</v>
      </c>
    </row>
    <row r="39" spans="1:8" ht="12.75">
      <c r="A39" s="288"/>
      <c r="B39" s="289"/>
      <c r="C39" s="290"/>
      <c r="D39" s="37"/>
      <c r="E39" s="36"/>
      <c r="F39" s="36"/>
      <c r="G39" s="47">
        <f t="shared" si="1"/>
        <v>0</v>
      </c>
      <c r="H39" s="48">
        <f t="shared" si="2"/>
        <v>0</v>
      </c>
    </row>
    <row r="40" spans="1:8" ht="12.75">
      <c r="A40" s="288" t="s">
        <v>17</v>
      </c>
      <c r="B40" s="289"/>
      <c r="C40" s="290"/>
      <c r="D40" s="37"/>
      <c r="E40" s="36"/>
      <c r="F40" s="36"/>
      <c r="G40" s="45">
        <f t="shared" si="1"/>
        <v>0</v>
      </c>
      <c r="H40" s="46">
        <f t="shared" si="2"/>
        <v>0</v>
      </c>
    </row>
    <row r="41" spans="1:8" ht="12.75">
      <c r="A41" s="291">
        <v>5400</v>
      </c>
      <c r="B41" s="289">
        <v>2212</v>
      </c>
      <c r="C41" s="292" t="s">
        <v>19</v>
      </c>
      <c r="D41" s="151">
        <v>14000</v>
      </c>
      <c r="E41" s="150">
        <v>14000</v>
      </c>
      <c r="F41" s="150">
        <v>12971</v>
      </c>
      <c r="G41" s="304">
        <f t="shared" si="1"/>
        <v>92.65</v>
      </c>
      <c r="H41" s="305">
        <f t="shared" si="2"/>
        <v>92.65</v>
      </c>
    </row>
    <row r="42" spans="1:8" ht="12.75">
      <c r="A42" s="291">
        <v>5400</v>
      </c>
      <c r="B42" s="289">
        <v>2219</v>
      </c>
      <c r="C42" s="292" t="s">
        <v>53</v>
      </c>
      <c r="D42" s="299">
        <f>19406+4897</f>
        <v>24303</v>
      </c>
      <c r="E42" s="301">
        <v>69406</v>
      </c>
      <c r="F42" s="301">
        <v>59490</v>
      </c>
      <c r="G42" s="304">
        <f t="shared" si="1"/>
        <v>244.78459449450685</v>
      </c>
      <c r="H42" s="305">
        <f t="shared" si="2"/>
        <v>85.71305074489237</v>
      </c>
    </row>
    <row r="43" spans="1:8" ht="12.75">
      <c r="A43" s="291">
        <v>5400</v>
      </c>
      <c r="B43" s="289">
        <v>2271</v>
      </c>
      <c r="C43" s="292" t="s">
        <v>20</v>
      </c>
      <c r="D43" s="299"/>
      <c r="E43" s="301">
        <v>6865</v>
      </c>
      <c r="F43" s="301">
        <v>6860</v>
      </c>
      <c r="G43" s="304"/>
      <c r="H43" s="305"/>
    </row>
    <row r="44" spans="1:8" ht="12.75">
      <c r="A44" s="291">
        <v>5400</v>
      </c>
      <c r="B44" s="289">
        <v>3636</v>
      </c>
      <c r="C44" s="292" t="s">
        <v>165</v>
      </c>
      <c r="D44" s="299">
        <v>2000</v>
      </c>
      <c r="E44" s="301">
        <v>597</v>
      </c>
      <c r="F44" s="301">
        <v>581</v>
      </c>
      <c r="G44" s="306">
        <f t="shared" si="1"/>
        <v>29.049999999999997</v>
      </c>
      <c r="H44" s="307">
        <f t="shared" si="2"/>
        <v>97.31993299832496</v>
      </c>
    </row>
    <row r="45" spans="1:8" ht="12.75">
      <c r="A45" s="288" t="s">
        <v>15</v>
      </c>
      <c r="B45" s="289"/>
      <c r="C45" s="290"/>
      <c r="D45" s="37">
        <f>SUBTOTAL(9,D41:D44)</f>
        <v>40303</v>
      </c>
      <c r="E45" s="36">
        <f>SUBTOTAL(9,E41:E44)</f>
        <v>90868</v>
      </c>
      <c r="F45" s="36">
        <f>SUBTOTAL(9,F41:F44)</f>
        <v>79902</v>
      </c>
      <c r="G45" s="302">
        <f t="shared" si="1"/>
        <v>198.2532317693472</v>
      </c>
      <c r="H45" s="303">
        <f t="shared" si="2"/>
        <v>87.93194523924814</v>
      </c>
    </row>
    <row r="46" spans="1:8" ht="12.75">
      <c r="A46" s="288"/>
      <c r="B46" s="289"/>
      <c r="C46" s="290"/>
      <c r="D46" s="37"/>
      <c r="E46" s="36"/>
      <c r="F46" s="36"/>
      <c r="G46" s="47">
        <f t="shared" si="1"/>
        <v>0</v>
      </c>
      <c r="H46" s="48">
        <f t="shared" si="2"/>
        <v>0</v>
      </c>
    </row>
    <row r="47" spans="1:8" ht="12.75">
      <c r="A47" s="288" t="s">
        <v>18</v>
      </c>
      <c r="B47" s="289"/>
      <c r="C47" s="290"/>
      <c r="D47" s="37"/>
      <c r="E47" s="36"/>
      <c r="F47" s="36"/>
      <c r="G47" s="45">
        <f t="shared" si="1"/>
        <v>0</v>
      </c>
      <c r="H47" s="46">
        <f t="shared" si="2"/>
        <v>0</v>
      </c>
    </row>
    <row r="48" spans="1:8" ht="12.75">
      <c r="A48" s="291">
        <v>5600</v>
      </c>
      <c r="B48" s="281">
        <v>2143</v>
      </c>
      <c r="C48" s="292" t="s">
        <v>185</v>
      </c>
      <c r="D48" s="23"/>
      <c r="E48" s="9">
        <v>170</v>
      </c>
      <c r="F48" s="9"/>
      <c r="G48" s="304">
        <f t="shared" si="1"/>
        <v>0</v>
      </c>
      <c r="H48" s="305">
        <f t="shared" si="2"/>
        <v>0</v>
      </c>
    </row>
    <row r="49" spans="1:8" ht="12.75">
      <c r="A49" s="291">
        <v>5600</v>
      </c>
      <c r="B49" s="281">
        <v>2212</v>
      </c>
      <c r="C49" s="292" t="s">
        <v>19</v>
      </c>
      <c r="D49" s="23">
        <v>377718</v>
      </c>
      <c r="E49" s="9">
        <v>249121</v>
      </c>
      <c r="F49" s="9">
        <v>200887</v>
      </c>
      <c r="G49" s="273">
        <f t="shared" si="1"/>
        <v>53.184386235233696</v>
      </c>
      <c r="H49" s="44">
        <f t="shared" si="2"/>
        <v>80.63832434840901</v>
      </c>
    </row>
    <row r="50" spans="1:8" ht="12.75">
      <c r="A50" s="291">
        <v>5600</v>
      </c>
      <c r="B50" s="281">
        <v>2219</v>
      </c>
      <c r="C50" s="292" t="s">
        <v>53</v>
      </c>
      <c r="D50" s="23">
        <v>16000</v>
      </c>
      <c r="E50" s="9">
        <v>45350</v>
      </c>
      <c r="F50" s="9">
        <v>44531</v>
      </c>
      <c r="G50" s="273">
        <f t="shared" si="1"/>
        <v>278.31874999999997</v>
      </c>
      <c r="H50" s="44">
        <f t="shared" si="2"/>
        <v>98.19404630650496</v>
      </c>
    </row>
    <row r="51" spans="1:8" ht="12.75">
      <c r="A51" s="291">
        <v>5600</v>
      </c>
      <c r="B51" s="281">
        <v>2229</v>
      </c>
      <c r="C51" s="292" t="s">
        <v>208</v>
      </c>
      <c r="D51" s="23">
        <v>24000</v>
      </c>
      <c r="E51" s="9">
        <v>3000</v>
      </c>
      <c r="F51" s="9">
        <v>134</v>
      </c>
      <c r="G51" s="273">
        <f t="shared" si="1"/>
        <v>0.5583333333333333</v>
      </c>
      <c r="H51" s="44">
        <f t="shared" si="2"/>
        <v>4.466666666666667</v>
      </c>
    </row>
    <row r="52" spans="1:8" ht="12.75">
      <c r="A52" s="291">
        <v>5600</v>
      </c>
      <c r="B52" s="281">
        <v>2310</v>
      </c>
      <c r="C52" s="292" t="s">
        <v>5</v>
      </c>
      <c r="D52" s="23">
        <v>88916</v>
      </c>
      <c r="E52" s="9">
        <v>88916</v>
      </c>
      <c r="F52" s="9">
        <v>33648</v>
      </c>
      <c r="G52" s="273">
        <f t="shared" si="1"/>
        <v>37.84245805029466</v>
      </c>
      <c r="H52" s="44">
        <f t="shared" si="2"/>
        <v>37.84245805029466</v>
      </c>
    </row>
    <row r="53" spans="1:8" ht="12.75">
      <c r="A53" s="291">
        <v>5600</v>
      </c>
      <c r="B53" s="281">
        <v>2321</v>
      </c>
      <c r="C53" s="292" t="s">
        <v>52</v>
      </c>
      <c r="D53" s="23">
        <v>697250</v>
      </c>
      <c r="E53" s="9">
        <v>805057</v>
      </c>
      <c r="F53" s="9">
        <v>661188</v>
      </c>
      <c r="G53" s="273">
        <f t="shared" si="1"/>
        <v>94.8279670132664</v>
      </c>
      <c r="H53" s="44">
        <f t="shared" si="2"/>
        <v>82.12933991009332</v>
      </c>
    </row>
    <row r="54" spans="1:8" ht="12.75">
      <c r="A54" s="291">
        <v>5600</v>
      </c>
      <c r="B54" s="281">
        <v>2329</v>
      </c>
      <c r="C54" s="292" t="s">
        <v>21</v>
      </c>
      <c r="D54" s="23">
        <v>4000</v>
      </c>
      <c r="E54" s="9">
        <v>4091</v>
      </c>
      <c r="F54" s="9">
        <v>3359</v>
      </c>
      <c r="G54" s="273">
        <f t="shared" si="1"/>
        <v>83.975</v>
      </c>
      <c r="H54" s="44">
        <f t="shared" si="2"/>
        <v>82.10706428746028</v>
      </c>
    </row>
    <row r="55" spans="1:8" ht="12.75">
      <c r="A55" s="291">
        <v>5600</v>
      </c>
      <c r="B55" s="281">
        <v>2333</v>
      </c>
      <c r="C55" s="292" t="s">
        <v>22</v>
      </c>
      <c r="D55" s="23"/>
      <c r="E55" s="9">
        <v>1500</v>
      </c>
      <c r="F55" s="9">
        <v>54</v>
      </c>
      <c r="G55" s="273">
        <f t="shared" si="1"/>
        <v>0</v>
      </c>
      <c r="H55" s="44">
        <f t="shared" si="2"/>
        <v>3.5999999999999996</v>
      </c>
    </row>
    <row r="56" spans="1:8" ht="12.75">
      <c r="A56" s="291">
        <v>5600</v>
      </c>
      <c r="B56" s="281">
        <v>2334</v>
      </c>
      <c r="C56" s="292" t="s">
        <v>256</v>
      </c>
      <c r="D56" s="23">
        <v>1000</v>
      </c>
      <c r="E56" s="9"/>
      <c r="F56" s="9"/>
      <c r="G56" s="273">
        <f t="shared" si="1"/>
        <v>0</v>
      </c>
      <c r="H56" s="44">
        <f t="shared" si="2"/>
        <v>0</v>
      </c>
    </row>
    <row r="57" spans="1:8" ht="12.75">
      <c r="A57" s="291">
        <v>5600</v>
      </c>
      <c r="B57" s="281">
        <v>2339</v>
      </c>
      <c r="C57" s="292" t="s">
        <v>243</v>
      </c>
      <c r="D57" s="23">
        <v>7700</v>
      </c>
      <c r="E57" s="9">
        <v>1</v>
      </c>
      <c r="F57" s="9">
        <v>1</v>
      </c>
      <c r="G57" s="273">
        <f t="shared" si="1"/>
        <v>0.012987012987012988</v>
      </c>
      <c r="H57" s="44">
        <f t="shared" si="2"/>
        <v>100</v>
      </c>
    </row>
    <row r="58" spans="1:8" ht="12.75">
      <c r="A58" s="291">
        <v>5600</v>
      </c>
      <c r="B58" s="281">
        <v>3111</v>
      </c>
      <c r="C58" s="292" t="s">
        <v>95</v>
      </c>
      <c r="D58" s="23">
        <v>13000</v>
      </c>
      <c r="E58" s="9">
        <v>24200</v>
      </c>
      <c r="F58" s="9">
        <v>18980</v>
      </c>
      <c r="G58" s="273">
        <f t="shared" si="1"/>
        <v>146</v>
      </c>
      <c r="H58" s="44">
        <f t="shared" si="2"/>
        <v>78.4297520661157</v>
      </c>
    </row>
    <row r="59" spans="1:8" ht="12.75">
      <c r="A59" s="291">
        <v>5600</v>
      </c>
      <c r="B59" s="281">
        <v>3113</v>
      </c>
      <c r="C59" s="292" t="s">
        <v>23</v>
      </c>
      <c r="D59" s="23">
        <v>70030</v>
      </c>
      <c r="E59" s="9">
        <v>199430</v>
      </c>
      <c r="F59" s="9">
        <v>173032</v>
      </c>
      <c r="G59" s="273">
        <f t="shared" si="1"/>
        <v>247.0826788519206</v>
      </c>
      <c r="H59" s="44">
        <f t="shared" si="2"/>
        <v>86.7632753347039</v>
      </c>
    </row>
    <row r="60" spans="1:8" ht="12.75">
      <c r="A60" s="291">
        <v>5600</v>
      </c>
      <c r="B60" s="281">
        <v>3311</v>
      </c>
      <c r="C60" s="292" t="s">
        <v>24</v>
      </c>
      <c r="D60" s="23">
        <v>10877</v>
      </c>
      <c r="E60" s="9">
        <v>5933</v>
      </c>
      <c r="F60" s="9">
        <v>5883</v>
      </c>
      <c r="G60" s="273">
        <f t="shared" si="1"/>
        <v>54.08660476234256</v>
      </c>
      <c r="H60" s="44">
        <f t="shared" si="2"/>
        <v>99.15725602561942</v>
      </c>
    </row>
    <row r="61" spans="1:8" ht="12.75">
      <c r="A61" s="291">
        <v>5600</v>
      </c>
      <c r="B61" s="281">
        <v>3314</v>
      </c>
      <c r="C61" s="292" t="s">
        <v>90</v>
      </c>
      <c r="D61" s="23">
        <v>10000</v>
      </c>
      <c r="E61" s="9">
        <v>23000</v>
      </c>
      <c r="F61" s="9">
        <v>21648</v>
      </c>
      <c r="G61" s="273">
        <f t="shared" si="1"/>
        <v>216.48000000000002</v>
      </c>
      <c r="H61" s="44">
        <f t="shared" si="2"/>
        <v>94.12173913043478</v>
      </c>
    </row>
    <row r="62" spans="1:8" ht="12.75">
      <c r="A62" s="291">
        <v>5600</v>
      </c>
      <c r="B62" s="281">
        <v>3322</v>
      </c>
      <c r="C62" s="292" t="s">
        <v>27</v>
      </c>
      <c r="D62" s="23">
        <v>24800</v>
      </c>
      <c r="E62" s="9">
        <v>19001</v>
      </c>
      <c r="F62" s="9">
        <v>8706</v>
      </c>
      <c r="G62" s="273">
        <f t="shared" si="1"/>
        <v>35.10483870967742</v>
      </c>
      <c r="H62" s="44">
        <f t="shared" si="2"/>
        <v>45.81864112415136</v>
      </c>
    </row>
    <row r="63" spans="1:8" ht="12.75">
      <c r="A63" s="291">
        <v>5600</v>
      </c>
      <c r="B63" s="281">
        <v>3412</v>
      </c>
      <c r="C63" s="292" t="s">
        <v>200</v>
      </c>
      <c r="D63" s="23">
        <v>16500</v>
      </c>
      <c r="E63" s="9">
        <v>15500</v>
      </c>
      <c r="F63" s="9">
        <v>13372</v>
      </c>
      <c r="G63" s="273">
        <f t="shared" si="1"/>
        <v>81.04242424242423</v>
      </c>
      <c r="H63" s="44">
        <f t="shared" si="2"/>
        <v>86.2709677419355</v>
      </c>
    </row>
    <row r="64" spans="1:8" ht="12.75">
      <c r="A64" s="291">
        <v>5600</v>
      </c>
      <c r="B64" s="281">
        <v>3421</v>
      </c>
      <c r="C64" s="292" t="s">
        <v>94</v>
      </c>
      <c r="D64" s="23">
        <v>107099</v>
      </c>
      <c r="E64" s="9">
        <v>9800</v>
      </c>
      <c r="F64" s="9">
        <v>5183</v>
      </c>
      <c r="G64" s="273">
        <f t="shared" si="1"/>
        <v>4.839447613889952</v>
      </c>
      <c r="H64" s="44">
        <f t="shared" si="2"/>
        <v>52.88775510204081</v>
      </c>
    </row>
    <row r="65" spans="1:8" ht="12.75">
      <c r="A65" s="291">
        <v>5600</v>
      </c>
      <c r="B65" s="281">
        <v>3429</v>
      </c>
      <c r="C65" s="292" t="s">
        <v>58</v>
      </c>
      <c r="D65" s="23">
        <v>48000</v>
      </c>
      <c r="E65" s="9">
        <v>5500</v>
      </c>
      <c r="F65" s="9">
        <v>560</v>
      </c>
      <c r="G65" s="273">
        <f t="shared" si="1"/>
        <v>1.1666666666666667</v>
      </c>
      <c r="H65" s="44">
        <f t="shared" si="2"/>
        <v>10.181818181818182</v>
      </c>
    </row>
    <row r="66" spans="1:8" ht="12.75">
      <c r="A66" s="291">
        <v>5600</v>
      </c>
      <c r="B66" s="281">
        <v>3511</v>
      </c>
      <c r="C66" s="292" t="s">
        <v>13</v>
      </c>
      <c r="D66" s="23">
        <v>26891</v>
      </c>
      <c r="E66" s="9">
        <v>12421</v>
      </c>
      <c r="F66" s="9">
        <v>921</v>
      </c>
      <c r="G66" s="273">
        <f t="shared" si="1"/>
        <v>3.4249377115019892</v>
      </c>
      <c r="H66" s="44">
        <f t="shared" si="2"/>
        <v>7.4148619273810485</v>
      </c>
    </row>
    <row r="67" spans="1:8" ht="12.75">
      <c r="A67" s="291">
        <v>5600</v>
      </c>
      <c r="B67" s="281">
        <v>3522</v>
      </c>
      <c r="C67" s="292" t="s">
        <v>201</v>
      </c>
      <c r="D67" s="23">
        <v>55603</v>
      </c>
      <c r="E67" s="9">
        <v>41550</v>
      </c>
      <c r="F67" s="9">
        <v>41550</v>
      </c>
      <c r="G67" s="273">
        <f t="shared" si="1"/>
        <v>74.7261838390015</v>
      </c>
      <c r="H67" s="44">
        <f t="shared" si="2"/>
        <v>100</v>
      </c>
    </row>
    <row r="68" spans="1:8" ht="12.75">
      <c r="A68" s="291">
        <v>5600</v>
      </c>
      <c r="B68" s="281">
        <v>3523</v>
      </c>
      <c r="C68" s="292" t="s">
        <v>84</v>
      </c>
      <c r="D68" s="23">
        <v>32750</v>
      </c>
      <c r="E68" s="9">
        <v>18700</v>
      </c>
      <c r="F68" s="9">
        <v>18700</v>
      </c>
      <c r="G68" s="47">
        <f t="shared" si="1"/>
        <v>57.099236641221374</v>
      </c>
      <c r="H68" s="48">
        <f t="shared" si="2"/>
        <v>100</v>
      </c>
    </row>
    <row r="69" spans="1:8" ht="12.75">
      <c r="A69" s="291">
        <v>5600</v>
      </c>
      <c r="B69" s="281">
        <v>3599</v>
      </c>
      <c r="C69" s="292" t="s">
        <v>86</v>
      </c>
      <c r="D69" s="23"/>
      <c r="E69" s="9">
        <v>500</v>
      </c>
      <c r="F69" s="9"/>
      <c r="G69" s="47"/>
      <c r="H69" s="44">
        <f t="shared" si="2"/>
        <v>0</v>
      </c>
    </row>
    <row r="70" spans="1:8" ht="12.75">
      <c r="A70" s="291">
        <v>5600</v>
      </c>
      <c r="B70" s="281">
        <v>3612</v>
      </c>
      <c r="C70" s="287" t="s">
        <v>12</v>
      </c>
      <c r="D70" s="23">
        <v>20410</v>
      </c>
      <c r="E70" s="9">
        <v>400</v>
      </c>
      <c r="F70" s="9">
        <v>357</v>
      </c>
      <c r="G70" s="273">
        <f aca="true" t="shared" si="4" ref="G70:H83">IF(D70&lt;=0,0,$F70/D70*100)</f>
        <v>1.7491425771680547</v>
      </c>
      <c r="H70" s="44">
        <f t="shared" si="4"/>
        <v>89.25</v>
      </c>
    </row>
    <row r="71" spans="1:8" ht="12.75">
      <c r="A71" s="291">
        <v>5600</v>
      </c>
      <c r="B71" s="281">
        <v>3631</v>
      </c>
      <c r="C71" s="287" t="s">
        <v>10</v>
      </c>
      <c r="D71" s="23"/>
      <c r="E71" s="9">
        <v>5000</v>
      </c>
      <c r="F71" s="9">
        <v>5000</v>
      </c>
      <c r="G71" s="273">
        <f t="shared" si="4"/>
        <v>0</v>
      </c>
      <c r="H71" s="44">
        <f t="shared" si="4"/>
        <v>100</v>
      </c>
    </row>
    <row r="72" spans="1:8" ht="12.75">
      <c r="A72" s="291">
        <v>5600</v>
      </c>
      <c r="B72" s="281">
        <v>3632</v>
      </c>
      <c r="C72" s="287" t="s">
        <v>1</v>
      </c>
      <c r="D72" s="23">
        <v>300</v>
      </c>
      <c r="E72" s="9">
        <v>500</v>
      </c>
      <c r="F72" s="9">
        <v>250</v>
      </c>
      <c r="G72" s="273">
        <f t="shared" si="4"/>
        <v>83.33333333333334</v>
      </c>
      <c r="H72" s="44">
        <f t="shared" si="4"/>
        <v>50</v>
      </c>
    </row>
    <row r="73" spans="1:8" ht="12.75">
      <c r="A73" s="291">
        <v>5600</v>
      </c>
      <c r="B73" s="281">
        <v>3639</v>
      </c>
      <c r="C73" s="290" t="s">
        <v>41</v>
      </c>
      <c r="D73" s="23">
        <f>21700+20000</f>
        <v>41700</v>
      </c>
      <c r="E73" s="9">
        <v>9537</v>
      </c>
      <c r="F73" s="9">
        <v>917</v>
      </c>
      <c r="G73" s="273">
        <f t="shared" si="4"/>
        <v>2.199040767386091</v>
      </c>
      <c r="H73" s="44">
        <f t="shared" si="4"/>
        <v>9.615182971584355</v>
      </c>
    </row>
    <row r="74" spans="1:8" ht="12.75">
      <c r="A74" s="291">
        <v>5600</v>
      </c>
      <c r="B74" s="281">
        <v>3699</v>
      </c>
      <c r="C74" s="293" t="s">
        <v>284</v>
      </c>
      <c r="D74" s="23"/>
      <c r="E74" s="9">
        <v>2432</v>
      </c>
      <c r="F74" s="9">
        <v>2432</v>
      </c>
      <c r="G74" s="273">
        <f t="shared" si="4"/>
        <v>0</v>
      </c>
      <c r="H74" s="44">
        <f t="shared" si="4"/>
        <v>100</v>
      </c>
    </row>
    <row r="75" spans="1:8" ht="12.75">
      <c r="A75" s="291">
        <v>5600</v>
      </c>
      <c r="B75" s="281">
        <v>3725</v>
      </c>
      <c r="C75" s="293" t="s">
        <v>230</v>
      </c>
      <c r="D75" s="23">
        <v>1380</v>
      </c>
      <c r="E75" s="9">
        <v>117</v>
      </c>
      <c r="F75" s="9">
        <v>117</v>
      </c>
      <c r="G75" s="273">
        <f t="shared" si="4"/>
        <v>8.478260869565217</v>
      </c>
      <c r="H75" s="44">
        <f t="shared" si="4"/>
        <v>100</v>
      </c>
    </row>
    <row r="76" spans="1:8" ht="12.75">
      <c r="A76" s="291">
        <v>5600</v>
      </c>
      <c r="B76" s="281">
        <v>3741</v>
      </c>
      <c r="C76" s="293" t="s">
        <v>6</v>
      </c>
      <c r="D76" s="23">
        <v>23000</v>
      </c>
      <c r="E76" s="9">
        <v>50405</v>
      </c>
      <c r="F76" s="9">
        <v>45701</v>
      </c>
      <c r="G76" s="273">
        <f t="shared" si="4"/>
        <v>198.70000000000002</v>
      </c>
      <c r="H76" s="44">
        <f t="shared" si="4"/>
        <v>90.66759250074398</v>
      </c>
    </row>
    <row r="77" spans="1:8" ht="12.75">
      <c r="A77" s="291">
        <v>5600</v>
      </c>
      <c r="B77" s="281">
        <v>3745</v>
      </c>
      <c r="C77" s="292" t="s">
        <v>2</v>
      </c>
      <c r="D77" s="23">
        <v>55676</v>
      </c>
      <c r="E77" s="9">
        <v>112331</v>
      </c>
      <c r="F77" s="9">
        <v>103860</v>
      </c>
      <c r="G77" s="273">
        <f t="shared" si="4"/>
        <v>186.54357353258135</v>
      </c>
      <c r="H77" s="44">
        <f t="shared" si="4"/>
        <v>92.45889380491583</v>
      </c>
    </row>
    <row r="78" spans="1:8" ht="12.75">
      <c r="A78" s="291">
        <v>5600</v>
      </c>
      <c r="B78" s="281">
        <v>3792</v>
      </c>
      <c r="C78" s="292" t="s">
        <v>8</v>
      </c>
      <c r="D78" s="23">
        <v>14500</v>
      </c>
      <c r="E78" s="9">
        <v>13400</v>
      </c>
      <c r="F78" s="9">
        <v>5645</v>
      </c>
      <c r="G78" s="273">
        <f t="shared" si="4"/>
        <v>38.93103448275862</v>
      </c>
      <c r="H78" s="44">
        <f t="shared" si="4"/>
        <v>42.12686567164179</v>
      </c>
    </row>
    <row r="79" spans="1:8" ht="12.75">
      <c r="A79" s="291">
        <v>5600</v>
      </c>
      <c r="B79" s="281">
        <v>4350</v>
      </c>
      <c r="C79" s="292" t="s">
        <v>252</v>
      </c>
      <c r="D79" s="23"/>
      <c r="E79" s="9">
        <v>200</v>
      </c>
      <c r="F79" s="9"/>
      <c r="G79" s="273">
        <f t="shared" si="4"/>
        <v>0</v>
      </c>
      <c r="H79" s="44">
        <f t="shared" si="4"/>
        <v>0</v>
      </c>
    </row>
    <row r="80" spans="1:8" ht="12.75">
      <c r="A80" s="291">
        <v>5600</v>
      </c>
      <c r="B80" s="281">
        <v>4352</v>
      </c>
      <c r="C80" s="290" t="s">
        <v>211</v>
      </c>
      <c r="D80" s="23">
        <v>5748</v>
      </c>
      <c r="E80" s="9">
        <v>2000</v>
      </c>
      <c r="F80" s="9">
        <v>1</v>
      </c>
      <c r="G80" s="273">
        <f t="shared" si="4"/>
        <v>0.017397355601948505</v>
      </c>
      <c r="H80" s="44">
        <f t="shared" si="4"/>
        <v>0.05</v>
      </c>
    </row>
    <row r="81" spans="1:8" ht="12.75">
      <c r="A81" s="291">
        <v>5600</v>
      </c>
      <c r="B81" s="281">
        <v>4357</v>
      </c>
      <c r="C81" s="290" t="s">
        <v>257</v>
      </c>
      <c r="D81" s="23">
        <v>10000</v>
      </c>
      <c r="E81" s="9">
        <v>5000</v>
      </c>
      <c r="F81" s="9">
        <v>1</v>
      </c>
      <c r="G81" s="273">
        <f t="shared" si="4"/>
        <v>0.01</v>
      </c>
      <c r="H81" s="44">
        <f t="shared" si="4"/>
        <v>0.02</v>
      </c>
    </row>
    <row r="82" spans="1:8" ht="12.75">
      <c r="A82" s="291">
        <v>5600</v>
      </c>
      <c r="B82" s="281">
        <v>5311</v>
      </c>
      <c r="C82" s="290" t="s">
        <v>88</v>
      </c>
      <c r="D82" s="23">
        <v>950</v>
      </c>
      <c r="E82" s="9">
        <v>150</v>
      </c>
      <c r="F82" s="9"/>
      <c r="G82" s="273">
        <f t="shared" si="4"/>
        <v>0</v>
      </c>
      <c r="H82" s="44">
        <f t="shared" si="4"/>
        <v>0</v>
      </c>
    </row>
    <row r="83" spans="1:8" ht="12.75">
      <c r="A83" s="291">
        <v>5600</v>
      </c>
      <c r="B83" s="281">
        <v>6171</v>
      </c>
      <c r="C83" s="282" t="s">
        <v>9</v>
      </c>
      <c r="D83" s="23">
        <v>13200</v>
      </c>
      <c r="E83" s="9">
        <v>200</v>
      </c>
      <c r="F83" s="9"/>
      <c r="G83" s="273">
        <f t="shared" si="4"/>
        <v>0</v>
      </c>
      <c r="H83" s="44">
        <f t="shared" si="4"/>
        <v>0</v>
      </c>
    </row>
    <row r="84" spans="1:8" ht="12.75">
      <c r="A84" s="288" t="s">
        <v>16</v>
      </c>
      <c r="B84" s="289"/>
      <c r="C84" s="290"/>
      <c r="D84" s="37">
        <f>SUBTOTAL(9,D48:D83)</f>
        <v>1818998</v>
      </c>
      <c r="E84" s="36">
        <f>SUBTOTAL(9,E48:E83)</f>
        <v>1774413</v>
      </c>
      <c r="F84" s="36">
        <f>SUBTOTAL(9,F48:F83)</f>
        <v>1416618</v>
      </c>
      <c r="G84" s="45">
        <f t="shared" si="1"/>
        <v>77.8790301033866</v>
      </c>
      <c r="H84" s="46">
        <f t="shared" si="2"/>
        <v>79.83586684723343</v>
      </c>
    </row>
    <row r="85" spans="1:8" ht="12.75">
      <c r="A85" s="288"/>
      <c r="B85" s="289"/>
      <c r="C85" s="290"/>
      <c r="D85" s="37"/>
      <c r="E85" s="36"/>
      <c r="F85" s="36"/>
      <c r="G85" s="45">
        <f t="shared" si="1"/>
        <v>0</v>
      </c>
      <c r="H85" s="46">
        <f t="shared" si="2"/>
        <v>0</v>
      </c>
    </row>
    <row r="86" spans="1:8" ht="12.75">
      <c r="A86" s="280" t="s">
        <v>45</v>
      </c>
      <c r="B86" s="281"/>
      <c r="C86" s="282"/>
      <c r="D86" s="37"/>
      <c r="E86" s="36"/>
      <c r="F86" s="36"/>
      <c r="G86" s="45">
        <f t="shared" si="1"/>
        <v>0</v>
      </c>
      <c r="H86" s="46">
        <f t="shared" si="2"/>
        <v>0</v>
      </c>
    </row>
    <row r="87" spans="1:8" ht="12.75">
      <c r="A87" s="283">
        <v>5700</v>
      </c>
      <c r="B87" s="281">
        <v>2329</v>
      </c>
      <c r="C87" s="292" t="s">
        <v>21</v>
      </c>
      <c r="D87" s="23">
        <v>100</v>
      </c>
      <c r="E87" s="9">
        <v>9</v>
      </c>
      <c r="F87" s="9">
        <v>9</v>
      </c>
      <c r="G87" s="47">
        <f t="shared" si="1"/>
        <v>9</v>
      </c>
      <c r="H87" s="48">
        <f t="shared" si="2"/>
        <v>100</v>
      </c>
    </row>
    <row r="88" spans="1:8" ht="12.75">
      <c r="A88" s="284" t="s">
        <v>11</v>
      </c>
      <c r="B88" s="285"/>
      <c r="C88" s="286"/>
      <c r="D88" s="37">
        <f>SUBTOTAL(9,D87:D87)</f>
        <v>100</v>
      </c>
      <c r="E88" s="36">
        <f>SUBTOTAL(9,E87:E87)</f>
        <v>9</v>
      </c>
      <c r="F88" s="36">
        <f>SUBTOTAL(9,F87:F87)</f>
        <v>9</v>
      </c>
      <c r="G88" s="302">
        <f t="shared" si="1"/>
        <v>9</v>
      </c>
      <c r="H88" s="303">
        <f t="shared" si="2"/>
        <v>100</v>
      </c>
    </row>
    <row r="89" spans="1:8" ht="12.75">
      <c r="A89" s="288"/>
      <c r="B89" s="289"/>
      <c r="C89" s="290"/>
      <c r="D89" s="37"/>
      <c r="E89" s="36"/>
      <c r="F89" s="36"/>
      <c r="G89" s="47">
        <f t="shared" si="1"/>
        <v>0</v>
      </c>
      <c r="H89" s="48">
        <f t="shared" si="2"/>
        <v>0</v>
      </c>
    </row>
    <row r="90" spans="1:8" ht="12.75">
      <c r="A90" s="294" t="s">
        <v>210</v>
      </c>
      <c r="B90" s="295"/>
      <c r="C90" s="295"/>
      <c r="D90" s="37"/>
      <c r="E90" s="36"/>
      <c r="F90" s="36"/>
      <c r="G90" s="60">
        <f t="shared" si="1"/>
        <v>0</v>
      </c>
      <c r="H90" s="46">
        <f t="shared" si="2"/>
        <v>0</v>
      </c>
    </row>
    <row r="91" spans="1:8" ht="12.75">
      <c r="A91" s="296">
        <v>6200</v>
      </c>
      <c r="B91" s="281">
        <v>3612</v>
      </c>
      <c r="C91" s="287" t="s">
        <v>12</v>
      </c>
      <c r="D91" s="23">
        <f>116530-7830</f>
        <v>108700</v>
      </c>
      <c r="E91" s="9">
        <v>105250</v>
      </c>
      <c r="F91" s="9">
        <v>78352</v>
      </c>
      <c r="G91" s="273">
        <f t="shared" si="1"/>
        <v>72.08095676172952</v>
      </c>
      <c r="H91" s="44">
        <f t="shared" si="2"/>
        <v>74.4437054631829</v>
      </c>
    </row>
    <row r="92" spans="1:8" ht="12.75">
      <c r="A92" s="296">
        <v>6200</v>
      </c>
      <c r="B92" s="281">
        <v>3619</v>
      </c>
      <c r="C92" s="287" t="s">
        <v>283</v>
      </c>
      <c r="D92" s="23"/>
      <c r="E92" s="9">
        <v>850</v>
      </c>
      <c r="F92" s="9">
        <v>90</v>
      </c>
      <c r="G92" s="273">
        <f t="shared" si="1"/>
        <v>0</v>
      </c>
      <c r="H92" s="44">
        <f t="shared" si="2"/>
        <v>10.588235294117647</v>
      </c>
    </row>
    <row r="93" spans="1:8" ht="12.75">
      <c r="A93" s="296">
        <v>6200</v>
      </c>
      <c r="B93" s="281">
        <v>3639</v>
      </c>
      <c r="C93" s="290" t="s">
        <v>41</v>
      </c>
      <c r="D93" s="23">
        <f>269590-20000-87340</f>
        <v>162250</v>
      </c>
      <c r="E93" s="9">
        <v>2593</v>
      </c>
      <c r="F93" s="9"/>
      <c r="G93" s="273">
        <f t="shared" si="1"/>
        <v>0</v>
      </c>
      <c r="H93" s="44">
        <f t="shared" si="2"/>
        <v>0</v>
      </c>
    </row>
    <row r="94" spans="1:8" ht="12.75">
      <c r="A94" s="296">
        <v>6200</v>
      </c>
      <c r="B94" s="281">
        <v>4351</v>
      </c>
      <c r="C94" s="286" t="s">
        <v>173</v>
      </c>
      <c r="D94" s="23">
        <v>59001</v>
      </c>
      <c r="E94" s="9">
        <v>15800</v>
      </c>
      <c r="F94" s="9">
        <v>13275</v>
      </c>
      <c r="G94" s="273">
        <f>IF(D94&lt;=0,0,$F94/D94*100)</f>
        <v>22.499618650531346</v>
      </c>
      <c r="H94" s="44">
        <f>IF(E94&lt;=0,0,$F94/E94*100)</f>
        <v>84.01898734177216</v>
      </c>
    </row>
    <row r="95" spans="1:8" ht="12.75">
      <c r="A95" s="284" t="s">
        <v>78</v>
      </c>
      <c r="B95" s="285"/>
      <c r="C95" s="286"/>
      <c r="D95" s="37">
        <f>SUBTOTAL(9,D91:D94)</f>
        <v>329951</v>
      </c>
      <c r="E95" s="36">
        <f>SUBTOTAL(9,E91:E94)</f>
        <v>124493</v>
      </c>
      <c r="F95" s="36">
        <f>SUBTOTAL(9,F91:F94)</f>
        <v>91717</v>
      </c>
      <c r="G95" s="302">
        <f aca="true" t="shared" si="5" ref="G95:G139">IF(D95&lt;=0,0,$F95/D95*100)</f>
        <v>27.797157759788576</v>
      </c>
      <c r="H95" s="303">
        <f aca="true" t="shared" si="6" ref="H95:H139">IF(E95&lt;=0,0,$F95/E95*100)</f>
        <v>73.67241531652382</v>
      </c>
    </row>
    <row r="96" spans="1:8" ht="12.75">
      <c r="A96" s="284"/>
      <c r="B96" s="285"/>
      <c r="C96" s="286"/>
      <c r="D96" s="37"/>
      <c r="E96" s="36"/>
      <c r="F96" s="36"/>
      <c r="G96" s="47">
        <f t="shared" si="5"/>
        <v>0</v>
      </c>
      <c r="H96" s="48">
        <f t="shared" si="6"/>
        <v>0</v>
      </c>
    </row>
    <row r="97" spans="1:8" ht="12.75">
      <c r="A97" s="280" t="s">
        <v>197</v>
      </c>
      <c r="B97" s="281"/>
      <c r="C97" s="282"/>
      <c r="D97" s="37"/>
      <c r="E97" s="36"/>
      <c r="F97" s="36"/>
      <c r="G97" s="47">
        <f t="shared" si="5"/>
        <v>0</v>
      </c>
      <c r="H97" s="48">
        <f t="shared" si="6"/>
        <v>0</v>
      </c>
    </row>
    <row r="98" spans="1:8" ht="12.75">
      <c r="A98" s="283">
        <v>6300</v>
      </c>
      <c r="B98" s="281">
        <v>3639</v>
      </c>
      <c r="C98" s="290" t="s">
        <v>41</v>
      </c>
      <c r="D98" s="23">
        <v>2500</v>
      </c>
      <c r="E98" s="9">
        <v>22021</v>
      </c>
      <c r="F98" s="9">
        <v>19084</v>
      </c>
      <c r="G98" s="273">
        <f t="shared" si="5"/>
        <v>763.36</v>
      </c>
      <c r="H98" s="44">
        <f t="shared" si="6"/>
        <v>86.66273102947186</v>
      </c>
    </row>
    <row r="99" spans="1:8" ht="12.75">
      <c r="A99" s="284" t="s">
        <v>198</v>
      </c>
      <c r="B99" s="285"/>
      <c r="C99" s="286"/>
      <c r="D99" s="37">
        <f>SUBTOTAL(9,D98:D98)</f>
        <v>2500</v>
      </c>
      <c r="E99" s="36">
        <f>SUBTOTAL(9,E98:E98)</f>
        <v>22021</v>
      </c>
      <c r="F99" s="36">
        <f>SUBTOTAL(9,F98:F98)</f>
        <v>19084</v>
      </c>
      <c r="G99" s="45">
        <f t="shared" si="5"/>
        <v>763.36</v>
      </c>
      <c r="H99" s="46">
        <f t="shared" si="6"/>
        <v>86.66273102947186</v>
      </c>
    </row>
    <row r="100" spans="1:8" ht="12.75">
      <c r="A100" s="288"/>
      <c r="B100" s="289"/>
      <c r="C100" s="290"/>
      <c r="D100" s="37"/>
      <c r="E100" s="36"/>
      <c r="F100" s="36"/>
      <c r="G100" s="45">
        <f t="shared" si="5"/>
        <v>0</v>
      </c>
      <c r="H100" s="46">
        <f t="shared" si="6"/>
        <v>0</v>
      </c>
    </row>
    <row r="101" spans="1:8" ht="12.75">
      <c r="A101" s="280" t="s">
        <v>214</v>
      </c>
      <c r="B101" s="281"/>
      <c r="C101" s="282"/>
      <c r="D101" s="37"/>
      <c r="E101" s="36"/>
      <c r="F101" s="36"/>
      <c r="G101" s="43">
        <f t="shared" si="5"/>
        <v>0</v>
      </c>
      <c r="H101" s="48">
        <f t="shared" si="6"/>
        <v>0</v>
      </c>
    </row>
    <row r="102" spans="1:8" ht="12.75">
      <c r="A102" s="283">
        <v>6600</v>
      </c>
      <c r="B102" s="281">
        <v>3322</v>
      </c>
      <c r="C102" s="290" t="s">
        <v>27</v>
      </c>
      <c r="D102" s="23"/>
      <c r="E102" s="9">
        <v>200</v>
      </c>
      <c r="F102" s="9">
        <v>157</v>
      </c>
      <c r="G102" s="273">
        <f t="shared" si="5"/>
        <v>0</v>
      </c>
      <c r="H102" s="44">
        <f t="shared" si="6"/>
        <v>78.5</v>
      </c>
    </row>
    <row r="103" spans="1:8" ht="12.75">
      <c r="A103" s="283">
        <v>6600</v>
      </c>
      <c r="B103" s="281">
        <v>3612</v>
      </c>
      <c r="C103" s="290" t="s">
        <v>12</v>
      </c>
      <c r="D103" s="23">
        <v>7100</v>
      </c>
      <c r="E103" s="9">
        <v>4820</v>
      </c>
      <c r="F103" s="9">
        <v>3775</v>
      </c>
      <c r="G103" s="273">
        <f>IF(D103&lt;=0,0,$F103/D103*100)</f>
        <v>53.16901408450704</v>
      </c>
      <c r="H103" s="44">
        <f>IF(E103&lt;=0,0,$F103/E103*100)</f>
        <v>78.3195020746888</v>
      </c>
    </row>
    <row r="104" spans="1:8" ht="12.75">
      <c r="A104" s="283">
        <v>6600</v>
      </c>
      <c r="B104" s="281">
        <v>3639</v>
      </c>
      <c r="C104" s="290" t="s">
        <v>124</v>
      </c>
      <c r="D104" s="23"/>
      <c r="E104" s="9">
        <v>4500</v>
      </c>
      <c r="F104" s="9">
        <v>4491</v>
      </c>
      <c r="G104" s="273">
        <f t="shared" si="5"/>
        <v>0</v>
      </c>
      <c r="H104" s="44">
        <f t="shared" si="6"/>
        <v>99.8</v>
      </c>
    </row>
    <row r="105" spans="1:8" ht="12.75">
      <c r="A105" s="283">
        <v>6600</v>
      </c>
      <c r="B105" s="281">
        <v>6171</v>
      </c>
      <c r="C105" s="286" t="s">
        <v>9</v>
      </c>
      <c r="D105" s="23"/>
      <c r="E105" s="9">
        <v>3000</v>
      </c>
      <c r="F105" s="9">
        <v>2985</v>
      </c>
      <c r="G105" s="273">
        <f>IF(D105&lt;=0,0,$F105/D105*100)</f>
        <v>0</v>
      </c>
      <c r="H105" s="44">
        <f>IF(E105&lt;=0,0,$F105/E105*100)</f>
        <v>99.5</v>
      </c>
    </row>
    <row r="106" spans="1:8" ht="12.75">
      <c r="A106" s="283">
        <v>6600</v>
      </c>
      <c r="B106" s="281">
        <v>6211</v>
      </c>
      <c r="C106" s="286" t="s">
        <v>56</v>
      </c>
      <c r="D106" s="23"/>
      <c r="E106" s="9">
        <v>69</v>
      </c>
      <c r="F106" s="9">
        <v>68</v>
      </c>
      <c r="G106" s="273">
        <f t="shared" si="5"/>
        <v>0</v>
      </c>
      <c r="H106" s="44">
        <f t="shared" si="6"/>
        <v>98.55072463768117</v>
      </c>
    </row>
    <row r="107" spans="1:8" ht="12.75">
      <c r="A107" s="284" t="s">
        <v>82</v>
      </c>
      <c r="B107" s="285"/>
      <c r="C107" s="286"/>
      <c r="D107" s="37">
        <f>SUBTOTAL(9,D102:D106)</f>
        <v>7100</v>
      </c>
      <c r="E107" s="37">
        <f>SUBTOTAL(9,E102:E106)</f>
        <v>12589</v>
      </c>
      <c r="F107" s="37">
        <f>SUBTOTAL(9,F102:F106)</f>
        <v>11476</v>
      </c>
      <c r="G107" s="45">
        <f t="shared" si="5"/>
        <v>161.6338028169014</v>
      </c>
      <c r="H107" s="46">
        <f t="shared" si="6"/>
        <v>91.1589482881881</v>
      </c>
    </row>
    <row r="108" spans="1:8" ht="12.75">
      <c r="A108" s="288"/>
      <c r="B108" s="289"/>
      <c r="C108" s="290"/>
      <c r="D108" s="37"/>
      <c r="E108" s="36"/>
      <c r="F108" s="36"/>
      <c r="G108" s="45">
        <f t="shared" si="5"/>
        <v>0</v>
      </c>
      <c r="H108" s="46">
        <f t="shared" si="6"/>
        <v>0</v>
      </c>
    </row>
    <row r="109" spans="1:8" ht="12.75">
      <c r="A109" s="280" t="s">
        <v>187</v>
      </c>
      <c r="B109" s="281"/>
      <c r="C109" s="282"/>
      <c r="D109" s="37"/>
      <c r="E109" s="36"/>
      <c r="F109" s="36"/>
      <c r="G109" s="43">
        <f t="shared" si="5"/>
        <v>0</v>
      </c>
      <c r="H109" s="48">
        <f t="shared" si="6"/>
        <v>0</v>
      </c>
    </row>
    <row r="110" spans="1:8" ht="12.75">
      <c r="A110" s="283">
        <v>7100</v>
      </c>
      <c r="B110" s="281">
        <v>3522</v>
      </c>
      <c r="C110" s="292" t="s">
        <v>201</v>
      </c>
      <c r="D110" s="23"/>
      <c r="E110" s="9">
        <v>14050</v>
      </c>
      <c r="F110" s="9">
        <v>11191</v>
      </c>
      <c r="G110" s="273">
        <f>IF(D110&lt;=0,0,$F110/D110*100)</f>
        <v>0</v>
      </c>
      <c r="H110" s="44">
        <f>IF(E110&lt;=0,0,$F110/E110*100)</f>
        <v>79.65124555160142</v>
      </c>
    </row>
    <row r="111" spans="1:8" ht="12.75">
      <c r="A111" s="283">
        <v>7100</v>
      </c>
      <c r="B111" s="281">
        <v>3599</v>
      </c>
      <c r="C111" s="292" t="s">
        <v>258</v>
      </c>
      <c r="D111" s="23">
        <v>800</v>
      </c>
      <c r="E111" s="9">
        <v>564</v>
      </c>
      <c r="F111" s="9">
        <v>563</v>
      </c>
      <c r="G111" s="273">
        <f t="shared" si="5"/>
        <v>70.375</v>
      </c>
      <c r="H111" s="44">
        <f t="shared" si="6"/>
        <v>99.822695035461</v>
      </c>
    </row>
    <row r="112" spans="1:8" ht="12.75">
      <c r="A112" s="284" t="s">
        <v>14</v>
      </c>
      <c r="B112" s="285"/>
      <c r="C112" s="286"/>
      <c r="D112" s="37">
        <f>SUBTOTAL(9,D110:D111)</f>
        <v>800</v>
      </c>
      <c r="E112" s="36">
        <f>SUBTOTAL(9,E110:E111)</f>
        <v>14614</v>
      </c>
      <c r="F112" s="36">
        <f>SUBTOTAL(9,F110:F111)</f>
        <v>11754</v>
      </c>
      <c r="G112" s="45">
        <f t="shared" si="5"/>
        <v>1469.25</v>
      </c>
      <c r="H112" s="46">
        <f t="shared" si="6"/>
        <v>80.42972492130833</v>
      </c>
    </row>
    <row r="113" spans="1:8" ht="12.75">
      <c r="A113" s="284"/>
      <c r="B113" s="285"/>
      <c r="C113" s="286"/>
      <c r="D113" s="37"/>
      <c r="E113" s="36"/>
      <c r="F113" s="36"/>
      <c r="G113" s="45">
        <f t="shared" si="5"/>
        <v>0</v>
      </c>
      <c r="H113" s="46">
        <f t="shared" si="6"/>
        <v>0</v>
      </c>
    </row>
    <row r="114" spans="1:8" ht="12.75">
      <c r="A114" s="280" t="s">
        <v>39</v>
      </c>
      <c r="B114" s="281"/>
      <c r="C114" s="282"/>
      <c r="D114" s="37"/>
      <c r="E114" s="36"/>
      <c r="F114" s="36"/>
      <c r="G114" s="43">
        <f aca="true" t="shared" si="7" ref="G114:H119">IF(D114&lt;=0,0,$F114/D114*100)</f>
        <v>0</v>
      </c>
      <c r="H114" s="48">
        <f t="shared" si="7"/>
        <v>0</v>
      </c>
    </row>
    <row r="115" spans="1:8" ht="12.75">
      <c r="A115" s="283">
        <v>7200</v>
      </c>
      <c r="B115" s="281">
        <v>4344</v>
      </c>
      <c r="C115" s="292" t="s">
        <v>267</v>
      </c>
      <c r="D115" s="23"/>
      <c r="E115" s="9">
        <v>235</v>
      </c>
      <c r="F115" s="9">
        <v>235</v>
      </c>
      <c r="G115" s="273">
        <f t="shared" si="7"/>
        <v>0</v>
      </c>
      <c r="H115" s="44">
        <f t="shared" si="7"/>
        <v>100</v>
      </c>
    </row>
    <row r="116" spans="1:8" ht="12.75">
      <c r="A116" s="283">
        <v>7200</v>
      </c>
      <c r="B116" s="281">
        <v>4350</v>
      </c>
      <c r="C116" s="292" t="s">
        <v>252</v>
      </c>
      <c r="D116" s="23"/>
      <c r="E116" s="9">
        <v>100</v>
      </c>
      <c r="F116" s="9">
        <v>100</v>
      </c>
      <c r="G116" s="273"/>
      <c r="H116" s="44">
        <f t="shared" si="7"/>
        <v>100</v>
      </c>
    </row>
    <row r="117" spans="1:8" ht="12.75">
      <c r="A117" s="283">
        <v>7200</v>
      </c>
      <c r="B117" s="281">
        <v>4357</v>
      </c>
      <c r="C117" s="73" t="s">
        <v>253</v>
      </c>
      <c r="D117" s="23"/>
      <c r="E117" s="9">
        <v>1020</v>
      </c>
      <c r="F117" s="9">
        <v>901</v>
      </c>
      <c r="G117" s="273">
        <f t="shared" si="7"/>
        <v>0</v>
      </c>
      <c r="H117" s="44">
        <f t="shared" si="7"/>
        <v>88.33333333333333</v>
      </c>
    </row>
    <row r="118" spans="1:8" ht="12.75">
      <c r="A118" s="283">
        <v>7200</v>
      </c>
      <c r="B118" s="281">
        <v>4359</v>
      </c>
      <c r="C118" s="292" t="s">
        <v>188</v>
      </c>
      <c r="D118" s="23"/>
      <c r="E118" s="9">
        <v>135</v>
      </c>
      <c r="F118" s="9">
        <v>135</v>
      </c>
      <c r="G118" s="273">
        <f t="shared" si="7"/>
        <v>0</v>
      </c>
      <c r="H118" s="44">
        <f t="shared" si="7"/>
        <v>100</v>
      </c>
    </row>
    <row r="119" spans="1:8" ht="12.75">
      <c r="A119" s="284" t="s">
        <v>34</v>
      </c>
      <c r="B119" s="285"/>
      <c r="C119" s="286"/>
      <c r="D119" s="36">
        <f>SUBTOTAL(9,D115:D118)</f>
        <v>0</v>
      </c>
      <c r="E119" s="36">
        <f>SUBTOTAL(9,E115:E118)</f>
        <v>1490</v>
      </c>
      <c r="F119" s="36">
        <f>SUBTOTAL(9,F115:F118)</f>
        <v>1371</v>
      </c>
      <c r="G119" s="45">
        <f t="shared" si="7"/>
        <v>0</v>
      </c>
      <c r="H119" s="46">
        <f t="shared" si="7"/>
        <v>92.01342281879195</v>
      </c>
    </row>
    <row r="120" spans="1:8" ht="12.75">
      <c r="A120" s="317"/>
      <c r="B120" s="318"/>
      <c r="C120" s="319"/>
      <c r="D120" s="37"/>
      <c r="E120" s="36"/>
      <c r="F120" s="36"/>
      <c r="G120" s="45"/>
      <c r="H120" s="46"/>
    </row>
    <row r="121" spans="1:8" ht="12.75">
      <c r="A121" s="623" t="s">
        <v>29</v>
      </c>
      <c r="B121" s="624"/>
      <c r="C121" s="625"/>
      <c r="D121" s="37"/>
      <c r="E121" s="36"/>
      <c r="F121" s="36"/>
      <c r="G121" s="43">
        <f t="shared" si="5"/>
        <v>0</v>
      </c>
      <c r="H121" s="48">
        <f t="shared" si="6"/>
        <v>0</v>
      </c>
    </row>
    <row r="122" spans="1:8" ht="12.75">
      <c r="A122" s="296">
        <v>7300</v>
      </c>
      <c r="B122" s="281">
        <v>3312</v>
      </c>
      <c r="C122" s="292" t="s">
        <v>89</v>
      </c>
      <c r="D122" s="299">
        <v>3000</v>
      </c>
      <c r="E122" s="301">
        <v>3000</v>
      </c>
      <c r="F122" s="301">
        <v>3000</v>
      </c>
      <c r="G122" s="273">
        <f t="shared" si="5"/>
        <v>100</v>
      </c>
      <c r="H122" s="44">
        <f t="shared" si="6"/>
        <v>100</v>
      </c>
    </row>
    <row r="123" spans="1:8" ht="12.75">
      <c r="A123" s="296">
        <v>7300</v>
      </c>
      <c r="B123" s="281">
        <v>3319</v>
      </c>
      <c r="C123" s="292" t="s">
        <v>48</v>
      </c>
      <c r="D123" s="299">
        <v>911</v>
      </c>
      <c r="E123" s="301">
        <v>911</v>
      </c>
      <c r="F123" s="301">
        <v>888</v>
      </c>
      <c r="G123" s="273">
        <f t="shared" si="5"/>
        <v>97.47530186608124</v>
      </c>
      <c r="H123" s="44">
        <f t="shared" si="6"/>
        <v>97.47530186608124</v>
      </c>
    </row>
    <row r="124" spans="1:8" ht="12.75">
      <c r="A124" s="296">
        <v>7300</v>
      </c>
      <c r="B124" s="281">
        <v>3326</v>
      </c>
      <c r="C124" s="282" t="s">
        <v>168</v>
      </c>
      <c r="D124" s="299">
        <f>3800+43</f>
        <v>3843</v>
      </c>
      <c r="E124" s="301">
        <v>4104</v>
      </c>
      <c r="F124" s="301">
        <v>4103</v>
      </c>
      <c r="G124" s="273">
        <f t="shared" si="5"/>
        <v>106.7655477491543</v>
      </c>
      <c r="H124" s="44">
        <f t="shared" si="6"/>
        <v>99.9756335282651</v>
      </c>
    </row>
    <row r="125" spans="1:8" ht="12.75">
      <c r="A125" s="280" t="s">
        <v>26</v>
      </c>
      <c r="B125" s="281"/>
      <c r="C125" s="282"/>
      <c r="D125" s="37">
        <f>SUBTOTAL(9,D122:D124)</f>
        <v>7754</v>
      </c>
      <c r="E125" s="36">
        <f>SUBTOTAL(9,E122:E124)</f>
        <v>8015</v>
      </c>
      <c r="F125" s="36">
        <f>SUBTOTAL(9,F122:F124)</f>
        <v>7991</v>
      </c>
      <c r="G125" s="302">
        <f t="shared" si="5"/>
        <v>103.05648697446479</v>
      </c>
      <c r="H125" s="308">
        <f t="shared" si="6"/>
        <v>99.70056144728633</v>
      </c>
    </row>
    <row r="126" spans="1:8" ht="12.75">
      <c r="A126" s="280"/>
      <c r="B126" s="281"/>
      <c r="C126" s="282"/>
      <c r="D126" s="37"/>
      <c r="E126" s="36"/>
      <c r="F126" s="36"/>
      <c r="G126" s="47">
        <f t="shared" si="5"/>
        <v>0</v>
      </c>
      <c r="H126" s="48">
        <f t="shared" si="6"/>
        <v>0</v>
      </c>
    </row>
    <row r="127" spans="1:8" ht="12.75">
      <c r="A127" s="280" t="s">
        <v>40</v>
      </c>
      <c r="B127" s="281"/>
      <c r="C127" s="282"/>
      <c r="D127" s="37"/>
      <c r="E127" s="36"/>
      <c r="F127" s="36"/>
      <c r="G127" s="45">
        <f t="shared" si="5"/>
        <v>0</v>
      </c>
      <c r="H127" s="46">
        <f t="shared" si="6"/>
        <v>0</v>
      </c>
    </row>
    <row r="128" spans="1:8" ht="12.75">
      <c r="A128" s="297">
        <v>7400</v>
      </c>
      <c r="B128" s="281">
        <v>3111</v>
      </c>
      <c r="C128" s="282" t="s">
        <v>95</v>
      </c>
      <c r="D128" s="151">
        <v>600</v>
      </c>
      <c r="E128" s="150">
        <v>600</v>
      </c>
      <c r="F128" s="150">
        <v>554</v>
      </c>
      <c r="G128" s="273">
        <f t="shared" si="5"/>
        <v>92.33333333333333</v>
      </c>
      <c r="H128" s="44">
        <f t="shared" si="6"/>
        <v>92.33333333333333</v>
      </c>
    </row>
    <row r="129" spans="1:8" ht="12.75">
      <c r="A129" s="297">
        <v>7400</v>
      </c>
      <c r="B129" s="281">
        <v>3113</v>
      </c>
      <c r="C129" s="282" t="s">
        <v>23</v>
      </c>
      <c r="D129" s="151"/>
      <c r="E129" s="150">
        <v>94</v>
      </c>
      <c r="F129" s="150">
        <v>94</v>
      </c>
      <c r="G129" s="273"/>
      <c r="H129" s="44">
        <f t="shared" si="6"/>
        <v>100</v>
      </c>
    </row>
    <row r="130" spans="1:8" ht="12.75">
      <c r="A130" s="297">
        <v>7400</v>
      </c>
      <c r="B130" s="281">
        <v>3119</v>
      </c>
      <c r="C130" s="282" t="s">
        <v>259</v>
      </c>
      <c r="D130" s="151">
        <v>30000</v>
      </c>
      <c r="E130" s="150"/>
      <c r="F130" s="150"/>
      <c r="G130" s="273">
        <f t="shared" si="5"/>
        <v>0</v>
      </c>
      <c r="H130" s="44">
        <f t="shared" si="6"/>
        <v>0</v>
      </c>
    </row>
    <row r="131" spans="1:8" ht="12.75">
      <c r="A131" s="297">
        <v>7400</v>
      </c>
      <c r="B131" s="281">
        <v>3419</v>
      </c>
      <c r="C131" s="298" t="s">
        <v>49</v>
      </c>
      <c r="D131" s="151"/>
      <c r="E131" s="150">
        <v>34163</v>
      </c>
      <c r="F131" s="150">
        <v>24638</v>
      </c>
      <c r="G131" s="273">
        <f t="shared" si="5"/>
        <v>0</v>
      </c>
      <c r="H131" s="44">
        <f t="shared" si="6"/>
        <v>72.11895910780669</v>
      </c>
    </row>
    <row r="132" spans="1:8" ht="12.75">
      <c r="A132" s="297">
        <v>7400</v>
      </c>
      <c r="B132" s="281">
        <v>6409</v>
      </c>
      <c r="C132" s="282" t="s">
        <v>281</v>
      </c>
      <c r="D132" s="151"/>
      <c r="E132" s="150">
        <v>76270</v>
      </c>
      <c r="F132" s="150">
        <v>74756</v>
      </c>
      <c r="G132" s="273">
        <f t="shared" si="5"/>
        <v>0</v>
      </c>
      <c r="H132" s="44">
        <f t="shared" si="6"/>
        <v>98.01494689917398</v>
      </c>
    </row>
    <row r="133" spans="1:8" ht="12.75">
      <c r="A133" s="280" t="s">
        <v>35</v>
      </c>
      <c r="B133" s="281"/>
      <c r="C133" s="282"/>
      <c r="D133" s="37">
        <f>SUBTOTAL(9,D128:D132)</f>
        <v>30600</v>
      </c>
      <c r="E133" s="36">
        <f>SUBTOTAL(9,E128:E132)</f>
        <v>111127</v>
      </c>
      <c r="F133" s="36">
        <f>SUBTOTAL(9,F128:F132)</f>
        <v>100042</v>
      </c>
      <c r="G133" s="302">
        <f t="shared" si="5"/>
        <v>326.93464052287584</v>
      </c>
      <c r="H133" s="303">
        <f t="shared" si="6"/>
        <v>90.02492643551973</v>
      </c>
    </row>
    <row r="134" spans="1:8" ht="12.75">
      <c r="A134" s="280"/>
      <c r="B134" s="281"/>
      <c r="C134" s="282"/>
      <c r="D134" s="37"/>
      <c r="E134" s="36"/>
      <c r="F134" s="36"/>
      <c r="G134" s="47">
        <f t="shared" si="5"/>
        <v>0</v>
      </c>
      <c r="H134" s="48">
        <f t="shared" si="6"/>
        <v>0</v>
      </c>
    </row>
    <row r="135" spans="1:8" ht="12.75">
      <c r="A135" s="280" t="s">
        <v>30</v>
      </c>
      <c r="B135" s="281"/>
      <c r="C135" s="282"/>
      <c r="D135" s="37"/>
      <c r="E135" s="36"/>
      <c r="F135" s="36"/>
      <c r="G135" s="45">
        <f t="shared" si="5"/>
        <v>0</v>
      </c>
      <c r="H135" s="46">
        <f t="shared" si="6"/>
        <v>0</v>
      </c>
    </row>
    <row r="136" spans="1:8" ht="12.75">
      <c r="A136" s="283">
        <v>8200</v>
      </c>
      <c r="B136" s="281">
        <v>5311</v>
      </c>
      <c r="C136" s="282" t="s">
        <v>32</v>
      </c>
      <c r="D136" s="23">
        <v>33091</v>
      </c>
      <c r="E136" s="9">
        <v>37717</v>
      </c>
      <c r="F136" s="9">
        <v>37659</v>
      </c>
      <c r="G136" s="309">
        <f t="shared" si="5"/>
        <v>113.80435768033604</v>
      </c>
      <c r="H136" s="310">
        <f t="shared" si="6"/>
        <v>99.84622318848265</v>
      </c>
    </row>
    <row r="137" spans="1:8" ht="12.75">
      <c r="A137" s="284" t="s">
        <v>28</v>
      </c>
      <c r="B137" s="285"/>
      <c r="C137" s="286"/>
      <c r="D137" s="37">
        <f>SUBTOTAL(9,D136:D136)</f>
        <v>33091</v>
      </c>
      <c r="E137" s="62">
        <f>SUBTOTAL(9,E136:E136)</f>
        <v>37717</v>
      </c>
      <c r="F137" s="62">
        <f>SUBTOTAL(9,F136:F136)</f>
        <v>37659</v>
      </c>
      <c r="G137" s="63">
        <f t="shared" si="5"/>
        <v>113.80435768033604</v>
      </c>
      <c r="H137" s="64">
        <f t="shared" si="6"/>
        <v>99.84622318848265</v>
      </c>
    </row>
    <row r="138" spans="1:8" ht="10.5" customHeight="1" thickBot="1">
      <c r="A138" s="25"/>
      <c r="B138" s="26"/>
      <c r="C138" s="27"/>
      <c r="D138" s="38"/>
      <c r="E138" s="38"/>
      <c r="F138" s="38"/>
      <c r="G138" s="55">
        <f t="shared" si="5"/>
        <v>0</v>
      </c>
      <c r="H138" s="56">
        <f t="shared" si="6"/>
        <v>0</v>
      </c>
    </row>
    <row r="139" spans="1:8" ht="17.25" thickBot="1">
      <c r="A139" s="61" t="s">
        <v>54</v>
      </c>
      <c r="B139" s="58"/>
      <c r="C139" s="59"/>
      <c r="D139" s="57">
        <f>SUBTOTAL(9,D2:D138)</f>
        <v>2337096</v>
      </c>
      <c r="E139" s="57">
        <f>SUBTOTAL(9,E2:E137)</f>
        <v>2658335</v>
      </c>
      <c r="F139" s="57">
        <f>SUBTOTAL(9,F2:F138)</f>
        <v>2228193</v>
      </c>
      <c r="G139" s="239">
        <f t="shared" si="5"/>
        <v>95.34024276281335</v>
      </c>
      <c r="H139" s="240">
        <f t="shared" si="6"/>
        <v>83.81911986262077</v>
      </c>
    </row>
    <row r="140" spans="1:8" ht="12.75">
      <c r="A140" s="241"/>
      <c r="B140" s="242"/>
      <c r="C140" s="241"/>
      <c r="D140" s="243"/>
      <c r="E140" s="243"/>
      <c r="F140" s="243"/>
      <c r="G140" s="244"/>
      <c r="H140" s="244"/>
    </row>
    <row r="141" spans="1:8" ht="12.75">
      <c r="A141" s="241"/>
      <c r="B141" s="242"/>
      <c r="C141" s="241"/>
      <c r="D141" s="243"/>
      <c r="E141" s="243"/>
      <c r="F141" s="243"/>
      <c r="G141" s="244"/>
      <c r="H141" s="244"/>
    </row>
    <row r="142" spans="1:8" ht="12.75">
      <c r="A142" s="241"/>
      <c r="B142" s="242"/>
      <c r="C142" s="241"/>
      <c r="D142" s="243"/>
      <c r="E142" s="243"/>
      <c r="F142" s="243"/>
      <c r="G142" s="244"/>
      <c r="H142" s="244"/>
    </row>
    <row r="143" spans="1:8" ht="12.75">
      <c r="A143" s="241"/>
      <c r="B143" s="242"/>
      <c r="C143" s="241"/>
      <c r="D143" s="243"/>
      <c r="E143" s="243"/>
      <c r="F143" s="243"/>
      <c r="G143" s="244"/>
      <c r="H143" s="244"/>
    </row>
    <row r="144" spans="1:8" ht="12.75">
      <c r="A144" s="241"/>
      <c r="B144" s="242"/>
      <c r="C144" s="241"/>
      <c r="D144" s="243"/>
      <c r="E144" s="243"/>
      <c r="F144" s="243"/>
      <c r="G144" s="244"/>
      <c r="H144" s="244"/>
    </row>
    <row r="145" spans="1:8" ht="12.75">
      <c r="A145" s="241"/>
      <c r="B145" s="242"/>
      <c r="C145" s="241"/>
      <c r="D145" s="243"/>
      <c r="E145" s="243"/>
      <c r="F145" s="243"/>
      <c r="G145" s="244"/>
      <c r="H145" s="244"/>
    </row>
    <row r="146" spans="1:8" ht="12.75">
      <c r="A146" s="241"/>
      <c r="B146" s="242"/>
      <c r="C146" s="241"/>
      <c r="D146" s="243"/>
      <c r="E146" s="243"/>
      <c r="F146" s="243"/>
      <c r="G146" s="244"/>
      <c r="H146" s="244"/>
    </row>
    <row r="147" spans="1:8" ht="12.75">
      <c r="A147" s="241"/>
      <c r="B147" s="242"/>
      <c r="C147" s="241"/>
      <c r="D147" s="243"/>
      <c r="E147" s="243"/>
      <c r="F147" s="243"/>
      <c r="G147" s="244"/>
      <c r="H147" s="244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</sheetData>
  <sheetProtection/>
  <mergeCells count="1">
    <mergeCell ref="A121:C121"/>
  </mergeCells>
  <printOptions horizontalCentered="1"/>
  <pageMargins left="0.7086614173228347" right="0.6692913385826772" top="0.9055118110236221" bottom="0.6299212598425197" header="0.5118110236220472" footer="0.31496062992125984"/>
  <pageSetup fitToHeight="0" horizontalDpi="600" verticalDpi="600" orientation="portrait" paperSize="9" scale="78" r:id="rId1"/>
  <headerFooter alignWithMargins="0">
    <oddHeader>&amp;C&amp;"Times New Roman,Tučné"&amp;14Čerpání rozpočtu kapitálových výdajů města k 31.12.2014 (v tis. Kč)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0"/>
  <sheetViews>
    <sheetView showZeros="0" zoomScalePageLayoutView="0" workbookViewId="0" topLeftCell="A2">
      <selection activeCell="K9" sqref="K9"/>
    </sheetView>
  </sheetViews>
  <sheetFormatPr defaultColWidth="9.00390625" defaultRowHeight="12.75" outlineLevelRow="2"/>
  <cols>
    <col min="1" max="1" width="4.00390625" style="626" bestFit="1" customWidth="1"/>
    <col min="2" max="2" width="6.75390625" style="627" customWidth="1"/>
    <col min="3" max="3" width="4.375" style="627" customWidth="1"/>
    <col min="4" max="4" width="8.875" style="627" customWidth="1"/>
    <col min="5" max="5" width="8.625" style="627" hidden="1" customWidth="1"/>
    <col min="6" max="6" width="7.625" style="627" customWidth="1"/>
    <col min="7" max="7" width="53.125" style="627" customWidth="1"/>
    <col min="8" max="8" width="9.25390625" style="627" customWidth="1"/>
    <col min="9" max="9" width="9.125" style="627" customWidth="1"/>
    <col min="10" max="10" width="10.375" style="627" customWidth="1"/>
    <col min="11" max="11" width="10.125" style="627" customWidth="1"/>
    <col min="12" max="14" width="8.875" style="627" customWidth="1"/>
    <col min="15" max="15" width="10.125" style="627" customWidth="1"/>
    <col min="16" max="16" width="7.625" style="626" customWidth="1"/>
    <col min="17" max="18" width="8.75390625" style="627" hidden="1" customWidth="1"/>
    <col min="19" max="19" width="9.875" style="627" hidden="1" customWidth="1"/>
    <col min="20" max="20" width="10.00390625" style="627" customWidth="1"/>
    <col min="21" max="21" width="3.375" style="627" customWidth="1"/>
    <col min="22" max="22" width="9.00390625" style="626" hidden="1" customWidth="1"/>
    <col min="23" max="23" width="10.25390625" style="626" hidden="1" customWidth="1"/>
    <col min="24" max="24" width="5.875" style="637" hidden="1" customWidth="1"/>
    <col min="25" max="25" width="6.75390625" style="626" hidden="1" customWidth="1"/>
    <col min="26" max="26" width="11.125" style="626" hidden="1" customWidth="1"/>
    <col min="27" max="27" width="19.25390625" style="626" hidden="1" customWidth="1"/>
    <col min="28" max="16384" width="9.125" style="627" customWidth="1"/>
  </cols>
  <sheetData>
    <row r="1" spans="12:27" ht="24" customHeight="1" hidden="1">
      <c r="L1" s="627">
        <f>COLUMN()</f>
        <v>12</v>
      </c>
      <c r="T1" s="627">
        <f>COLUMN()</f>
        <v>20</v>
      </c>
      <c r="V1" s="628">
        <f>COLUMN()</f>
        <v>22</v>
      </c>
      <c r="W1" s="628">
        <f>COLUMN()</f>
        <v>23</v>
      </c>
      <c r="X1" s="628">
        <f>COLUMN()</f>
        <v>24</v>
      </c>
      <c r="Y1" s="628">
        <f>COLUMN()</f>
        <v>25</v>
      </c>
      <c r="Z1" s="628">
        <f>COLUMN()</f>
        <v>26</v>
      </c>
      <c r="AA1" s="628">
        <f>COLUMN()</f>
        <v>27</v>
      </c>
    </row>
    <row r="2" spans="1:32" ht="38.25">
      <c r="A2" s="629" t="s">
        <v>307</v>
      </c>
      <c r="B2" s="630" t="s">
        <v>226</v>
      </c>
      <c r="C2" s="631" t="s">
        <v>0</v>
      </c>
      <c r="D2" s="631" t="s">
        <v>587</v>
      </c>
      <c r="E2" s="631" t="s">
        <v>588</v>
      </c>
      <c r="F2" s="631" t="s">
        <v>589</v>
      </c>
      <c r="G2" s="631" t="s">
        <v>590</v>
      </c>
      <c r="H2" s="632" t="s">
        <v>591</v>
      </c>
      <c r="I2" s="632" t="s">
        <v>592</v>
      </c>
      <c r="J2" s="632" t="s">
        <v>593</v>
      </c>
      <c r="K2" s="632" t="s">
        <v>594</v>
      </c>
      <c r="L2" s="632" t="s">
        <v>595</v>
      </c>
      <c r="M2" s="632" t="s">
        <v>245</v>
      </c>
      <c r="N2" s="632" t="s">
        <v>309</v>
      </c>
      <c r="O2" s="632" t="s">
        <v>300</v>
      </c>
      <c r="P2" s="633" t="s">
        <v>596</v>
      </c>
      <c r="Q2" s="632" t="s">
        <v>597</v>
      </c>
      <c r="R2" s="632" t="s">
        <v>598</v>
      </c>
      <c r="S2" s="631" t="s">
        <v>599</v>
      </c>
      <c r="T2" s="631" t="s">
        <v>600</v>
      </c>
      <c r="U2" s="634"/>
      <c r="V2" s="635" t="s">
        <v>601</v>
      </c>
      <c r="W2" s="636" t="s">
        <v>602</v>
      </c>
      <c r="Y2" s="636" t="s">
        <v>603</v>
      </c>
      <c r="Z2" s="635" t="s">
        <v>604</v>
      </c>
      <c r="AA2" s="635" t="s">
        <v>605</v>
      </c>
      <c r="AB2" s="638"/>
      <c r="AC2" s="638"/>
      <c r="AD2" s="638"/>
      <c r="AE2" s="638"/>
      <c r="AF2" s="638"/>
    </row>
    <row r="3" spans="1:32" ht="12.75" outlineLevel="2">
      <c r="A3" s="639">
        <f>ROW()-2</f>
        <v>1</v>
      </c>
      <c r="B3" s="640" t="s">
        <v>606</v>
      </c>
      <c r="C3" s="641" t="s">
        <v>607</v>
      </c>
      <c r="D3" s="642">
        <v>2803</v>
      </c>
      <c r="E3" s="641">
        <v>6351</v>
      </c>
      <c r="F3" s="643"/>
      <c r="G3" s="642" t="s">
        <v>608</v>
      </c>
      <c r="H3" s="642">
        <v>2014</v>
      </c>
      <c r="I3" s="642">
        <v>2015</v>
      </c>
      <c r="J3" s="644">
        <v>8170</v>
      </c>
      <c r="K3" s="644"/>
      <c r="L3" s="645"/>
      <c r="M3" s="646"/>
      <c r="N3" s="646">
        <v>170</v>
      </c>
      <c r="O3" s="644"/>
      <c r="P3" s="647">
        <f>IF(N3&lt;=0," ",O3/N3)</f>
        <v>0</v>
      </c>
      <c r="Q3" s="646">
        <v>8000</v>
      </c>
      <c r="R3" s="646"/>
      <c r="S3" s="648"/>
      <c r="T3" s="649" t="s">
        <v>609</v>
      </c>
      <c r="U3" s="650"/>
      <c r="V3" s="651">
        <f>IF(LEN($D3)=4,(J3-L3-N3-Q3-R3-S3),0)</f>
        <v>0</v>
      </c>
      <c r="W3" s="652">
        <f>IF(AND(P3&lt;'[1]koment'!$F$1,N3&gt;='[1]koment'!$F$2),"Komentovat","")</f>
      </c>
      <c r="X3" s="653">
        <f>IF(W3="Komentovat",X2+1,X2)</f>
        <v>0</v>
      </c>
      <c r="Y3" s="651" t="str">
        <f>IF($V3=0," ",IF(LEN($B3)=4,$B3*1,$B3))</f>
        <v> </v>
      </c>
      <c r="Z3" s="654">
        <f>IF($Y3=" ",0,"ORG "&amp;$D3&amp;" - "&amp;$G3)</f>
        <v>0</v>
      </c>
      <c r="AA3" s="655" t="str">
        <f>$B3&amp;LEFT($C3,4)&amp;$D3&amp;$E3&amp;$F3</f>
        <v>5600214328036351</v>
      </c>
      <c r="AB3" s="638"/>
      <c r="AC3" s="638"/>
      <c r="AD3" s="638"/>
      <c r="AE3" s="638"/>
      <c r="AF3" s="638"/>
    </row>
    <row r="4" spans="1:32" ht="12.75" outlineLevel="2">
      <c r="A4" s="639">
        <f aca="true" t="shared" si="0" ref="A4:A67">ROW()-2</f>
        <v>2</v>
      </c>
      <c r="B4" s="640" t="s">
        <v>610</v>
      </c>
      <c r="C4" s="641" t="s">
        <v>607</v>
      </c>
      <c r="D4" s="656">
        <v>30129125</v>
      </c>
      <c r="E4" s="641">
        <v>6351</v>
      </c>
      <c r="F4" s="643"/>
      <c r="G4" s="642" t="s">
        <v>611</v>
      </c>
      <c r="H4" s="642"/>
      <c r="I4" s="642"/>
      <c r="J4" s="644"/>
      <c r="K4" s="644"/>
      <c r="L4" s="645">
        <f>190</f>
        <v>190</v>
      </c>
      <c r="M4" s="646">
        <v>1325</v>
      </c>
      <c r="N4" s="646">
        <v>4350</v>
      </c>
      <c r="O4" s="644">
        <v>2524</v>
      </c>
      <c r="P4" s="647">
        <f aca="true" t="shared" si="1" ref="P4:P67">IF(N4&lt;=0," ",O4/N4)</f>
        <v>0.5802298850574713</v>
      </c>
      <c r="Q4" s="646"/>
      <c r="R4" s="646"/>
      <c r="S4" s="648"/>
      <c r="T4" s="649" t="s">
        <v>338</v>
      </c>
      <c r="U4" s="650"/>
      <c r="V4" s="651">
        <f aca="true" t="shared" si="2" ref="V4:V68">IF(LEN($D4)=4,(J4-L4-N4-Q4-R4-S4),0)</f>
        <v>0</v>
      </c>
      <c r="W4" s="652" t="str">
        <f>IF(AND(P4&lt;'[1]koment'!$F$1,N4&gt;='[1]koment'!$F$2),"Komentovat","")</f>
        <v>Komentovat</v>
      </c>
      <c r="X4" s="653">
        <f aca="true" t="shared" si="3" ref="X4:X64">IF(W4="Komentovat",X3+1,X3)</f>
        <v>1</v>
      </c>
      <c r="Y4" s="651" t="str">
        <f aca="true" t="shared" si="4" ref="Y4:Y68">IF($V4=0," ",IF(LEN($B4)=4,$B4*1,$B4))</f>
        <v> </v>
      </c>
      <c r="Z4" s="654">
        <f aca="true" t="shared" si="5" ref="Z4:Z68">IF($Y4=" ",0,"ORG "&amp;$D4&amp;" - "&amp;$G4)</f>
        <v>0</v>
      </c>
      <c r="AA4" s="655" t="str">
        <f aca="true" t="shared" si="6" ref="AA4:AA68">$B4&amp;LEFT($C4,4)&amp;$D4&amp;$E4&amp;$F4</f>
        <v>19002143301291256351</v>
      </c>
      <c r="AB4" s="638"/>
      <c r="AC4" s="638"/>
      <c r="AD4" s="638"/>
      <c r="AE4" s="638"/>
      <c r="AF4" s="638"/>
    </row>
    <row r="5" spans="1:32" ht="12.75" outlineLevel="1">
      <c r="A5" s="639">
        <f t="shared" si="0"/>
        <v>3</v>
      </c>
      <c r="B5" s="640"/>
      <c r="C5" s="657" t="s">
        <v>612</v>
      </c>
      <c r="D5" s="656"/>
      <c r="E5" s="641"/>
      <c r="F5" s="643"/>
      <c r="G5" s="642"/>
      <c r="H5" s="642"/>
      <c r="I5" s="642"/>
      <c r="J5" s="644">
        <f aca="true" t="shared" si="7" ref="J5:O5">SUBTOTAL(9,J3:J4)</f>
        <v>8170</v>
      </c>
      <c r="K5" s="644">
        <f t="shared" si="7"/>
        <v>0</v>
      </c>
      <c r="L5" s="645">
        <f t="shared" si="7"/>
        <v>190</v>
      </c>
      <c r="M5" s="646">
        <f t="shared" si="7"/>
        <v>1325</v>
      </c>
      <c r="N5" s="646">
        <f t="shared" si="7"/>
        <v>4520</v>
      </c>
      <c r="O5" s="644">
        <f t="shared" si="7"/>
        <v>2524</v>
      </c>
      <c r="P5" s="647">
        <f t="shared" si="1"/>
        <v>0.5584070796460177</v>
      </c>
      <c r="Q5" s="646">
        <f>SUBTOTAL(9,Q3:Q4)</f>
        <v>8000</v>
      </c>
      <c r="R5" s="646">
        <f>SUBTOTAL(9,R3:R4)</f>
        <v>0</v>
      </c>
      <c r="S5" s="648">
        <f>SUBTOTAL(9,S3:S4)</f>
        <v>0</v>
      </c>
      <c r="T5" s="649"/>
      <c r="U5" s="650"/>
      <c r="V5" s="651"/>
      <c r="W5" s="652"/>
      <c r="X5" s="653"/>
      <c r="Y5" s="651" t="str">
        <f>IF($V5=0," ",IF(LEN($B5)=4,$B5*1,$B5))</f>
        <v> </v>
      </c>
      <c r="Z5" s="654">
        <f>IF($Y5=" ",0,"ORG "&amp;$D5&amp;" - "&amp;$G5)</f>
        <v>0</v>
      </c>
      <c r="AA5" s="655" t="str">
        <f>$B5&amp;LEFT($C5,4)&amp;$D5&amp;$E5&amp;$F5</f>
        <v>Celk</v>
      </c>
      <c r="AB5" s="638"/>
      <c r="AC5" s="638"/>
      <c r="AD5" s="638"/>
      <c r="AE5" s="638"/>
      <c r="AF5" s="638"/>
    </row>
    <row r="6" spans="1:32" ht="12.75" outlineLevel="2">
      <c r="A6" s="639">
        <f t="shared" si="0"/>
        <v>4</v>
      </c>
      <c r="B6" s="640" t="s">
        <v>606</v>
      </c>
      <c r="C6" s="641" t="s">
        <v>613</v>
      </c>
      <c r="D6" s="642">
        <v>2799</v>
      </c>
      <c r="E6" s="641">
        <v>6121</v>
      </c>
      <c r="F6" s="643"/>
      <c r="G6" s="642" t="s">
        <v>614</v>
      </c>
      <c r="H6" s="642">
        <v>2014</v>
      </c>
      <c r="I6" s="642">
        <v>2016</v>
      </c>
      <c r="J6" s="644">
        <v>15650</v>
      </c>
      <c r="K6" s="644"/>
      <c r="L6" s="645"/>
      <c r="M6" s="646"/>
      <c r="N6" s="646"/>
      <c r="O6" s="644"/>
      <c r="P6" s="647" t="str">
        <f t="shared" si="1"/>
        <v> </v>
      </c>
      <c r="Q6" s="646">
        <v>1500</v>
      </c>
      <c r="R6" s="646">
        <v>14150</v>
      </c>
      <c r="S6" s="648"/>
      <c r="T6" s="649" t="s">
        <v>609</v>
      </c>
      <c r="U6" s="650"/>
      <c r="V6" s="651">
        <f t="shared" si="2"/>
        <v>0</v>
      </c>
      <c r="W6" s="652">
        <f>IF(AND(P6&lt;'[1]koment'!$F$1,N6&gt;='[1]koment'!$F$2),"Komentovat","")</f>
      </c>
      <c r="X6" s="653">
        <f>IF(W6="Komentovat",X4+1,X4)</f>
        <v>1</v>
      </c>
      <c r="Y6" s="651" t="str">
        <f t="shared" si="4"/>
        <v> </v>
      </c>
      <c r="Z6" s="654">
        <f t="shared" si="5"/>
        <v>0</v>
      </c>
      <c r="AA6" s="655" t="str">
        <f t="shared" si="6"/>
        <v>5600221227996121</v>
      </c>
      <c r="AB6" s="638"/>
      <c r="AC6" s="638"/>
      <c r="AD6" s="638"/>
      <c r="AE6" s="638"/>
      <c r="AF6" s="638"/>
    </row>
    <row r="7" spans="1:32" ht="12.75" outlineLevel="2">
      <c r="A7" s="639">
        <f t="shared" si="0"/>
        <v>5</v>
      </c>
      <c r="B7" s="640" t="s">
        <v>606</v>
      </c>
      <c r="C7" s="641" t="s">
        <v>613</v>
      </c>
      <c r="D7" s="642">
        <v>2800</v>
      </c>
      <c r="E7" s="641">
        <v>6121</v>
      </c>
      <c r="F7" s="643"/>
      <c r="G7" s="642" t="s">
        <v>615</v>
      </c>
      <c r="H7" s="642">
        <v>2014</v>
      </c>
      <c r="I7" s="642">
        <v>2018</v>
      </c>
      <c r="J7" s="644">
        <v>294500</v>
      </c>
      <c r="K7" s="644"/>
      <c r="L7" s="645"/>
      <c r="M7" s="646"/>
      <c r="N7" s="646"/>
      <c r="O7" s="644"/>
      <c r="P7" s="647" t="str">
        <f t="shared" si="1"/>
        <v> </v>
      </c>
      <c r="Q7" s="646">
        <v>6000</v>
      </c>
      <c r="R7" s="646">
        <v>20000</v>
      </c>
      <c r="S7" s="648"/>
      <c r="T7" s="649" t="s">
        <v>609</v>
      </c>
      <c r="U7" s="650"/>
      <c r="V7" s="651">
        <f t="shared" si="2"/>
        <v>268500</v>
      </c>
      <c r="W7" s="652">
        <f>IF(AND(P7&lt;'[1]koment'!$F$1,N7&gt;='[1]koment'!$F$2),"Komentovat","")</f>
      </c>
      <c r="X7" s="653">
        <f t="shared" si="3"/>
        <v>1</v>
      </c>
      <c r="Y7" s="651">
        <f t="shared" si="4"/>
        <v>5600</v>
      </c>
      <c r="Z7" s="654" t="str">
        <f t="shared" si="5"/>
        <v>ORG 2800 - Rekonstrukce ulice Štefánikovy</v>
      </c>
      <c r="AA7" s="655" t="str">
        <f t="shared" si="6"/>
        <v>5600221228006121</v>
      </c>
      <c r="AB7" s="638"/>
      <c r="AC7" s="638"/>
      <c r="AD7" s="638"/>
      <c r="AE7" s="638"/>
      <c r="AF7" s="638"/>
    </row>
    <row r="8" spans="1:32" ht="12.75" outlineLevel="2">
      <c r="A8" s="639">
        <f t="shared" si="0"/>
        <v>6</v>
      </c>
      <c r="B8" s="640" t="s">
        <v>606</v>
      </c>
      <c r="C8" s="641" t="s">
        <v>613</v>
      </c>
      <c r="D8" s="642">
        <v>2827</v>
      </c>
      <c r="E8" s="641">
        <v>6121</v>
      </c>
      <c r="F8" s="643"/>
      <c r="G8" s="642" t="s">
        <v>616</v>
      </c>
      <c r="H8" s="642">
        <v>2014</v>
      </c>
      <c r="I8" s="642">
        <v>2015</v>
      </c>
      <c r="J8" s="644">
        <v>5770</v>
      </c>
      <c r="K8" s="644"/>
      <c r="L8" s="645"/>
      <c r="M8" s="646">
        <v>5962</v>
      </c>
      <c r="N8" s="646"/>
      <c r="O8" s="644"/>
      <c r="P8" s="647" t="str">
        <f t="shared" si="1"/>
        <v> </v>
      </c>
      <c r="Q8" s="646">
        <v>5962</v>
      </c>
      <c r="R8" s="646"/>
      <c r="S8" s="648"/>
      <c r="T8" s="649" t="s">
        <v>609</v>
      </c>
      <c r="U8" s="650"/>
      <c r="V8" s="651">
        <f t="shared" si="2"/>
        <v>-192</v>
      </c>
      <c r="W8" s="652">
        <f>IF(AND(P8&lt;'[1]koment'!$F$1,N8&gt;='[1]koment'!$F$2),"Komentovat","")</f>
      </c>
      <c r="X8" s="653">
        <f t="shared" si="3"/>
        <v>1</v>
      </c>
      <c r="Y8" s="651">
        <f t="shared" si="4"/>
        <v>5600</v>
      </c>
      <c r="Z8" s="654" t="str">
        <f t="shared" si="5"/>
        <v>ORG 2827 - Doplnění chodníku v ulici Maříkově</v>
      </c>
      <c r="AA8" s="655" t="str">
        <f t="shared" si="6"/>
        <v>5600221228276121</v>
      </c>
      <c r="AB8" s="638"/>
      <c r="AC8" s="638"/>
      <c r="AD8" s="638"/>
      <c r="AE8" s="638"/>
      <c r="AF8" s="638"/>
    </row>
    <row r="9" spans="1:32" ht="12.75" outlineLevel="2">
      <c r="A9" s="639">
        <f t="shared" si="0"/>
        <v>7</v>
      </c>
      <c r="B9" s="640" t="s">
        <v>606</v>
      </c>
      <c r="C9" s="641" t="s">
        <v>613</v>
      </c>
      <c r="D9" s="642">
        <v>2828</v>
      </c>
      <c r="E9" s="641">
        <v>6121</v>
      </c>
      <c r="F9" s="643"/>
      <c r="G9" s="642" t="s">
        <v>617</v>
      </c>
      <c r="H9" s="642">
        <v>2014</v>
      </c>
      <c r="I9" s="642">
        <v>2016</v>
      </c>
      <c r="J9" s="644">
        <v>24680</v>
      </c>
      <c r="K9" s="644"/>
      <c r="L9" s="645"/>
      <c r="M9" s="646">
        <v>500</v>
      </c>
      <c r="N9" s="646"/>
      <c r="O9" s="644"/>
      <c r="P9" s="647" t="str">
        <f t="shared" si="1"/>
        <v> </v>
      </c>
      <c r="Q9" s="646">
        <v>12000</v>
      </c>
      <c r="R9" s="646">
        <v>12680</v>
      </c>
      <c r="S9" s="648"/>
      <c r="T9" s="649" t="s">
        <v>609</v>
      </c>
      <c r="U9" s="650"/>
      <c r="V9" s="651">
        <f t="shared" si="2"/>
        <v>0</v>
      </c>
      <c r="W9" s="652">
        <f>IF(AND(P9&lt;'[1]koment'!$F$1,N9&gt;='[1]koment'!$F$2),"Komentovat","")</f>
      </c>
      <c r="X9" s="653">
        <f t="shared" si="3"/>
        <v>1</v>
      </c>
      <c r="Y9" s="651" t="str">
        <f t="shared" si="4"/>
        <v> </v>
      </c>
      <c r="Z9" s="654">
        <f t="shared" si="5"/>
        <v>0</v>
      </c>
      <c r="AA9" s="655" t="str">
        <f t="shared" si="6"/>
        <v>5600221228286121</v>
      </c>
      <c r="AB9" s="638"/>
      <c r="AC9" s="638"/>
      <c r="AD9" s="638"/>
      <c r="AE9" s="638"/>
      <c r="AF9" s="638"/>
    </row>
    <row r="10" spans="1:32" ht="12.75" outlineLevel="2">
      <c r="A10" s="639">
        <f t="shared" si="0"/>
        <v>8</v>
      </c>
      <c r="B10" s="640" t="s">
        <v>606</v>
      </c>
      <c r="C10" s="641" t="s">
        <v>613</v>
      </c>
      <c r="D10" s="642">
        <v>2829</v>
      </c>
      <c r="E10" s="641">
        <v>6121</v>
      </c>
      <c r="F10" s="643"/>
      <c r="G10" s="642" t="s">
        <v>618</v>
      </c>
      <c r="H10" s="642">
        <v>2014</v>
      </c>
      <c r="I10" s="642">
        <v>2015</v>
      </c>
      <c r="J10" s="644">
        <v>5064</v>
      </c>
      <c r="K10" s="644">
        <v>324</v>
      </c>
      <c r="L10" s="645"/>
      <c r="M10" s="646">
        <v>300</v>
      </c>
      <c r="N10" s="646"/>
      <c r="O10" s="644"/>
      <c r="P10" s="647" t="str">
        <f t="shared" si="1"/>
        <v> </v>
      </c>
      <c r="Q10" s="646">
        <v>5064</v>
      </c>
      <c r="R10" s="646"/>
      <c r="S10" s="648"/>
      <c r="T10" s="649" t="s">
        <v>609</v>
      </c>
      <c r="U10" s="650"/>
      <c r="V10" s="651">
        <f t="shared" si="2"/>
        <v>0</v>
      </c>
      <c r="W10" s="652">
        <f>IF(AND(P10&lt;'[1]koment'!$F$1,N10&gt;='[1]koment'!$F$2),"Komentovat","")</f>
      </c>
      <c r="X10" s="653">
        <f t="shared" si="3"/>
        <v>1</v>
      </c>
      <c r="Y10" s="651" t="str">
        <f t="shared" si="4"/>
        <v> </v>
      </c>
      <c r="Z10" s="654">
        <f t="shared" si="5"/>
        <v>0</v>
      </c>
      <c r="AA10" s="655" t="str">
        <f t="shared" si="6"/>
        <v>5600221228296121</v>
      </c>
      <c r="AB10" s="638"/>
      <c r="AC10" s="638"/>
      <c r="AD10" s="638"/>
      <c r="AE10" s="638"/>
      <c r="AF10" s="638"/>
    </row>
    <row r="11" spans="1:32" ht="12.75" outlineLevel="2">
      <c r="A11" s="639">
        <f t="shared" si="0"/>
        <v>9</v>
      </c>
      <c r="B11" s="640" t="s">
        <v>606</v>
      </c>
      <c r="C11" s="641" t="s">
        <v>613</v>
      </c>
      <c r="D11" s="642">
        <v>2830</v>
      </c>
      <c r="E11" s="641">
        <v>6121</v>
      </c>
      <c r="F11" s="643"/>
      <c r="G11" s="642" t="s">
        <v>619</v>
      </c>
      <c r="H11" s="642">
        <v>2014</v>
      </c>
      <c r="I11" s="642">
        <v>2015</v>
      </c>
      <c r="J11" s="644">
        <v>2650</v>
      </c>
      <c r="K11" s="644"/>
      <c r="L11" s="645"/>
      <c r="M11" s="646">
        <v>1500</v>
      </c>
      <c r="N11" s="646">
        <v>175</v>
      </c>
      <c r="O11" s="644">
        <v>75</v>
      </c>
      <c r="P11" s="647">
        <f t="shared" si="1"/>
        <v>0.42857142857142855</v>
      </c>
      <c r="Q11" s="646">
        <v>2475</v>
      </c>
      <c r="R11" s="646"/>
      <c r="S11" s="648"/>
      <c r="T11" s="649" t="s">
        <v>609</v>
      </c>
      <c r="U11" s="650"/>
      <c r="V11" s="651">
        <f t="shared" si="2"/>
        <v>0</v>
      </c>
      <c r="W11" s="652">
        <f>IF(AND(P11&lt;'[1]koment'!$F$1,N11&gt;='[1]koment'!$F$2),"Komentovat","")</f>
      </c>
      <c r="X11" s="653">
        <f t="shared" si="3"/>
        <v>1</v>
      </c>
      <c r="Y11" s="651" t="str">
        <f t="shared" si="4"/>
        <v> </v>
      </c>
      <c r="Z11" s="654">
        <f t="shared" si="5"/>
        <v>0</v>
      </c>
      <c r="AA11" s="655" t="str">
        <f t="shared" si="6"/>
        <v>5600221228306121</v>
      </c>
      <c r="AB11" s="638"/>
      <c r="AC11" s="638"/>
      <c r="AD11" s="638"/>
      <c r="AE11" s="638"/>
      <c r="AF11" s="638"/>
    </row>
    <row r="12" spans="1:32" ht="12.75" outlineLevel="2">
      <c r="A12" s="639">
        <f t="shared" si="0"/>
        <v>10</v>
      </c>
      <c r="B12" s="640" t="s">
        <v>606</v>
      </c>
      <c r="C12" s="641" t="s">
        <v>613</v>
      </c>
      <c r="D12" s="642">
        <v>2831</v>
      </c>
      <c r="E12" s="641">
        <v>6121</v>
      </c>
      <c r="F12" s="643"/>
      <c r="G12" s="642" t="s">
        <v>620</v>
      </c>
      <c r="H12" s="642">
        <v>2014</v>
      </c>
      <c r="I12" s="642">
        <v>2018</v>
      </c>
      <c r="J12" s="644">
        <v>169835</v>
      </c>
      <c r="K12" s="644"/>
      <c r="L12" s="645"/>
      <c r="M12" s="646">
        <v>3000</v>
      </c>
      <c r="N12" s="646"/>
      <c r="O12" s="644"/>
      <c r="P12" s="647" t="str">
        <f t="shared" si="1"/>
        <v> </v>
      </c>
      <c r="Q12" s="646">
        <v>3000</v>
      </c>
      <c r="R12" s="646">
        <v>50000</v>
      </c>
      <c r="S12" s="648">
        <v>100000</v>
      </c>
      <c r="T12" s="649" t="s">
        <v>609</v>
      </c>
      <c r="U12" s="650"/>
      <c r="V12" s="651">
        <f t="shared" si="2"/>
        <v>16835</v>
      </c>
      <c r="W12" s="652">
        <f>IF(AND(P12&lt;'[1]koment'!$F$1,N12&gt;='[1]koment'!$F$2),"Komentovat","")</f>
      </c>
      <c r="X12" s="653">
        <f t="shared" si="3"/>
        <v>1</v>
      </c>
      <c r="Y12" s="651">
        <f t="shared" si="4"/>
        <v>5600</v>
      </c>
      <c r="Z12" s="654" t="str">
        <f t="shared" si="5"/>
        <v>ORG 2831 - Terminál Starý Lískovec</v>
      </c>
      <c r="AA12" s="655" t="str">
        <f t="shared" si="6"/>
        <v>5600221228316121</v>
      </c>
      <c r="AB12" s="638"/>
      <c r="AC12" s="638"/>
      <c r="AD12" s="638"/>
      <c r="AE12" s="638"/>
      <c r="AF12" s="638"/>
    </row>
    <row r="13" spans="1:32" ht="12.75" outlineLevel="2">
      <c r="A13" s="639">
        <f t="shared" si="0"/>
        <v>11</v>
      </c>
      <c r="B13" s="640" t="s">
        <v>606</v>
      </c>
      <c r="C13" s="641" t="s">
        <v>613</v>
      </c>
      <c r="D13" s="642">
        <v>2832</v>
      </c>
      <c r="E13" s="641">
        <v>6121</v>
      </c>
      <c r="F13" s="643"/>
      <c r="G13" s="642" t="s">
        <v>621</v>
      </c>
      <c r="H13" s="642">
        <v>2014</v>
      </c>
      <c r="I13" s="642">
        <v>2018</v>
      </c>
      <c r="J13" s="644">
        <v>638700</v>
      </c>
      <c r="K13" s="644"/>
      <c r="L13" s="645"/>
      <c r="M13" s="646">
        <v>2500</v>
      </c>
      <c r="N13" s="646"/>
      <c r="O13" s="644"/>
      <c r="P13" s="647" t="str">
        <f t="shared" si="1"/>
        <v> </v>
      </c>
      <c r="Q13" s="646">
        <v>2500</v>
      </c>
      <c r="R13" s="646"/>
      <c r="S13" s="648">
        <v>52500</v>
      </c>
      <c r="T13" s="649" t="s">
        <v>609</v>
      </c>
      <c r="U13" s="650"/>
      <c r="V13" s="651">
        <f t="shared" si="2"/>
        <v>583700</v>
      </c>
      <c r="W13" s="652">
        <f>IF(AND(P13&lt;'[1]koment'!$F$1,N13&gt;='[1]koment'!$F$2),"Komentovat","")</f>
      </c>
      <c r="X13" s="653">
        <f t="shared" si="3"/>
        <v>1</v>
      </c>
      <c r="Y13" s="651">
        <f t="shared" si="4"/>
        <v>5600</v>
      </c>
      <c r="Z13" s="654" t="str">
        <f t="shared" si="5"/>
        <v>ORG 2832 - Mendlovo nám., terminál hromadné dopravy</v>
      </c>
      <c r="AA13" s="655" t="str">
        <f t="shared" si="6"/>
        <v>5600221228326121</v>
      </c>
      <c r="AB13" s="638"/>
      <c r="AC13" s="638"/>
      <c r="AD13" s="638"/>
      <c r="AE13" s="638"/>
      <c r="AF13" s="638"/>
    </row>
    <row r="14" spans="1:32" ht="12.75" outlineLevel="2">
      <c r="A14" s="639">
        <f t="shared" si="0"/>
        <v>12</v>
      </c>
      <c r="B14" s="640" t="s">
        <v>606</v>
      </c>
      <c r="C14" s="641" t="s">
        <v>613</v>
      </c>
      <c r="D14" s="642">
        <v>2833</v>
      </c>
      <c r="E14" s="641">
        <v>6121</v>
      </c>
      <c r="F14" s="643"/>
      <c r="G14" s="642" t="s">
        <v>622</v>
      </c>
      <c r="H14" s="642">
        <v>2014</v>
      </c>
      <c r="I14" s="642">
        <v>2015</v>
      </c>
      <c r="J14" s="644">
        <v>16300</v>
      </c>
      <c r="K14" s="644"/>
      <c r="L14" s="645"/>
      <c r="M14" s="646">
        <v>650</v>
      </c>
      <c r="N14" s="646">
        <v>160</v>
      </c>
      <c r="O14" s="644">
        <v>60</v>
      </c>
      <c r="P14" s="647">
        <f t="shared" si="1"/>
        <v>0.375</v>
      </c>
      <c r="Q14" s="646">
        <v>16140</v>
      </c>
      <c r="R14" s="646"/>
      <c r="S14" s="648">
        <v>3650</v>
      </c>
      <c r="T14" s="649" t="s">
        <v>609</v>
      </c>
      <c r="U14" s="650"/>
      <c r="V14" s="651">
        <f t="shared" si="2"/>
        <v>-3650</v>
      </c>
      <c r="W14" s="652">
        <f>IF(AND(P14&lt;'[1]koment'!$F$1,N14&gt;='[1]koment'!$F$2),"Komentovat","")</f>
      </c>
      <c r="X14" s="653">
        <f t="shared" si="3"/>
        <v>1</v>
      </c>
      <c r="Y14" s="651">
        <f t="shared" si="4"/>
        <v>5600</v>
      </c>
      <c r="Z14" s="654" t="str">
        <f t="shared" si="5"/>
        <v>ORG 2833 - Parkoviště při ulici Spodní</v>
      </c>
      <c r="AA14" s="655" t="str">
        <f t="shared" si="6"/>
        <v>5600221228336121</v>
      </c>
      <c r="AB14" s="638"/>
      <c r="AC14" s="638"/>
      <c r="AD14" s="638"/>
      <c r="AE14" s="638"/>
      <c r="AF14" s="638"/>
    </row>
    <row r="15" spans="1:32" ht="12.75" outlineLevel="2">
      <c r="A15" s="639">
        <f t="shared" si="0"/>
        <v>13</v>
      </c>
      <c r="B15" s="640" t="s">
        <v>606</v>
      </c>
      <c r="C15" s="641" t="s">
        <v>613</v>
      </c>
      <c r="D15" s="642">
        <v>2834</v>
      </c>
      <c r="E15" s="641">
        <v>6121</v>
      </c>
      <c r="F15" s="643"/>
      <c r="G15" s="642" t="s">
        <v>623</v>
      </c>
      <c r="H15" s="642">
        <v>2014</v>
      </c>
      <c r="I15" s="642">
        <v>2018</v>
      </c>
      <c r="J15" s="644">
        <v>444900</v>
      </c>
      <c r="K15" s="644"/>
      <c r="L15" s="645"/>
      <c r="M15" s="646">
        <v>4000</v>
      </c>
      <c r="N15" s="646"/>
      <c r="O15" s="644"/>
      <c r="P15" s="647" t="str">
        <f t="shared" si="1"/>
        <v> </v>
      </c>
      <c r="Q15" s="646">
        <v>4000</v>
      </c>
      <c r="R15" s="646">
        <v>15000</v>
      </c>
      <c r="S15" s="648">
        <f>85000+175000</f>
        <v>260000</v>
      </c>
      <c r="T15" s="649" t="s">
        <v>609</v>
      </c>
      <c r="U15" s="650"/>
      <c r="V15" s="651">
        <f t="shared" si="2"/>
        <v>165900</v>
      </c>
      <c r="W15" s="652">
        <f>IF(AND(P15&lt;'[1]koment'!$F$1,N15&gt;='[1]koment'!$F$2),"Komentovat","")</f>
      </c>
      <c r="X15" s="653">
        <f t="shared" si="3"/>
        <v>1</v>
      </c>
      <c r="Y15" s="651">
        <f t="shared" si="4"/>
        <v>5600</v>
      </c>
      <c r="Z15" s="654" t="str">
        <f t="shared" si="5"/>
        <v>ORG 2834 - Rekonstrukce ulice Veveří I.</v>
      </c>
      <c r="AA15" s="655" t="str">
        <f t="shared" si="6"/>
        <v>5600221228346121</v>
      </c>
      <c r="AB15" s="638"/>
      <c r="AC15" s="638"/>
      <c r="AD15" s="638"/>
      <c r="AE15" s="638"/>
      <c r="AF15" s="638"/>
    </row>
    <row r="16" spans="1:32" ht="12.75" outlineLevel="2">
      <c r="A16" s="639">
        <f t="shared" si="0"/>
        <v>14</v>
      </c>
      <c r="B16" s="640" t="s">
        <v>606</v>
      </c>
      <c r="C16" s="641" t="s">
        <v>613</v>
      </c>
      <c r="D16" s="642">
        <v>2835</v>
      </c>
      <c r="E16" s="641">
        <v>6121</v>
      </c>
      <c r="F16" s="643"/>
      <c r="G16" s="642" t="s">
        <v>624</v>
      </c>
      <c r="H16" s="642">
        <v>2014</v>
      </c>
      <c r="I16" s="642">
        <v>2019</v>
      </c>
      <c r="J16" s="644">
        <v>177600</v>
      </c>
      <c r="K16" s="644"/>
      <c r="L16" s="645"/>
      <c r="M16" s="646">
        <v>2500</v>
      </c>
      <c r="N16" s="646">
        <v>200</v>
      </c>
      <c r="O16" s="644"/>
      <c r="P16" s="647">
        <f t="shared" si="1"/>
        <v>0</v>
      </c>
      <c r="Q16" s="646">
        <v>200</v>
      </c>
      <c r="R16" s="646"/>
      <c r="S16" s="648">
        <f>83800+77700</f>
        <v>161500</v>
      </c>
      <c r="T16" s="649" t="s">
        <v>609</v>
      </c>
      <c r="U16" s="650"/>
      <c r="V16" s="651">
        <f t="shared" si="2"/>
        <v>15700</v>
      </c>
      <c r="W16" s="652">
        <f>IF(AND(P16&lt;'[1]koment'!$F$1,N16&gt;='[1]koment'!$F$2),"Komentovat","")</f>
      </c>
      <c r="X16" s="653">
        <f t="shared" si="3"/>
        <v>1</v>
      </c>
      <c r="Y16" s="651">
        <f t="shared" si="4"/>
        <v>5600</v>
      </c>
      <c r="Z16" s="654" t="str">
        <f t="shared" si="5"/>
        <v>ORG 2835 - Rekonstrukce ulice Jana Babáka</v>
      </c>
      <c r="AA16" s="655" t="str">
        <f t="shared" si="6"/>
        <v>5600221228356121</v>
      </c>
      <c r="AB16" s="638"/>
      <c r="AC16" s="638"/>
      <c r="AD16" s="638"/>
      <c r="AE16" s="638"/>
      <c r="AF16" s="638"/>
    </row>
    <row r="17" spans="1:32" ht="12.75" outlineLevel="2">
      <c r="A17" s="639">
        <f t="shared" si="0"/>
        <v>15</v>
      </c>
      <c r="B17" s="640" t="s">
        <v>606</v>
      </c>
      <c r="C17" s="641" t="s">
        <v>613</v>
      </c>
      <c r="D17" s="642">
        <v>2836</v>
      </c>
      <c r="E17" s="641">
        <v>6121</v>
      </c>
      <c r="F17" s="643"/>
      <c r="G17" s="642" t="s">
        <v>625</v>
      </c>
      <c r="H17" s="642">
        <v>2014</v>
      </c>
      <c r="I17" s="642">
        <v>2019</v>
      </c>
      <c r="J17" s="644">
        <v>823000</v>
      </c>
      <c r="K17" s="644"/>
      <c r="L17" s="645"/>
      <c r="M17" s="646">
        <v>250</v>
      </c>
      <c r="N17" s="646"/>
      <c r="O17" s="644"/>
      <c r="P17" s="647" t="str">
        <f t="shared" si="1"/>
        <v> </v>
      </c>
      <c r="Q17" s="646">
        <v>6000</v>
      </c>
      <c r="R17" s="646">
        <v>25000</v>
      </c>
      <c r="S17" s="648">
        <f>12000+438750</f>
        <v>450750</v>
      </c>
      <c r="T17" s="649" t="s">
        <v>609</v>
      </c>
      <c r="U17" s="650"/>
      <c r="V17" s="651">
        <f t="shared" si="2"/>
        <v>341250</v>
      </c>
      <c r="W17" s="652">
        <f>IF(AND(P17&lt;'[1]koment'!$F$1,N17&gt;='[1]koment'!$F$2),"Komentovat","")</f>
      </c>
      <c r="X17" s="653">
        <f t="shared" si="3"/>
        <v>1</v>
      </c>
      <c r="Y17" s="651">
        <f t="shared" si="4"/>
        <v>5600</v>
      </c>
      <c r="Z17" s="654" t="str">
        <f t="shared" si="5"/>
        <v>ORG 2836 - Prodloužení tramvajové trati Bystrc-Kamechy</v>
      </c>
      <c r="AA17" s="655" t="str">
        <f t="shared" si="6"/>
        <v>5600221228366121</v>
      </c>
      <c r="AB17" s="638"/>
      <c r="AC17" s="638"/>
      <c r="AD17" s="638"/>
      <c r="AE17" s="638"/>
      <c r="AF17" s="638"/>
    </row>
    <row r="18" spans="1:32" ht="12.75" outlineLevel="2">
      <c r="A18" s="639">
        <f t="shared" si="0"/>
        <v>16</v>
      </c>
      <c r="B18" s="640" t="s">
        <v>606</v>
      </c>
      <c r="C18" s="641" t="s">
        <v>613</v>
      </c>
      <c r="D18" s="642">
        <v>2837</v>
      </c>
      <c r="E18" s="641">
        <v>6121</v>
      </c>
      <c r="F18" s="643"/>
      <c r="G18" s="642" t="s">
        <v>626</v>
      </c>
      <c r="H18" s="642">
        <v>2014</v>
      </c>
      <c r="I18" s="642">
        <v>2019</v>
      </c>
      <c r="J18" s="644">
        <v>589200</v>
      </c>
      <c r="K18" s="644"/>
      <c r="L18" s="645"/>
      <c r="M18" s="646">
        <v>7500</v>
      </c>
      <c r="N18" s="646"/>
      <c r="O18" s="644"/>
      <c r="P18" s="647" t="str">
        <f t="shared" si="1"/>
        <v> </v>
      </c>
      <c r="Q18" s="646">
        <v>7500</v>
      </c>
      <c r="R18" s="646">
        <v>25000</v>
      </c>
      <c r="S18" s="648">
        <f>88000+436200</f>
        <v>524200</v>
      </c>
      <c r="T18" s="649" t="s">
        <v>609</v>
      </c>
      <c r="U18" s="650"/>
      <c r="V18" s="651">
        <f t="shared" si="2"/>
        <v>32500</v>
      </c>
      <c r="W18" s="652">
        <f>IF(AND(P18&lt;'[1]koment'!$F$1,N18&gt;='[1]koment'!$F$2),"Komentovat","")</f>
      </c>
      <c r="X18" s="653">
        <f t="shared" si="3"/>
        <v>1</v>
      </c>
      <c r="Y18" s="651">
        <f t="shared" si="4"/>
        <v>5600</v>
      </c>
      <c r="Z18" s="654" t="str">
        <f t="shared" si="5"/>
        <v>ORG 2837 - Prodloužení TT Lesná</v>
      </c>
      <c r="AA18" s="655" t="str">
        <f t="shared" si="6"/>
        <v>5600221228376121</v>
      </c>
      <c r="AB18" s="638"/>
      <c r="AC18" s="638"/>
      <c r="AD18" s="638"/>
      <c r="AE18" s="638"/>
      <c r="AF18" s="638"/>
    </row>
    <row r="19" spans="1:32" ht="12.75" outlineLevel="2">
      <c r="A19" s="639">
        <f t="shared" si="0"/>
        <v>17</v>
      </c>
      <c r="B19" s="640" t="s">
        <v>606</v>
      </c>
      <c r="C19" s="641" t="s">
        <v>613</v>
      </c>
      <c r="D19" s="642">
        <v>2838</v>
      </c>
      <c r="E19" s="641">
        <v>6121</v>
      </c>
      <c r="F19" s="643"/>
      <c r="G19" s="642" t="s">
        <v>627</v>
      </c>
      <c r="H19" s="642">
        <v>2014</v>
      </c>
      <c r="I19" s="642">
        <v>2022</v>
      </c>
      <c r="J19" s="644">
        <v>907800</v>
      </c>
      <c r="K19" s="644"/>
      <c r="L19" s="645"/>
      <c r="M19" s="646">
        <v>7000</v>
      </c>
      <c r="N19" s="646">
        <v>1</v>
      </c>
      <c r="O19" s="644"/>
      <c r="P19" s="647">
        <f t="shared" si="1"/>
        <v>0</v>
      </c>
      <c r="Q19" s="646">
        <v>9000</v>
      </c>
      <c r="R19" s="646">
        <v>50000</v>
      </c>
      <c r="S19" s="648">
        <f>907800-59000</f>
        <v>848800</v>
      </c>
      <c r="T19" s="649" t="s">
        <v>609</v>
      </c>
      <c r="U19" s="650"/>
      <c r="V19" s="651">
        <f t="shared" si="2"/>
        <v>-1</v>
      </c>
      <c r="W19" s="652">
        <f>IF(AND(P19&lt;'[1]koment'!$F$1,N19&gt;='[1]koment'!$F$2),"Komentovat","")</f>
      </c>
      <c r="X19" s="653">
        <f t="shared" si="3"/>
        <v>1</v>
      </c>
      <c r="Y19" s="651">
        <f t="shared" si="4"/>
        <v>5600</v>
      </c>
      <c r="Z19" s="654" t="str">
        <f t="shared" si="5"/>
        <v>ORG 2838 - Prodloužení TT z Osové ke Kampusu MU v Bohunicích</v>
      </c>
      <c r="AA19" s="655" t="str">
        <f t="shared" si="6"/>
        <v>5600221228386121</v>
      </c>
      <c r="AB19" s="638"/>
      <c r="AC19" s="638"/>
      <c r="AD19" s="638"/>
      <c r="AE19" s="638"/>
      <c r="AF19" s="638"/>
    </row>
    <row r="20" spans="1:32" ht="12.75" outlineLevel="2">
      <c r="A20" s="639">
        <f t="shared" si="0"/>
        <v>18</v>
      </c>
      <c r="B20" s="640" t="s">
        <v>606</v>
      </c>
      <c r="C20" s="641" t="s">
        <v>613</v>
      </c>
      <c r="D20" s="642">
        <v>2839</v>
      </c>
      <c r="E20" s="641">
        <v>6121</v>
      </c>
      <c r="F20" s="643"/>
      <c r="G20" s="642" t="s">
        <v>628</v>
      </c>
      <c r="H20" s="642">
        <v>2014</v>
      </c>
      <c r="I20" s="642">
        <v>2015</v>
      </c>
      <c r="J20" s="644">
        <v>7000</v>
      </c>
      <c r="K20" s="644"/>
      <c r="L20" s="645"/>
      <c r="M20" s="646">
        <v>400</v>
      </c>
      <c r="N20" s="646"/>
      <c r="O20" s="644"/>
      <c r="P20" s="647" t="str">
        <f t="shared" si="1"/>
        <v> </v>
      </c>
      <c r="Q20" s="646">
        <v>7000</v>
      </c>
      <c r="R20" s="646"/>
      <c r="S20" s="648"/>
      <c r="T20" s="649" t="s">
        <v>609</v>
      </c>
      <c r="U20" s="650"/>
      <c r="V20" s="651">
        <f t="shared" si="2"/>
        <v>0</v>
      </c>
      <c r="W20" s="652">
        <f>IF(AND(P20&lt;'[1]koment'!$F$1,N20&gt;='[1]koment'!$F$2),"Komentovat","")</f>
      </c>
      <c r="X20" s="653">
        <f t="shared" si="3"/>
        <v>1</v>
      </c>
      <c r="Y20" s="651" t="str">
        <f t="shared" si="4"/>
        <v> </v>
      </c>
      <c r="Z20" s="654">
        <f t="shared" si="5"/>
        <v>0</v>
      </c>
      <c r="AA20" s="655" t="str">
        <f t="shared" si="6"/>
        <v>5600221228396121</v>
      </c>
      <c r="AB20" s="638"/>
      <c r="AC20" s="638"/>
      <c r="AD20" s="638"/>
      <c r="AE20" s="638"/>
      <c r="AF20" s="638"/>
    </row>
    <row r="21" spans="1:32" ht="12.75" outlineLevel="2">
      <c r="A21" s="639">
        <f t="shared" si="0"/>
        <v>19</v>
      </c>
      <c r="B21" s="640" t="s">
        <v>606</v>
      </c>
      <c r="C21" s="641" t="s">
        <v>613</v>
      </c>
      <c r="D21" s="642">
        <v>2840</v>
      </c>
      <c r="E21" s="641">
        <v>6121</v>
      </c>
      <c r="F21" s="643"/>
      <c r="G21" s="642" t="s">
        <v>629</v>
      </c>
      <c r="H21" s="642">
        <v>2014</v>
      </c>
      <c r="I21" s="642">
        <v>2019</v>
      </c>
      <c r="J21" s="644">
        <v>39420</v>
      </c>
      <c r="K21" s="644"/>
      <c r="L21" s="645"/>
      <c r="M21" s="646">
        <v>1200</v>
      </c>
      <c r="N21" s="646"/>
      <c r="O21" s="644"/>
      <c r="P21" s="647" t="str">
        <f t="shared" si="1"/>
        <v> </v>
      </c>
      <c r="Q21" s="646">
        <v>1200</v>
      </c>
      <c r="R21" s="646"/>
      <c r="S21" s="648"/>
      <c r="T21" s="649" t="s">
        <v>609</v>
      </c>
      <c r="U21" s="650"/>
      <c r="V21" s="651">
        <f t="shared" si="2"/>
        <v>38220</v>
      </c>
      <c r="W21" s="652">
        <f>IF(AND(P21&lt;'[1]koment'!$F$1,N21&gt;='[1]koment'!$F$2),"Komentovat","")</f>
      </c>
      <c r="X21" s="653">
        <f t="shared" si="3"/>
        <v>1</v>
      </c>
      <c r="Y21" s="651">
        <f t="shared" si="4"/>
        <v>5600</v>
      </c>
      <c r="Z21" s="654" t="str">
        <f t="shared" si="5"/>
        <v>ORG 2840 - Dopravní napojení lokality Komínské louky</v>
      </c>
      <c r="AA21" s="655" t="str">
        <f t="shared" si="6"/>
        <v>5600221228406121</v>
      </c>
      <c r="AB21" s="638"/>
      <c r="AC21" s="638"/>
      <c r="AD21" s="638"/>
      <c r="AE21" s="638"/>
      <c r="AF21" s="638"/>
    </row>
    <row r="22" spans="1:32" ht="12.75" customHeight="1" outlineLevel="2">
      <c r="A22" s="639">
        <f t="shared" si="0"/>
        <v>20</v>
      </c>
      <c r="B22" s="640" t="s">
        <v>606</v>
      </c>
      <c r="C22" s="641" t="s">
        <v>613</v>
      </c>
      <c r="D22" s="642">
        <v>2853</v>
      </c>
      <c r="E22" s="641">
        <v>6121</v>
      </c>
      <c r="F22" s="643"/>
      <c r="G22" s="642" t="s">
        <v>630</v>
      </c>
      <c r="H22" s="642">
        <v>2013</v>
      </c>
      <c r="I22" s="642">
        <v>2015</v>
      </c>
      <c r="J22" s="644">
        <v>4900</v>
      </c>
      <c r="K22" s="644"/>
      <c r="L22" s="645"/>
      <c r="M22" s="646">
        <v>3000</v>
      </c>
      <c r="N22" s="646">
        <v>80</v>
      </c>
      <c r="O22" s="644">
        <v>79</v>
      </c>
      <c r="P22" s="647">
        <f t="shared" si="1"/>
        <v>0.9875</v>
      </c>
      <c r="Q22" s="646">
        <v>4820</v>
      </c>
      <c r="R22" s="646"/>
      <c r="S22" s="648"/>
      <c r="T22" s="642" t="s">
        <v>609</v>
      </c>
      <c r="U22" s="650"/>
      <c r="V22" s="651">
        <f t="shared" si="2"/>
        <v>0</v>
      </c>
      <c r="W22" s="652">
        <f>IF(AND(P22&lt;'[1]koment'!$F$1,N22&gt;='[1]koment'!$F$2),"Komentovat","")</f>
      </c>
      <c r="X22" s="653">
        <f t="shared" si="3"/>
        <v>1</v>
      </c>
      <c r="Y22" s="651" t="str">
        <f t="shared" si="4"/>
        <v> </v>
      </c>
      <c r="Z22" s="654">
        <f t="shared" si="5"/>
        <v>0</v>
      </c>
      <c r="AA22" s="655" t="str">
        <f t="shared" si="6"/>
        <v>5600221228536121</v>
      </c>
      <c r="AB22" s="638"/>
      <c r="AC22" s="638"/>
      <c r="AD22" s="638"/>
      <c r="AE22" s="638"/>
      <c r="AF22" s="638"/>
    </row>
    <row r="23" spans="1:32" ht="12.75" customHeight="1" outlineLevel="2">
      <c r="A23" s="639">
        <f t="shared" si="0"/>
        <v>21</v>
      </c>
      <c r="B23" s="640" t="s">
        <v>606</v>
      </c>
      <c r="C23" s="641" t="s">
        <v>613</v>
      </c>
      <c r="D23" s="642">
        <v>2877</v>
      </c>
      <c r="E23" s="642">
        <v>6121</v>
      </c>
      <c r="F23" s="643"/>
      <c r="G23" s="642" t="s">
        <v>631</v>
      </c>
      <c r="H23" s="642">
        <v>2013</v>
      </c>
      <c r="I23" s="642">
        <v>2015</v>
      </c>
      <c r="J23" s="644">
        <v>3340</v>
      </c>
      <c r="K23" s="644"/>
      <c r="L23" s="645"/>
      <c r="M23" s="646">
        <v>3200</v>
      </c>
      <c r="N23" s="646">
        <v>3200</v>
      </c>
      <c r="O23" s="644">
        <v>3174</v>
      </c>
      <c r="P23" s="647">
        <f t="shared" si="1"/>
        <v>0.991875</v>
      </c>
      <c r="Q23" s="646">
        <v>140</v>
      </c>
      <c r="R23" s="646"/>
      <c r="S23" s="648"/>
      <c r="T23" s="642" t="s">
        <v>609</v>
      </c>
      <c r="U23" s="650"/>
      <c r="V23" s="651">
        <f t="shared" si="2"/>
        <v>0</v>
      </c>
      <c r="W23" s="652">
        <f>IF(AND(P23&lt;'[1]koment'!$F$1,N23&gt;='[1]koment'!$F$2),"Komentovat","")</f>
      </c>
      <c r="X23" s="653">
        <f t="shared" si="3"/>
        <v>1</v>
      </c>
      <c r="Y23" s="651" t="str">
        <f t="shared" si="4"/>
        <v> </v>
      </c>
      <c r="Z23" s="654">
        <f t="shared" si="5"/>
        <v>0</v>
      </c>
      <c r="AA23" s="655" t="str">
        <f t="shared" si="6"/>
        <v>5600221228776121</v>
      </c>
      <c r="AB23" s="638"/>
      <c r="AC23" s="638"/>
      <c r="AD23" s="638"/>
      <c r="AE23" s="638"/>
      <c r="AF23" s="638"/>
    </row>
    <row r="24" spans="1:32" ht="12.75" outlineLevel="2">
      <c r="A24" s="639">
        <f t="shared" si="0"/>
        <v>22</v>
      </c>
      <c r="B24" s="640" t="s">
        <v>606</v>
      </c>
      <c r="C24" s="641" t="s">
        <v>613</v>
      </c>
      <c r="D24" s="642">
        <v>2883</v>
      </c>
      <c r="E24" s="642">
        <v>6121</v>
      </c>
      <c r="F24" s="643"/>
      <c r="G24" s="642" t="s">
        <v>632</v>
      </c>
      <c r="H24" s="642">
        <v>2013</v>
      </c>
      <c r="I24" s="642">
        <v>2015</v>
      </c>
      <c r="J24" s="644">
        <v>27000</v>
      </c>
      <c r="K24" s="644"/>
      <c r="L24" s="645">
        <f>6893</f>
        <v>6893</v>
      </c>
      <c r="M24" s="646">
        <v>20000</v>
      </c>
      <c r="N24" s="646">
        <v>17000</v>
      </c>
      <c r="O24" s="644">
        <v>16603</v>
      </c>
      <c r="P24" s="647">
        <f t="shared" si="1"/>
        <v>0.9766470588235294</v>
      </c>
      <c r="Q24" s="646">
        <v>1500</v>
      </c>
      <c r="R24" s="646"/>
      <c r="S24" s="648"/>
      <c r="T24" s="642" t="s">
        <v>609</v>
      </c>
      <c r="U24" s="650"/>
      <c r="V24" s="651">
        <f t="shared" si="2"/>
        <v>1607</v>
      </c>
      <c r="W24" s="652">
        <f>IF(AND(P24&lt;'[1]koment'!$F$1,N24&gt;='[1]koment'!$F$2),"Komentovat","")</f>
      </c>
      <c r="X24" s="653">
        <f t="shared" si="3"/>
        <v>1</v>
      </c>
      <c r="Y24" s="651">
        <f t="shared" si="4"/>
        <v>5600</v>
      </c>
      <c r="Z24" s="654" t="str">
        <f t="shared" si="5"/>
        <v>ORG 2883 - Stav. úpravy křiž. Kaštanová-Popelova-Vinohradská</v>
      </c>
      <c r="AA24" s="655" t="str">
        <f t="shared" si="6"/>
        <v>5600221228836121</v>
      </c>
      <c r="AB24" s="638"/>
      <c r="AC24" s="638"/>
      <c r="AD24" s="638"/>
      <c r="AE24" s="638"/>
      <c r="AF24" s="638"/>
    </row>
    <row r="25" spans="1:32" ht="12.75" outlineLevel="2">
      <c r="A25" s="639">
        <f t="shared" si="0"/>
        <v>23</v>
      </c>
      <c r="B25" s="640" t="s">
        <v>633</v>
      </c>
      <c r="C25" s="641" t="s">
        <v>613</v>
      </c>
      <c r="D25" s="642">
        <v>2885</v>
      </c>
      <c r="E25" s="642">
        <v>6121</v>
      </c>
      <c r="F25" s="643"/>
      <c r="G25" s="642" t="s">
        <v>634</v>
      </c>
      <c r="H25" s="642"/>
      <c r="I25" s="642"/>
      <c r="J25" s="644"/>
      <c r="K25" s="644"/>
      <c r="L25" s="645">
        <f>9668</f>
        <v>9668</v>
      </c>
      <c r="M25" s="646">
        <v>14000</v>
      </c>
      <c r="N25" s="646">
        <v>14000</v>
      </c>
      <c r="O25" s="644">
        <v>12971</v>
      </c>
      <c r="P25" s="647">
        <f t="shared" si="1"/>
        <v>0.9265</v>
      </c>
      <c r="Q25" s="646">
        <v>14000</v>
      </c>
      <c r="R25" s="646"/>
      <c r="S25" s="648"/>
      <c r="T25" s="642" t="s">
        <v>635</v>
      </c>
      <c r="U25" s="650"/>
      <c r="V25" s="651">
        <f t="shared" si="2"/>
        <v>-37668</v>
      </c>
      <c r="W25" s="652">
        <f>IF(AND(P25&lt;'[1]koment'!$F$1,N25&gt;='[1]koment'!$F$2),"Komentovat","")</f>
      </c>
      <c r="X25" s="653">
        <f t="shared" si="3"/>
        <v>1</v>
      </c>
      <c r="Y25" s="651">
        <f t="shared" si="4"/>
        <v>5400</v>
      </c>
      <c r="Z25" s="654" t="str">
        <f t="shared" si="5"/>
        <v>ORG 2885 - Rekonstrukce komunikací </v>
      </c>
      <c r="AA25" s="655" t="str">
        <f t="shared" si="6"/>
        <v>5400221228856121</v>
      </c>
      <c r="AB25" s="638"/>
      <c r="AC25" s="638"/>
      <c r="AD25" s="638"/>
      <c r="AE25" s="638"/>
      <c r="AF25" s="638"/>
    </row>
    <row r="26" spans="1:32" ht="12.75" outlineLevel="2">
      <c r="A26" s="639">
        <f t="shared" si="0"/>
        <v>24</v>
      </c>
      <c r="B26" s="658" t="s">
        <v>633</v>
      </c>
      <c r="C26" s="641" t="s">
        <v>613</v>
      </c>
      <c r="D26" s="641">
        <v>2887</v>
      </c>
      <c r="E26" s="641">
        <v>6122</v>
      </c>
      <c r="F26" s="659"/>
      <c r="G26" s="642" t="s">
        <v>636</v>
      </c>
      <c r="H26" s="641">
        <v>2013</v>
      </c>
      <c r="I26" s="641">
        <v>2014</v>
      </c>
      <c r="J26" s="660">
        <v>650</v>
      </c>
      <c r="K26" s="660"/>
      <c r="L26" s="660"/>
      <c r="M26" s="661"/>
      <c r="N26" s="661"/>
      <c r="O26" s="660"/>
      <c r="P26" s="647" t="str">
        <f t="shared" si="1"/>
        <v> </v>
      </c>
      <c r="Q26" s="661"/>
      <c r="R26" s="661"/>
      <c r="S26" s="662"/>
      <c r="T26" s="649" t="s">
        <v>635</v>
      </c>
      <c r="U26" s="650"/>
      <c r="V26" s="651">
        <f t="shared" si="2"/>
        <v>650</v>
      </c>
      <c r="W26" s="652">
        <f>IF(AND(P26&lt;'[1]koment'!$F$1,N26&gt;='[1]koment'!$F$2),"Komentovat","")</f>
      </c>
      <c r="X26" s="653">
        <f t="shared" si="3"/>
        <v>1</v>
      </c>
      <c r="Y26" s="651">
        <f t="shared" si="4"/>
        <v>5400</v>
      </c>
      <c r="Z26" s="654" t="str">
        <f t="shared" si="5"/>
        <v>ORG 2887 - Městský kamerový dohlížecí systém</v>
      </c>
      <c r="AA26" s="655" t="str">
        <f t="shared" si="6"/>
        <v>5400221228876122</v>
      </c>
      <c r="AB26" s="638"/>
      <c r="AC26" s="638"/>
      <c r="AD26" s="638"/>
      <c r="AE26" s="638"/>
      <c r="AF26" s="638"/>
    </row>
    <row r="27" spans="1:32" ht="12.75" outlineLevel="2">
      <c r="A27" s="639">
        <f t="shared" si="0"/>
        <v>25</v>
      </c>
      <c r="B27" s="640" t="s">
        <v>606</v>
      </c>
      <c r="C27" s="641" t="s">
        <v>613</v>
      </c>
      <c r="D27" s="642">
        <v>2903</v>
      </c>
      <c r="E27" s="642">
        <v>6121</v>
      </c>
      <c r="F27" s="643"/>
      <c r="G27" s="642" t="s">
        <v>637</v>
      </c>
      <c r="H27" s="642">
        <v>2012</v>
      </c>
      <c r="I27" s="642">
        <v>2016</v>
      </c>
      <c r="J27" s="644">
        <v>68500</v>
      </c>
      <c r="K27" s="644"/>
      <c r="L27" s="645">
        <f>111</f>
        <v>111</v>
      </c>
      <c r="M27" s="646">
        <v>10000</v>
      </c>
      <c r="N27" s="646">
        <v>17000</v>
      </c>
      <c r="O27" s="644">
        <v>6617</v>
      </c>
      <c r="P27" s="647">
        <f t="shared" si="1"/>
        <v>0.38923529411764707</v>
      </c>
      <c r="Q27" s="646">
        <v>40000</v>
      </c>
      <c r="R27" s="646">
        <v>11500</v>
      </c>
      <c r="S27" s="648"/>
      <c r="T27" s="642" t="s">
        <v>609</v>
      </c>
      <c r="U27" s="650"/>
      <c r="V27" s="651">
        <f t="shared" si="2"/>
        <v>-111</v>
      </c>
      <c r="W27" s="652" t="str">
        <f>IF(AND(P27&lt;'[1]koment'!$F$1,N27&gt;='[1]koment'!$F$2),"Komentovat","")</f>
        <v>Komentovat</v>
      </c>
      <c r="X27" s="653">
        <f t="shared" si="3"/>
        <v>2</v>
      </c>
      <c r="Y27" s="651">
        <f t="shared" si="4"/>
        <v>5600</v>
      </c>
      <c r="Z27" s="654" t="str">
        <f t="shared" si="5"/>
        <v>ORG 2903 - Rekonstrukce ulice Milady Horákové</v>
      </c>
      <c r="AA27" s="655" t="str">
        <f t="shared" si="6"/>
        <v>5600221229036121</v>
      </c>
      <c r="AB27" s="638"/>
      <c r="AC27" s="638"/>
      <c r="AD27" s="638"/>
      <c r="AE27" s="638"/>
      <c r="AF27" s="638"/>
    </row>
    <row r="28" spans="1:32" ht="12.75" outlineLevel="2">
      <c r="A28" s="639">
        <f t="shared" si="0"/>
        <v>26</v>
      </c>
      <c r="B28" s="663">
        <v>5600</v>
      </c>
      <c r="C28" s="641" t="s">
        <v>613</v>
      </c>
      <c r="D28" s="641">
        <v>2930</v>
      </c>
      <c r="E28" s="641">
        <v>6121</v>
      </c>
      <c r="F28" s="649"/>
      <c r="G28" s="642" t="s">
        <v>638</v>
      </c>
      <c r="H28" s="641">
        <v>2012</v>
      </c>
      <c r="I28" s="641">
        <v>2016</v>
      </c>
      <c r="J28" s="660">
        <v>75200</v>
      </c>
      <c r="K28" s="660"/>
      <c r="L28" s="664">
        <f>5</f>
        <v>5</v>
      </c>
      <c r="M28" s="661">
        <v>10000</v>
      </c>
      <c r="N28" s="661">
        <v>2001</v>
      </c>
      <c r="O28" s="660">
        <v>838</v>
      </c>
      <c r="P28" s="647">
        <f t="shared" si="1"/>
        <v>0.41879060469765117</v>
      </c>
      <c r="Q28" s="661">
        <v>25000</v>
      </c>
      <c r="R28" s="661">
        <v>41194</v>
      </c>
      <c r="S28" s="662"/>
      <c r="T28" s="649" t="s">
        <v>609</v>
      </c>
      <c r="U28" s="650"/>
      <c r="V28" s="651">
        <f t="shared" si="2"/>
        <v>7000</v>
      </c>
      <c r="W28" s="652">
        <f>IF(AND(P28&lt;'[1]koment'!$F$1,N28&gt;='[1]koment'!$F$2),"Komentovat","")</f>
      </c>
      <c r="X28" s="653" t="e">
        <f>IF(W28="Komentovat",#REF!+1,#REF!)</f>
        <v>#REF!</v>
      </c>
      <c r="Y28" s="651">
        <f t="shared" si="4"/>
        <v>5600</v>
      </c>
      <c r="Z28" s="654" t="str">
        <f t="shared" si="5"/>
        <v>ORG 2930 - Horova - komunikace</v>
      </c>
      <c r="AA28" s="655" t="str">
        <f t="shared" si="6"/>
        <v>5600221229306121</v>
      </c>
      <c r="AB28" s="638"/>
      <c r="AC28" s="638"/>
      <c r="AD28" s="638"/>
      <c r="AE28" s="638"/>
      <c r="AF28" s="638"/>
    </row>
    <row r="29" spans="1:32" ht="12.75" outlineLevel="2">
      <c r="A29" s="639">
        <f t="shared" si="0"/>
        <v>27</v>
      </c>
      <c r="B29" s="663">
        <v>5600</v>
      </c>
      <c r="C29" s="641" t="s">
        <v>613</v>
      </c>
      <c r="D29" s="641">
        <v>2931</v>
      </c>
      <c r="E29" s="641">
        <v>6121</v>
      </c>
      <c r="F29" s="649"/>
      <c r="G29" s="642" t="s">
        <v>639</v>
      </c>
      <c r="H29" s="641">
        <v>2012</v>
      </c>
      <c r="I29" s="641">
        <v>2016</v>
      </c>
      <c r="J29" s="660">
        <v>91670</v>
      </c>
      <c r="K29" s="660"/>
      <c r="L29" s="664">
        <f>5</f>
        <v>5</v>
      </c>
      <c r="M29" s="661">
        <v>10000</v>
      </c>
      <c r="N29" s="661">
        <v>2000</v>
      </c>
      <c r="O29" s="660">
        <v>694</v>
      </c>
      <c r="P29" s="647">
        <f t="shared" si="1"/>
        <v>0.347</v>
      </c>
      <c r="Q29" s="661">
        <v>25000</v>
      </c>
      <c r="R29" s="661">
        <v>64665</v>
      </c>
      <c r="S29" s="662"/>
      <c r="T29" s="649" t="s">
        <v>609</v>
      </c>
      <c r="U29" s="650"/>
      <c r="V29" s="651">
        <f t="shared" si="2"/>
        <v>0</v>
      </c>
      <c r="W29" s="652">
        <f>IF(AND(P29&lt;'[1]koment'!$F$1,N29&gt;='[1]koment'!$F$2),"Komentovat","")</f>
      </c>
      <c r="X29" s="653" t="e">
        <f t="shared" si="3"/>
        <v>#REF!</v>
      </c>
      <c r="Y29" s="651" t="str">
        <f t="shared" si="4"/>
        <v> </v>
      </c>
      <c r="Z29" s="654">
        <f t="shared" si="5"/>
        <v>0</v>
      </c>
      <c r="AA29" s="655" t="str">
        <f t="shared" si="6"/>
        <v>5600221229316121</v>
      </c>
      <c r="AB29" s="638"/>
      <c r="AC29" s="638"/>
      <c r="AD29" s="638"/>
      <c r="AE29" s="638"/>
      <c r="AF29" s="638"/>
    </row>
    <row r="30" spans="1:32" ht="12.75" outlineLevel="2">
      <c r="A30" s="639">
        <f t="shared" si="0"/>
        <v>28</v>
      </c>
      <c r="B30" s="658" t="s">
        <v>606</v>
      </c>
      <c r="C30" s="641" t="s">
        <v>613</v>
      </c>
      <c r="D30" s="641">
        <v>2963</v>
      </c>
      <c r="E30" s="641">
        <v>6121</v>
      </c>
      <c r="F30" s="649"/>
      <c r="G30" s="642" t="s">
        <v>640</v>
      </c>
      <c r="H30" s="665">
        <v>2011</v>
      </c>
      <c r="I30" s="641">
        <v>2014</v>
      </c>
      <c r="J30" s="660">
        <v>15650</v>
      </c>
      <c r="K30" s="660"/>
      <c r="L30" s="660">
        <f>799+6227</f>
        <v>7026</v>
      </c>
      <c r="M30" s="661"/>
      <c r="N30" s="661"/>
      <c r="O30" s="660"/>
      <c r="P30" s="647" t="str">
        <f t="shared" si="1"/>
        <v> </v>
      </c>
      <c r="Q30" s="661"/>
      <c r="R30" s="661"/>
      <c r="S30" s="662"/>
      <c r="T30" s="649" t="s">
        <v>609</v>
      </c>
      <c r="U30" s="650"/>
      <c r="V30" s="651">
        <f t="shared" si="2"/>
        <v>8624</v>
      </c>
      <c r="W30" s="652">
        <f>IF(AND(P30&lt;'[1]koment'!$F$1,N30&gt;='[1]koment'!$F$2),"Komentovat","")</f>
      </c>
      <c r="X30" s="653" t="e">
        <f t="shared" si="3"/>
        <v>#REF!</v>
      </c>
      <c r="Y30" s="651">
        <f t="shared" si="4"/>
        <v>5600</v>
      </c>
      <c r="Z30" s="654" t="str">
        <f t="shared" si="5"/>
        <v>ORG 2963 - Rek.křiž.Dlouhá-Hraničky-Čeňka Růžičky</v>
      </c>
      <c r="AA30" s="655" t="str">
        <f t="shared" si="6"/>
        <v>5600221229636121</v>
      </c>
      <c r="AB30" s="638"/>
      <c r="AC30" s="638"/>
      <c r="AD30" s="638"/>
      <c r="AE30" s="638"/>
      <c r="AF30" s="638"/>
    </row>
    <row r="31" spans="1:32" ht="12.75" outlineLevel="2">
      <c r="A31" s="639">
        <f t="shared" si="0"/>
        <v>29</v>
      </c>
      <c r="B31" s="658" t="s">
        <v>606</v>
      </c>
      <c r="C31" s="641" t="s">
        <v>613</v>
      </c>
      <c r="D31" s="641">
        <v>3094</v>
      </c>
      <c r="E31" s="641">
        <v>6121</v>
      </c>
      <c r="F31" s="649"/>
      <c r="G31" s="642" t="s">
        <v>641</v>
      </c>
      <c r="H31" s="665">
        <v>2009</v>
      </c>
      <c r="I31" s="641">
        <v>2015</v>
      </c>
      <c r="J31" s="660">
        <v>96000</v>
      </c>
      <c r="K31" s="660"/>
      <c r="L31" s="660">
        <f>610+28986+13623</f>
        <v>43219</v>
      </c>
      <c r="M31" s="661">
        <v>1000</v>
      </c>
      <c r="N31" s="661">
        <v>300</v>
      </c>
      <c r="O31" s="660">
        <v>288</v>
      </c>
      <c r="P31" s="647">
        <f t="shared" si="1"/>
        <v>0.96</v>
      </c>
      <c r="Q31" s="661">
        <v>100</v>
      </c>
      <c r="R31" s="661"/>
      <c r="S31" s="662"/>
      <c r="T31" s="649" t="s">
        <v>609</v>
      </c>
      <c r="U31" s="650"/>
      <c r="V31" s="651">
        <f t="shared" si="2"/>
        <v>52381</v>
      </c>
      <c r="W31" s="652">
        <f>IF(AND(P31&lt;'[1]koment'!$F$1,N31&gt;='[1]koment'!$F$2),"Komentovat","")</f>
      </c>
      <c r="X31" s="653" t="e">
        <f t="shared" si="3"/>
        <v>#REF!</v>
      </c>
      <c r="Y31" s="651">
        <f t="shared" si="4"/>
        <v>5600</v>
      </c>
      <c r="Z31" s="654" t="str">
        <f t="shared" si="5"/>
        <v>ORG 3094 - Areál VUT v Brně CEITEC - komunikace</v>
      </c>
      <c r="AA31" s="655" t="str">
        <f t="shared" si="6"/>
        <v>5600221230946121</v>
      </c>
      <c r="AB31" s="638"/>
      <c r="AC31" s="638"/>
      <c r="AD31" s="638"/>
      <c r="AE31" s="638"/>
      <c r="AF31" s="638"/>
    </row>
    <row r="32" spans="1:32" ht="12.75" outlineLevel="2">
      <c r="A32" s="639">
        <f t="shared" si="0"/>
        <v>30</v>
      </c>
      <c r="B32" s="658" t="s">
        <v>606</v>
      </c>
      <c r="C32" s="641" t="s">
        <v>613</v>
      </c>
      <c r="D32" s="641">
        <v>3153</v>
      </c>
      <c r="E32" s="641">
        <v>6121</v>
      </c>
      <c r="F32" s="649"/>
      <c r="G32" s="642" t="s">
        <v>642</v>
      </c>
      <c r="H32" s="665">
        <v>2007</v>
      </c>
      <c r="I32" s="641">
        <v>2018</v>
      </c>
      <c r="J32" s="660">
        <v>371860</v>
      </c>
      <c r="K32" s="660"/>
      <c r="L32" s="660">
        <f>25165+14+5484+40865</f>
        <v>71528</v>
      </c>
      <c r="M32" s="661">
        <v>20807</v>
      </c>
      <c r="N32" s="661">
        <v>11868</v>
      </c>
      <c r="O32" s="660">
        <v>11451</v>
      </c>
      <c r="P32" s="647">
        <f t="shared" si="1"/>
        <v>0.9648634984833164</v>
      </c>
      <c r="Q32" s="661">
        <v>16688</v>
      </c>
      <c r="R32" s="661">
        <v>110000</v>
      </c>
      <c r="S32" s="662"/>
      <c r="T32" s="649" t="s">
        <v>609</v>
      </c>
      <c r="U32" s="650"/>
      <c r="V32" s="651">
        <f t="shared" si="2"/>
        <v>161776</v>
      </c>
      <c r="W32" s="652">
        <f>IF(AND(P32&lt;'[1]koment'!$F$1,N32&gt;='[1]koment'!$F$2),"Komentovat","")</f>
      </c>
      <c r="X32" s="653" t="e">
        <f t="shared" si="3"/>
        <v>#REF!</v>
      </c>
      <c r="Y32" s="651">
        <f t="shared" si="4"/>
        <v>5600</v>
      </c>
      <c r="Z32" s="654" t="str">
        <f t="shared" si="5"/>
        <v>ORG 3153 - Silnice I/42, VMO Žabovřeská I (CRN 2,84 mld.)</v>
      </c>
      <c r="AA32" s="655" t="str">
        <f t="shared" si="6"/>
        <v>5600221231536121</v>
      </c>
      <c r="AB32" s="638"/>
      <c r="AC32" s="638"/>
      <c r="AD32" s="638"/>
      <c r="AE32" s="638"/>
      <c r="AF32" s="638"/>
    </row>
    <row r="33" spans="1:32" ht="12.75" outlineLevel="2">
      <c r="A33" s="639">
        <f t="shared" si="0"/>
        <v>31</v>
      </c>
      <c r="B33" s="658" t="s">
        <v>606</v>
      </c>
      <c r="C33" s="641" t="s">
        <v>613</v>
      </c>
      <c r="D33" s="641">
        <v>3227</v>
      </c>
      <c r="E33" s="641">
        <v>6121</v>
      </c>
      <c r="F33" s="649"/>
      <c r="G33" s="642" t="s">
        <v>643</v>
      </c>
      <c r="H33" s="665">
        <v>2006</v>
      </c>
      <c r="I33" s="641">
        <v>2015</v>
      </c>
      <c r="J33" s="660">
        <v>4200</v>
      </c>
      <c r="K33" s="660"/>
      <c r="L33" s="660">
        <v>228</v>
      </c>
      <c r="M33" s="661"/>
      <c r="N33" s="661"/>
      <c r="O33" s="660"/>
      <c r="P33" s="647" t="str">
        <f t="shared" si="1"/>
        <v> </v>
      </c>
      <c r="Q33" s="661">
        <v>3972</v>
      </c>
      <c r="R33" s="661"/>
      <c r="S33" s="662"/>
      <c r="T33" s="649" t="s">
        <v>609</v>
      </c>
      <c r="U33" s="650"/>
      <c r="V33" s="651">
        <f t="shared" si="2"/>
        <v>0</v>
      </c>
      <c r="W33" s="652">
        <f>IF(AND(P33&lt;'[1]koment'!$F$1,N33&gt;='[1]koment'!$F$2),"Komentovat","")</f>
      </c>
      <c r="X33" s="653" t="e">
        <f t="shared" si="3"/>
        <v>#REF!</v>
      </c>
      <c r="Y33" s="651" t="str">
        <f t="shared" si="4"/>
        <v> </v>
      </c>
      <c r="Z33" s="654">
        <f t="shared" si="5"/>
        <v>0</v>
      </c>
      <c r="AA33" s="655" t="str">
        <f t="shared" si="6"/>
        <v>5600221232276121</v>
      </c>
      <c r="AB33" s="638"/>
      <c r="AC33" s="638"/>
      <c r="AD33" s="638"/>
      <c r="AE33" s="638"/>
      <c r="AF33" s="638"/>
    </row>
    <row r="34" spans="1:32" ht="12.75" outlineLevel="2">
      <c r="A34" s="639">
        <f t="shared" si="0"/>
        <v>32</v>
      </c>
      <c r="B34" s="658" t="s">
        <v>606</v>
      </c>
      <c r="C34" s="641" t="s">
        <v>613</v>
      </c>
      <c r="D34" s="641">
        <v>3228</v>
      </c>
      <c r="E34" s="641">
        <v>6121</v>
      </c>
      <c r="F34" s="649"/>
      <c r="G34" s="642" t="s">
        <v>644</v>
      </c>
      <c r="H34" s="665">
        <v>2006</v>
      </c>
      <c r="I34" s="641">
        <v>2015</v>
      </c>
      <c r="J34" s="660">
        <v>3000</v>
      </c>
      <c r="K34" s="660"/>
      <c r="L34" s="660">
        <v>115</v>
      </c>
      <c r="M34" s="661"/>
      <c r="N34" s="661"/>
      <c r="O34" s="660"/>
      <c r="P34" s="647" t="str">
        <f t="shared" si="1"/>
        <v> </v>
      </c>
      <c r="Q34" s="661">
        <v>2885</v>
      </c>
      <c r="R34" s="661"/>
      <c r="S34" s="662"/>
      <c r="T34" s="649" t="s">
        <v>609</v>
      </c>
      <c r="U34" s="650"/>
      <c r="V34" s="651">
        <f t="shared" si="2"/>
        <v>0</v>
      </c>
      <c r="W34" s="652">
        <f>IF(AND(P34&lt;'[1]koment'!$F$1,N34&gt;='[1]koment'!$F$2),"Komentovat","")</f>
      </c>
      <c r="X34" s="653" t="e">
        <f t="shared" si="3"/>
        <v>#REF!</v>
      </c>
      <c r="Y34" s="651" t="str">
        <f t="shared" si="4"/>
        <v> </v>
      </c>
      <c r="Z34" s="654">
        <f t="shared" si="5"/>
        <v>0</v>
      </c>
      <c r="AA34" s="655" t="str">
        <f t="shared" si="6"/>
        <v>5600221232286121</v>
      </c>
      <c r="AB34" s="638"/>
      <c r="AC34" s="638"/>
      <c r="AD34" s="638"/>
      <c r="AE34" s="638"/>
      <c r="AF34" s="638"/>
    </row>
    <row r="35" spans="1:32" ht="12.75" outlineLevel="2">
      <c r="A35" s="639">
        <f t="shared" si="0"/>
        <v>33</v>
      </c>
      <c r="B35" s="658" t="s">
        <v>606</v>
      </c>
      <c r="C35" s="641" t="s">
        <v>613</v>
      </c>
      <c r="D35" s="641">
        <v>3348</v>
      </c>
      <c r="E35" s="641">
        <v>6121</v>
      </c>
      <c r="F35" s="649"/>
      <c r="G35" s="642" t="s">
        <v>645</v>
      </c>
      <c r="H35" s="665">
        <v>2010</v>
      </c>
      <c r="I35" s="665">
        <v>2022</v>
      </c>
      <c r="J35" s="660">
        <v>3000000</v>
      </c>
      <c r="K35" s="660"/>
      <c r="L35" s="660">
        <f>41073+2698+1057+872</f>
        <v>45700</v>
      </c>
      <c r="M35" s="661">
        <v>22448</v>
      </c>
      <c r="N35" s="661">
        <v>16275</v>
      </c>
      <c r="O35" s="660">
        <v>1938</v>
      </c>
      <c r="P35" s="647">
        <f t="shared" si="1"/>
        <v>0.11907834101382489</v>
      </c>
      <c r="Q35" s="661">
        <v>10000</v>
      </c>
      <c r="R35" s="661">
        <v>200000</v>
      </c>
      <c r="S35" s="662">
        <v>2954029</v>
      </c>
      <c r="T35" s="649" t="s">
        <v>609</v>
      </c>
      <c r="U35" s="650"/>
      <c r="V35" s="651">
        <f t="shared" si="2"/>
        <v>-226004</v>
      </c>
      <c r="W35" s="652" t="str">
        <f>IF(AND(P35&lt;'[1]koment'!$F$1,N35&gt;='[1]koment'!$F$2),"Komentovat","")</f>
        <v>Komentovat</v>
      </c>
      <c r="X35" s="653" t="e">
        <f t="shared" si="3"/>
        <v>#REF!</v>
      </c>
      <c r="Y35" s="651">
        <f t="shared" si="4"/>
        <v>5600</v>
      </c>
      <c r="Z35" s="654" t="str">
        <f t="shared" si="5"/>
        <v>ORG 3348 - EUROPOINT Brno - městská infrastruktura</v>
      </c>
      <c r="AA35" s="655" t="str">
        <f t="shared" si="6"/>
        <v>5600221233486121</v>
      </c>
      <c r="AB35" s="638"/>
      <c r="AC35" s="638"/>
      <c r="AD35" s="638"/>
      <c r="AE35" s="638"/>
      <c r="AF35" s="638"/>
    </row>
    <row r="36" spans="1:32" ht="12.75" outlineLevel="2">
      <c r="A36" s="639">
        <f t="shared" si="0"/>
        <v>34</v>
      </c>
      <c r="B36" s="658" t="s">
        <v>606</v>
      </c>
      <c r="C36" s="641" t="s">
        <v>613</v>
      </c>
      <c r="D36" s="641">
        <v>4220</v>
      </c>
      <c r="E36" s="641">
        <v>6121</v>
      </c>
      <c r="F36" s="649"/>
      <c r="G36" s="642" t="s">
        <v>646</v>
      </c>
      <c r="H36" s="665">
        <v>1999</v>
      </c>
      <c r="I36" s="641">
        <v>2015</v>
      </c>
      <c r="J36" s="660">
        <v>688583</v>
      </c>
      <c r="K36" s="660"/>
      <c r="L36" s="660">
        <v>686439</v>
      </c>
      <c r="M36" s="661"/>
      <c r="N36" s="661"/>
      <c r="O36" s="660"/>
      <c r="P36" s="647" t="str">
        <f t="shared" si="1"/>
        <v> </v>
      </c>
      <c r="Q36" s="661">
        <v>2144</v>
      </c>
      <c r="R36" s="661"/>
      <c r="S36" s="662"/>
      <c r="T36" s="649" t="s">
        <v>609</v>
      </c>
      <c r="U36" s="650"/>
      <c r="V36" s="651">
        <f t="shared" si="2"/>
        <v>0</v>
      </c>
      <c r="W36" s="652">
        <f>IF(AND(P36&lt;'[1]koment'!$F$1,N36&gt;='[1]koment'!$F$2),"Komentovat","")</f>
      </c>
      <c r="X36" s="653" t="e">
        <f t="shared" si="3"/>
        <v>#REF!</v>
      </c>
      <c r="Y36" s="651" t="str">
        <f t="shared" si="4"/>
        <v> </v>
      </c>
      <c r="Z36" s="654">
        <f t="shared" si="5"/>
        <v>0</v>
      </c>
      <c r="AA36" s="655" t="str">
        <f t="shared" si="6"/>
        <v>5600221242206121</v>
      </c>
      <c r="AB36" s="638"/>
      <c r="AC36" s="638"/>
      <c r="AD36" s="638"/>
      <c r="AE36" s="638"/>
      <c r="AF36" s="638"/>
    </row>
    <row r="37" spans="1:32" ht="12.75" outlineLevel="2">
      <c r="A37" s="639">
        <f t="shared" si="0"/>
        <v>35</v>
      </c>
      <c r="B37" s="640" t="s">
        <v>606</v>
      </c>
      <c r="C37" s="641" t="s">
        <v>613</v>
      </c>
      <c r="D37" s="642">
        <v>4267</v>
      </c>
      <c r="E37" s="641">
        <v>6121</v>
      </c>
      <c r="F37" s="643"/>
      <c r="G37" s="642" t="s">
        <v>647</v>
      </c>
      <c r="H37" s="642">
        <v>2000</v>
      </c>
      <c r="I37" s="642">
        <v>2018</v>
      </c>
      <c r="J37" s="644">
        <v>929659</v>
      </c>
      <c r="K37" s="644"/>
      <c r="L37" s="645">
        <v>400607</v>
      </c>
      <c r="M37" s="646"/>
      <c r="N37" s="646">
        <v>200</v>
      </c>
      <c r="O37" s="644"/>
      <c r="P37" s="647">
        <f t="shared" si="1"/>
        <v>0</v>
      </c>
      <c r="Q37" s="646">
        <v>7000</v>
      </c>
      <c r="R37" s="646">
        <v>90000</v>
      </c>
      <c r="S37" s="648">
        <v>528852</v>
      </c>
      <c r="T37" s="649" t="s">
        <v>609</v>
      </c>
      <c r="U37" s="650"/>
      <c r="V37" s="651">
        <f t="shared" si="2"/>
        <v>-97000</v>
      </c>
      <c r="W37" s="652">
        <f>IF(AND(P37&lt;'[1]koment'!$F$1,N37&gt;='[1]koment'!$F$2),"Komentovat","")</f>
      </c>
      <c r="X37" s="653" t="e">
        <f t="shared" si="3"/>
        <v>#REF!</v>
      </c>
      <c r="Y37" s="651">
        <f t="shared" si="4"/>
        <v>5600</v>
      </c>
      <c r="Z37" s="654" t="str">
        <f t="shared" si="5"/>
        <v>ORG 4267 - Komplexní regenerace historického jádra</v>
      </c>
      <c r="AA37" s="655" t="str">
        <f t="shared" si="6"/>
        <v>5600221242676121</v>
      </c>
      <c r="AB37" s="638"/>
      <c r="AC37" s="638"/>
      <c r="AD37" s="638"/>
      <c r="AE37" s="638"/>
      <c r="AF37" s="638"/>
    </row>
    <row r="38" spans="1:32" ht="12.75" outlineLevel="2">
      <c r="A38" s="639">
        <f t="shared" si="0"/>
        <v>36</v>
      </c>
      <c r="B38" s="658" t="s">
        <v>606</v>
      </c>
      <c r="C38" s="641" t="s">
        <v>613</v>
      </c>
      <c r="D38" s="641">
        <v>4276</v>
      </c>
      <c r="E38" s="641">
        <v>6121</v>
      </c>
      <c r="F38" s="649"/>
      <c r="G38" s="642" t="s">
        <v>648</v>
      </c>
      <c r="H38" s="665">
        <v>2001</v>
      </c>
      <c r="I38" s="665">
        <v>2020</v>
      </c>
      <c r="J38" s="660">
        <v>2171000</v>
      </c>
      <c r="K38" s="660"/>
      <c r="L38" s="660">
        <f>305041+124900+1838+555</f>
        <v>432334</v>
      </c>
      <c r="M38" s="661">
        <v>96922</v>
      </c>
      <c r="N38" s="661">
        <v>48422</v>
      </c>
      <c r="O38" s="660">
        <v>44891</v>
      </c>
      <c r="P38" s="647">
        <f t="shared" si="1"/>
        <v>0.9270786006360745</v>
      </c>
      <c r="Q38" s="661">
        <v>157442</v>
      </c>
      <c r="R38" s="661">
        <v>325000</v>
      </c>
      <c r="S38" s="662">
        <v>1739059</v>
      </c>
      <c r="T38" s="649" t="s">
        <v>609</v>
      </c>
      <c r="U38" s="650"/>
      <c r="V38" s="651">
        <f t="shared" si="2"/>
        <v>-531257</v>
      </c>
      <c r="W38" s="652">
        <f>IF(AND(P38&lt;'[1]koment'!$F$1,N38&gt;='[1]koment'!$F$2),"Komentovat","")</f>
      </c>
      <c r="X38" s="653" t="e">
        <f t="shared" si="3"/>
        <v>#REF!</v>
      </c>
      <c r="Y38" s="651">
        <f t="shared" si="4"/>
        <v>5600</v>
      </c>
      <c r="Z38" s="654" t="str">
        <f t="shared" si="5"/>
        <v>ORG 4276 - Tramvaj Plotní - soubor staveb</v>
      </c>
      <c r="AA38" s="655" t="str">
        <f t="shared" si="6"/>
        <v>5600221242766121</v>
      </c>
      <c r="AB38" s="638"/>
      <c r="AC38" s="638"/>
      <c r="AD38" s="638"/>
      <c r="AE38" s="638"/>
      <c r="AF38" s="638"/>
    </row>
    <row r="39" spans="1:32" ht="12.75" outlineLevel="2">
      <c r="A39" s="639">
        <f t="shared" si="0"/>
        <v>37</v>
      </c>
      <c r="B39" s="658" t="s">
        <v>606</v>
      </c>
      <c r="C39" s="641" t="s">
        <v>613</v>
      </c>
      <c r="D39" s="641">
        <v>4276</v>
      </c>
      <c r="E39" s="641">
        <v>6121</v>
      </c>
      <c r="F39" s="649">
        <v>41</v>
      </c>
      <c r="G39" s="642" t="s">
        <v>648</v>
      </c>
      <c r="H39" s="665"/>
      <c r="I39" s="665"/>
      <c r="J39" s="660"/>
      <c r="K39" s="660"/>
      <c r="L39" s="660"/>
      <c r="M39" s="661">
        <v>20000</v>
      </c>
      <c r="N39" s="661">
        <v>20000</v>
      </c>
      <c r="O39" s="660">
        <v>17000</v>
      </c>
      <c r="P39" s="647">
        <f t="shared" si="1"/>
        <v>0.85</v>
      </c>
      <c r="Q39" s="661"/>
      <c r="R39" s="661"/>
      <c r="S39" s="662"/>
      <c r="T39" s="649" t="s">
        <v>609</v>
      </c>
      <c r="U39" s="650"/>
      <c r="V39" s="651">
        <f t="shared" si="2"/>
        <v>-20000</v>
      </c>
      <c r="W39" s="652">
        <f>IF(AND(P39&lt;'[1]koment'!$F$1,N39&gt;='[1]koment'!$F$2),"Komentovat","")</f>
      </c>
      <c r="X39" s="653" t="e">
        <f t="shared" si="3"/>
        <v>#REF!</v>
      </c>
      <c r="Y39" s="651">
        <f t="shared" si="4"/>
        <v>5600</v>
      </c>
      <c r="Z39" s="654" t="str">
        <f t="shared" si="5"/>
        <v>ORG 4276 - Tramvaj Plotní - soubor staveb</v>
      </c>
      <c r="AA39" s="655" t="str">
        <f t="shared" si="6"/>
        <v>560022124276612141</v>
      </c>
      <c r="AB39" s="638"/>
      <c r="AC39" s="638"/>
      <c r="AD39" s="638"/>
      <c r="AE39" s="638"/>
      <c r="AF39" s="638"/>
    </row>
    <row r="40" spans="1:32" ht="12.75" outlineLevel="2">
      <c r="A40" s="639">
        <f t="shared" si="0"/>
        <v>38</v>
      </c>
      <c r="B40" s="658" t="s">
        <v>606</v>
      </c>
      <c r="C40" s="641" t="s">
        <v>613</v>
      </c>
      <c r="D40" s="641">
        <v>4280</v>
      </c>
      <c r="E40" s="641">
        <v>6121</v>
      </c>
      <c r="F40" s="649"/>
      <c r="G40" s="642" t="s">
        <v>649</v>
      </c>
      <c r="H40" s="665">
        <v>2001</v>
      </c>
      <c r="I40" s="641">
        <v>2020</v>
      </c>
      <c r="J40" s="660">
        <v>188649</v>
      </c>
      <c r="K40" s="660"/>
      <c r="L40" s="660">
        <f>18767+998</f>
        <v>19765</v>
      </c>
      <c r="M40" s="661">
        <v>5000</v>
      </c>
      <c r="N40" s="661">
        <v>3245</v>
      </c>
      <c r="O40" s="660">
        <v>1023</v>
      </c>
      <c r="P40" s="647">
        <f t="shared" si="1"/>
        <v>0.3152542372881356</v>
      </c>
      <c r="Q40" s="661">
        <v>30000</v>
      </c>
      <c r="R40" s="661">
        <v>90000</v>
      </c>
      <c r="S40" s="662">
        <v>169882</v>
      </c>
      <c r="T40" s="649" t="s">
        <v>609</v>
      </c>
      <c r="U40" s="650"/>
      <c r="V40" s="651">
        <f t="shared" si="2"/>
        <v>-124243</v>
      </c>
      <c r="W40" s="652" t="str">
        <f>IF(AND(P40&lt;'[1]koment'!$F$1,N40&gt;='[1]koment'!$F$2),"Komentovat","")</f>
        <v>Komentovat</v>
      </c>
      <c r="X40" s="653" t="e">
        <f t="shared" si="3"/>
        <v>#REF!</v>
      </c>
      <c r="Y40" s="651">
        <f t="shared" si="4"/>
        <v>5600</v>
      </c>
      <c r="Z40" s="654" t="str">
        <f t="shared" si="5"/>
        <v>ORG 4280 - VMO Tomkovo náměstí (CRN 1,27 mld.)</v>
      </c>
      <c r="AA40" s="655" t="str">
        <f t="shared" si="6"/>
        <v>5600221242806121</v>
      </c>
      <c r="AB40" s="638"/>
      <c r="AC40" s="638"/>
      <c r="AD40" s="638"/>
      <c r="AE40" s="638"/>
      <c r="AF40" s="638"/>
    </row>
    <row r="41" spans="1:32" ht="12.75" outlineLevel="2">
      <c r="A41" s="639">
        <f t="shared" si="0"/>
        <v>39</v>
      </c>
      <c r="B41" s="658" t="s">
        <v>606</v>
      </c>
      <c r="C41" s="641" t="s">
        <v>613</v>
      </c>
      <c r="D41" s="641">
        <v>4281</v>
      </c>
      <c r="E41" s="641">
        <v>6121</v>
      </c>
      <c r="F41" s="649"/>
      <c r="G41" s="642" t="s">
        <v>650</v>
      </c>
      <c r="H41" s="665">
        <v>2001</v>
      </c>
      <c r="I41" s="641">
        <v>2020</v>
      </c>
      <c r="J41" s="660">
        <v>91681</v>
      </c>
      <c r="K41" s="660"/>
      <c r="L41" s="660">
        <f>17419+6000+998</f>
        <v>24417</v>
      </c>
      <c r="M41" s="661">
        <v>16599</v>
      </c>
      <c r="N41" s="661">
        <v>12514</v>
      </c>
      <c r="O41" s="660">
        <v>2553</v>
      </c>
      <c r="P41" s="647">
        <f t="shared" si="1"/>
        <v>0.20401150711203453</v>
      </c>
      <c r="Q41" s="661">
        <v>12000</v>
      </c>
      <c r="R41" s="661">
        <v>42350</v>
      </c>
      <c r="S41" s="662">
        <v>68262</v>
      </c>
      <c r="T41" s="649" t="s">
        <v>609</v>
      </c>
      <c r="U41" s="650"/>
      <c r="V41" s="651">
        <f t="shared" si="2"/>
        <v>-67862</v>
      </c>
      <c r="W41" s="652" t="str">
        <f>IF(AND(P41&lt;'[1]koment'!$F$1,N41&gt;='[1]koment'!$F$2),"Komentovat","")</f>
        <v>Komentovat</v>
      </c>
      <c r="X41" s="653" t="e">
        <f t="shared" si="3"/>
        <v>#REF!</v>
      </c>
      <c r="Y41" s="651">
        <f t="shared" si="4"/>
        <v>5600</v>
      </c>
      <c r="Z41" s="654" t="str">
        <f t="shared" si="5"/>
        <v>ORG 4281 - VMO Rokytova (CRN 1,54 mld.)</v>
      </c>
      <c r="AA41" s="655" t="str">
        <f t="shared" si="6"/>
        <v>5600221242816121</v>
      </c>
      <c r="AB41" s="638"/>
      <c r="AC41" s="638"/>
      <c r="AD41" s="638"/>
      <c r="AE41" s="638"/>
      <c r="AF41" s="638"/>
    </row>
    <row r="42" spans="1:32" ht="12.75" outlineLevel="2">
      <c r="A42" s="639">
        <f t="shared" si="0"/>
        <v>40</v>
      </c>
      <c r="B42" s="658" t="s">
        <v>606</v>
      </c>
      <c r="C42" s="641" t="s">
        <v>613</v>
      </c>
      <c r="D42" s="641">
        <v>4283</v>
      </c>
      <c r="E42" s="641">
        <v>6121</v>
      </c>
      <c r="F42" s="649"/>
      <c r="G42" s="642" t="s">
        <v>651</v>
      </c>
      <c r="H42" s="665">
        <v>2001</v>
      </c>
      <c r="I42" s="641">
        <v>2014</v>
      </c>
      <c r="J42" s="660">
        <v>25386</v>
      </c>
      <c r="K42" s="660"/>
      <c r="L42" s="660">
        <f>12359+76+2234</f>
        <v>14669</v>
      </c>
      <c r="M42" s="661"/>
      <c r="N42" s="661"/>
      <c r="O42" s="660"/>
      <c r="P42" s="647" t="str">
        <f t="shared" si="1"/>
        <v> </v>
      </c>
      <c r="Q42" s="661"/>
      <c r="R42" s="661"/>
      <c r="S42" s="662"/>
      <c r="T42" s="649" t="s">
        <v>609</v>
      </c>
      <c r="U42" s="650"/>
      <c r="V42" s="651">
        <f t="shared" si="2"/>
        <v>10717</v>
      </c>
      <c r="W42" s="652">
        <f>IF(AND(P42&lt;'[1]koment'!$F$1,N42&gt;='[1]koment'!$F$2),"Komentovat","")</f>
      </c>
      <c r="X42" s="653" t="e">
        <f t="shared" si="3"/>
        <v>#REF!</v>
      </c>
      <c r="Y42" s="651">
        <f t="shared" si="4"/>
        <v>5600</v>
      </c>
      <c r="Z42" s="654" t="str">
        <f t="shared" si="5"/>
        <v>ORG 4283 - Rek. povrchů komunikací, MČ Brno-Ořešín</v>
      </c>
      <c r="AA42" s="655" t="str">
        <f t="shared" si="6"/>
        <v>5600221242836121</v>
      </c>
      <c r="AB42" s="638"/>
      <c r="AC42" s="638"/>
      <c r="AD42" s="638"/>
      <c r="AE42" s="638"/>
      <c r="AF42" s="638"/>
    </row>
    <row r="43" spans="1:32" ht="12.75" outlineLevel="2">
      <c r="A43" s="639">
        <f t="shared" si="0"/>
        <v>41</v>
      </c>
      <c r="B43" s="658" t="s">
        <v>606</v>
      </c>
      <c r="C43" s="641" t="s">
        <v>613</v>
      </c>
      <c r="D43" s="641">
        <v>4286</v>
      </c>
      <c r="E43" s="641">
        <v>6121</v>
      </c>
      <c r="F43" s="649"/>
      <c r="G43" s="642" t="s">
        <v>652</v>
      </c>
      <c r="H43" s="665">
        <v>2001</v>
      </c>
      <c r="I43" s="641">
        <v>2016</v>
      </c>
      <c r="J43" s="660">
        <v>127143</v>
      </c>
      <c r="K43" s="660"/>
      <c r="L43" s="660">
        <v>793</v>
      </c>
      <c r="M43" s="661"/>
      <c r="N43" s="661"/>
      <c r="O43" s="660"/>
      <c r="P43" s="647" t="str">
        <f t="shared" si="1"/>
        <v> </v>
      </c>
      <c r="Q43" s="661"/>
      <c r="R43" s="661"/>
      <c r="S43" s="662">
        <v>126350</v>
      </c>
      <c r="T43" s="649" t="s">
        <v>609</v>
      </c>
      <c r="U43" s="650"/>
      <c r="V43" s="651">
        <f t="shared" si="2"/>
        <v>0</v>
      </c>
      <c r="W43" s="652">
        <f>IF(AND(P43&lt;'[1]koment'!$F$1,N43&gt;='[1]koment'!$F$2),"Komentovat","")</f>
      </c>
      <c r="X43" s="653" t="e">
        <f>IF(W43="Komentovat",#REF!+1,#REF!)</f>
        <v>#REF!</v>
      </c>
      <c r="Y43" s="651" t="str">
        <f t="shared" si="4"/>
        <v> </v>
      </c>
      <c r="Z43" s="654">
        <f t="shared" si="5"/>
        <v>0</v>
      </c>
      <c r="AA43" s="655" t="str">
        <f t="shared" si="6"/>
        <v>5600221242866121</v>
      </c>
      <c r="AB43" s="638"/>
      <c r="AC43" s="638"/>
      <c r="AD43" s="638"/>
      <c r="AE43" s="638"/>
      <c r="AF43" s="638"/>
    </row>
    <row r="44" spans="1:32" ht="12.75" outlineLevel="2">
      <c r="A44" s="639">
        <f t="shared" si="0"/>
        <v>42</v>
      </c>
      <c r="B44" s="658" t="s">
        <v>606</v>
      </c>
      <c r="C44" s="641" t="s">
        <v>613</v>
      </c>
      <c r="D44" s="641">
        <v>4554</v>
      </c>
      <c r="E44" s="641">
        <v>6121</v>
      </c>
      <c r="F44" s="649"/>
      <c r="G44" s="642" t="s">
        <v>653</v>
      </c>
      <c r="H44" s="665">
        <v>2002</v>
      </c>
      <c r="I44" s="641">
        <v>2015</v>
      </c>
      <c r="J44" s="660">
        <v>55400</v>
      </c>
      <c r="K44" s="660"/>
      <c r="L44" s="660">
        <f>472+1488+791</f>
        <v>2751</v>
      </c>
      <c r="M44" s="661">
        <v>32480</v>
      </c>
      <c r="N44" s="661">
        <v>25480</v>
      </c>
      <c r="O44" s="660">
        <v>25339</v>
      </c>
      <c r="P44" s="647">
        <f t="shared" si="1"/>
        <v>0.9944662480376766</v>
      </c>
      <c r="Q44" s="661">
        <v>12000</v>
      </c>
      <c r="R44" s="661"/>
      <c r="S44" s="662"/>
      <c r="T44" s="649" t="s">
        <v>609</v>
      </c>
      <c r="U44" s="650"/>
      <c r="V44" s="651">
        <f t="shared" si="2"/>
        <v>15169</v>
      </c>
      <c r="W44" s="652">
        <f>IF(AND(P44&lt;'[1]koment'!$F$1,N44&gt;='[1]koment'!$F$2),"Komentovat","")</f>
      </c>
      <c r="X44" s="653" t="e">
        <f t="shared" si="3"/>
        <v>#REF!</v>
      </c>
      <c r="Y44" s="651">
        <f t="shared" si="4"/>
        <v>5600</v>
      </c>
      <c r="Z44" s="654" t="str">
        <f t="shared" si="5"/>
        <v>ORG 4554 - Rekonstrukce Vaňkova náměstí</v>
      </c>
      <c r="AA44" s="655" t="str">
        <f t="shared" si="6"/>
        <v>5600221245546121</v>
      </c>
      <c r="AB44" s="638"/>
      <c r="AC44" s="638"/>
      <c r="AD44" s="638"/>
      <c r="AE44" s="638"/>
      <c r="AF44" s="638"/>
    </row>
    <row r="45" spans="1:32" ht="12.75" outlineLevel="2">
      <c r="A45" s="639">
        <f t="shared" si="0"/>
        <v>43</v>
      </c>
      <c r="B45" s="658" t="s">
        <v>606</v>
      </c>
      <c r="C45" s="641" t="s">
        <v>613</v>
      </c>
      <c r="D45" s="641">
        <v>4556</v>
      </c>
      <c r="E45" s="641">
        <v>6121</v>
      </c>
      <c r="F45" s="649"/>
      <c r="G45" s="642" t="s">
        <v>654</v>
      </c>
      <c r="H45" s="665">
        <v>2002</v>
      </c>
      <c r="I45" s="641">
        <v>2015</v>
      </c>
      <c r="J45" s="660">
        <v>185000</v>
      </c>
      <c r="K45" s="660"/>
      <c r="L45" s="660">
        <f>7932+10894+43136</f>
        <v>61962</v>
      </c>
      <c r="M45" s="661">
        <v>69000</v>
      </c>
      <c r="N45" s="661">
        <v>69000</v>
      </c>
      <c r="O45" s="660">
        <v>68265</v>
      </c>
      <c r="P45" s="647">
        <f t="shared" si="1"/>
        <v>0.9893478260869565</v>
      </c>
      <c r="Q45" s="661">
        <v>5500</v>
      </c>
      <c r="R45" s="661"/>
      <c r="S45" s="662"/>
      <c r="T45" s="649" t="s">
        <v>609</v>
      </c>
      <c r="U45" s="650"/>
      <c r="V45" s="651">
        <f t="shared" si="2"/>
        <v>48538</v>
      </c>
      <c r="W45" s="652">
        <f>IF(AND(P45&lt;'[1]koment'!$F$1,N45&gt;='[1]koment'!$F$2),"Komentovat","")</f>
      </c>
      <c r="X45" s="653" t="e">
        <f t="shared" si="3"/>
        <v>#REF!</v>
      </c>
      <c r="Y45" s="651">
        <f t="shared" si="4"/>
        <v>5600</v>
      </c>
      <c r="Z45" s="654" t="str">
        <f t="shared" si="5"/>
        <v>ORG 4556 - Rekonstrukce komunikací Tuřany II.</v>
      </c>
      <c r="AA45" s="655" t="str">
        <f t="shared" si="6"/>
        <v>5600221245566121</v>
      </c>
      <c r="AB45" s="638"/>
      <c r="AC45" s="638"/>
      <c r="AD45" s="638"/>
      <c r="AE45" s="638"/>
      <c r="AF45" s="638"/>
    </row>
    <row r="46" spans="1:32" ht="12.75" outlineLevel="2">
      <c r="A46" s="639">
        <f t="shared" si="0"/>
        <v>44</v>
      </c>
      <c r="B46" s="658" t="s">
        <v>606</v>
      </c>
      <c r="C46" s="641" t="s">
        <v>613</v>
      </c>
      <c r="D46" s="641">
        <v>4567</v>
      </c>
      <c r="E46" s="641">
        <v>6121</v>
      </c>
      <c r="F46" s="649"/>
      <c r="G46" s="642" t="s">
        <v>655</v>
      </c>
      <c r="H46" s="665">
        <v>2003</v>
      </c>
      <c r="I46" s="641">
        <v>2016</v>
      </c>
      <c r="J46" s="660">
        <v>40480</v>
      </c>
      <c r="K46" s="660"/>
      <c r="L46" s="660">
        <v>859</v>
      </c>
      <c r="M46" s="661"/>
      <c r="N46" s="661"/>
      <c r="O46" s="660"/>
      <c r="P46" s="647" t="str">
        <f t="shared" si="1"/>
        <v> </v>
      </c>
      <c r="Q46" s="661"/>
      <c r="R46" s="661"/>
      <c r="S46" s="662">
        <v>39621</v>
      </c>
      <c r="T46" s="649" t="s">
        <v>609</v>
      </c>
      <c r="U46" s="650"/>
      <c r="V46" s="651">
        <f t="shared" si="2"/>
        <v>0</v>
      </c>
      <c r="W46" s="652">
        <f>IF(AND(P46&lt;'[1]koment'!$F$1,N46&gt;='[1]koment'!$F$2),"Komentovat","")</f>
      </c>
      <c r="X46" s="653" t="e">
        <f t="shared" si="3"/>
        <v>#REF!</v>
      </c>
      <c r="Y46" s="651" t="str">
        <f t="shared" si="4"/>
        <v> </v>
      </c>
      <c r="Z46" s="654">
        <f t="shared" si="5"/>
        <v>0</v>
      </c>
      <c r="AA46" s="655" t="str">
        <f t="shared" si="6"/>
        <v>5600221245676121</v>
      </c>
      <c r="AB46" s="638"/>
      <c r="AC46" s="638"/>
      <c r="AD46" s="638"/>
      <c r="AE46" s="638"/>
      <c r="AF46" s="638"/>
    </row>
    <row r="47" spans="1:32" ht="12.75" outlineLevel="1">
      <c r="A47" s="639">
        <f t="shared" si="0"/>
        <v>45</v>
      </c>
      <c r="B47" s="658"/>
      <c r="C47" s="666" t="s">
        <v>656</v>
      </c>
      <c r="D47" s="641"/>
      <c r="E47" s="641"/>
      <c r="F47" s="649"/>
      <c r="G47" s="642"/>
      <c r="H47" s="665"/>
      <c r="I47" s="641"/>
      <c r="J47" s="660">
        <f aca="true" t="shared" si="8" ref="J47:O47">SUBTOTAL(9,J6:J46)</f>
        <v>12427020</v>
      </c>
      <c r="K47" s="660">
        <f t="shared" si="8"/>
        <v>324</v>
      </c>
      <c r="L47" s="660">
        <f t="shared" si="8"/>
        <v>1829094</v>
      </c>
      <c r="M47" s="661">
        <f t="shared" si="8"/>
        <v>391718</v>
      </c>
      <c r="N47" s="661">
        <f t="shared" si="8"/>
        <v>263121</v>
      </c>
      <c r="O47" s="660">
        <f t="shared" si="8"/>
        <v>213859</v>
      </c>
      <c r="P47" s="647">
        <f t="shared" si="1"/>
        <v>0.8127781514968399</v>
      </c>
      <c r="Q47" s="661">
        <f>SUBTOTAL(9,Q6:Q46)</f>
        <v>459732</v>
      </c>
      <c r="R47" s="661">
        <f>SUBTOTAL(9,R6:R46)</f>
        <v>1186539</v>
      </c>
      <c r="S47" s="662">
        <f>SUBTOTAL(9,S6:S46)</f>
        <v>8027455</v>
      </c>
      <c r="T47" s="649"/>
      <c r="U47" s="650"/>
      <c r="V47" s="651"/>
      <c r="W47" s="652"/>
      <c r="X47" s="653"/>
      <c r="Y47" s="651" t="str">
        <f>IF($V47=0," ",IF(LEN($B47)=4,$B47*1,$B47))</f>
        <v> </v>
      </c>
      <c r="Z47" s="654">
        <f>IF($Y47=" ",0,"ORG "&amp;$D47&amp;" - "&amp;$G47)</f>
        <v>0</v>
      </c>
      <c r="AA47" s="655" t="str">
        <f>$B47&amp;LEFT($C47,4)&amp;$D47&amp;$E47&amp;$F47</f>
        <v>Celk</v>
      </c>
      <c r="AB47" s="638"/>
      <c r="AC47" s="638"/>
      <c r="AD47" s="638"/>
      <c r="AE47" s="638"/>
      <c r="AF47" s="638"/>
    </row>
    <row r="48" spans="1:32" ht="12.75" outlineLevel="2">
      <c r="A48" s="639">
        <f t="shared" si="0"/>
        <v>46</v>
      </c>
      <c r="B48" s="658" t="s">
        <v>633</v>
      </c>
      <c r="C48" s="641" t="s">
        <v>657</v>
      </c>
      <c r="D48" s="641">
        <v>2819</v>
      </c>
      <c r="E48" s="641">
        <v>6125</v>
      </c>
      <c r="F48" s="649"/>
      <c r="G48" s="642" t="s">
        <v>658</v>
      </c>
      <c r="H48" s="665">
        <v>2014</v>
      </c>
      <c r="I48" s="641">
        <v>2014</v>
      </c>
      <c r="J48" s="660">
        <v>4897</v>
      </c>
      <c r="K48" s="660"/>
      <c r="L48" s="660"/>
      <c r="M48" s="661">
        <v>4897</v>
      </c>
      <c r="N48" s="661"/>
      <c r="O48" s="660"/>
      <c r="P48" s="647" t="str">
        <f t="shared" si="1"/>
        <v> </v>
      </c>
      <c r="Q48" s="661"/>
      <c r="R48" s="661"/>
      <c r="S48" s="662"/>
      <c r="T48" s="649" t="s">
        <v>635</v>
      </c>
      <c r="U48" s="650"/>
      <c r="V48" s="651">
        <f t="shared" si="2"/>
        <v>4897</v>
      </c>
      <c r="W48" s="652">
        <f>IF(AND(P48&lt;'[1]koment'!$F$1,N48&gt;='[1]koment'!$F$2),"Komentovat","")</f>
      </c>
      <c r="X48" s="653" t="e">
        <f>IF(W48="Komentovat",X46+1,X46)</f>
        <v>#REF!</v>
      </c>
      <c r="Y48" s="651">
        <f t="shared" si="4"/>
        <v>5400</v>
      </c>
      <c r="Z48" s="654" t="str">
        <f t="shared" si="5"/>
        <v>ORG 2819 - Dopravně informační centrum - II. etapa</v>
      </c>
      <c r="AA48" s="655" t="str">
        <f t="shared" si="6"/>
        <v>5400221928196125</v>
      </c>
      <c r="AB48" s="638"/>
      <c r="AC48" s="638"/>
      <c r="AD48" s="638"/>
      <c r="AE48" s="638"/>
      <c r="AF48" s="638"/>
    </row>
    <row r="49" spans="1:32" ht="12.75" outlineLevel="2">
      <c r="A49" s="639">
        <f t="shared" si="0"/>
        <v>47</v>
      </c>
      <c r="B49" s="658" t="s">
        <v>606</v>
      </c>
      <c r="C49" s="641" t="s">
        <v>657</v>
      </c>
      <c r="D49" s="641">
        <v>2822</v>
      </c>
      <c r="E49" s="641">
        <v>6121</v>
      </c>
      <c r="F49" s="649"/>
      <c r="G49" s="642" t="s">
        <v>659</v>
      </c>
      <c r="H49" s="641">
        <v>2014</v>
      </c>
      <c r="I49" s="641">
        <v>2016</v>
      </c>
      <c r="J49" s="660">
        <v>68450</v>
      </c>
      <c r="K49" s="660"/>
      <c r="L49" s="660"/>
      <c r="M49" s="661"/>
      <c r="N49" s="661"/>
      <c r="O49" s="660"/>
      <c r="P49" s="647" t="str">
        <f t="shared" si="1"/>
        <v> </v>
      </c>
      <c r="Q49" s="661">
        <v>39150</v>
      </c>
      <c r="R49" s="661"/>
      <c r="S49" s="662">
        <v>29300</v>
      </c>
      <c r="T49" s="649" t="s">
        <v>609</v>
      </c>
      <c r="U49" s="650"/>
      <c r="V49" s="651">
        <f t="shared" si="2"/>
        <v>0</v>
      </c>
      <c r="W49" s="652">
        <f>IF(AND(P49&lt;'[1]koment'!$F$1,N49&gt;='[1]koment'!$F$2),"Komentovat","")</f>
      </c>
      <c r="X49" s="653" t="e">
        <f t="shared" si="3"/>
        <v>#REF!</v>
      </c>
      <c r="Y49" s="651" t="str">
        <f t="shared" si="4"/>
        <v> </v>
      </c>
      <c r="Z49" s="654">
        <f t="shared" si="5"/>
        <v>0</v>
      </c>
      <c r="AA49" s="655" t="str">
        <f t="shared" si="6"/>
        <v>5600221928226121</v>
      </c>
      <c r="AB49" s="638"/>
      <c r="AC49" s="638"/>
      <c r="AD49" s="638"/>
      <c r="AE49" s="638"/>
      <c r="AF49" s="638"/>
    </row>
    <row r="50" spans="1:32" ht="12.75" outlineLevel="2">
      <c r="A50" s="639">
        <f t="shared" si="0"/>
        <v>48</v>
      </c>
      <c r="B50" s="658" t="s">
        <v>633</v>
      </c>
      <c r="C50" s="641" t="s">
        <v>657</v>
      </c>
      <c r="D50" s="641">
        <v>2826</v>
      </c>
      <c r="E50" s="641">
        <v>6121</v>
      </c>
      <c r="F50" s="649"/>
      <c r="G50" s="642" t="s">
        <v>660</v>
      </c>
      <c r="H50" s="641">
        <v>2014</v>
      </c>
      <c r="I50" s="641">
        <v>2016</v>
      </c>
      <c r="J50" s="660">
        <v>35241</v>
      </c>
      <c r="K50" s="660"/>
      <c r="L50" s="660"/>
      <c r="M50" s="661">
        <v>9476</v>
      </c>
      <c r="N50" s="661">
        <v>9476</v>
      </c>
      <c r="O50" s="660">
        <v>593</v>
      </c>
      <c r="P50" s="647">
        <f t="shared" si="1"/>
        <v>0.06257914731954412</v>
      </c>
      <c r="Q50" s="661">
        <v>25765</v>
      </c>
      <c r="R50" s="661"/>
      <c r="S50" s="662">
        <v>25765</v>
      </c>
      <c r="T50" s="649" t="s">
        <v>635</v>
      </c>
      <c r="U50" s="650"/>
      <c r="V50" s="651">
        <f t="shared" si="2"/>
        <v>-25765</v>
      </c>
      <c r="W50" s="652" t="str">
        <f>IF(AND(P50&lt;'[1]koment'!$F$1,N50&gt;='[1]koment'!$F$2),"Komentovat","")</f>
        <v>Komentovat</v>
      </c>
      <c r="X50" s="653" t="e">
        <f t="shared" si="3"/>
        <v>#REF!</v>
      </c>
      <c r="Y50" s="651">
        <f t="shared" si="4"/>
        <v>5400</v>
      </c>
      <c r="Z50" s="654" t="str">
        <f t="shared" si="5"/>
        <v>ORG 2826 - Dohledový systém BKOM</v>
      </c>
      <c r="AA50" s="655" t="str">
        <f t="shared" si="6"/>
        <v>5400221928266121</v>
      </c>
      <c r="AB50" s="638"/>
      <c r="AC50" s="638"/>
      <c r="AD50" s="638"/>
      <c r="AE50" s="638"/>
      <c r="AF50" s="638"/>
    </row>
    <row r="51" spans="1:32" ht="12.75" outlineLevel="2">
      <c r="A51" s="639">
        <f t="shared" si="0"/>
        <v>49</v>
      </c>
      <c r="B51" s="658" t="s">
        <v>633</v>
      </c>
      <c r="C51" s="641" t="s">
        <v>657</v>
      </c>
      <c r="D51" s="641">
        <v>2947</v>
      </c>
      <c r="E51" s="641">
        <v>6130</v>
      </c>
      <c r="F51" s="649"/>
      <c r="G51" s="642" t="s">
        <v>661</v>
      </c>
      <c r="H51" s="663"/>
      <c r="I51" s="663"/>
      <c r="J51" s="660"/>
      <c r="K51" s="660"/>
      <c r="L51" s="660">
        <f>38+3599+13291</f>
        <v>16928</v>
      </c>
      <c r="M51" s="661">
        <v>8000</v>
      </c>
      <c r="N51" s="661">
        <v>8000</v>
      </c>
      <c r="O51" s="660">
        <v>7288</v>
      </c>
      <c r="P51" s="647">
        <f t="shared" si="1"/>
        <v>0.911</v>
      </c>
      <c r="Q51" s="661"/>
      <c r="R51" s="661"/>
      <c r="S51" s="662"/>
      <c r="T51" s="649" t="s">
        <v>635</v>
      </c>
      <c r="U51" s="650"/>
      <c r="V51" s="651">
        <f t="shared" si="2"/>
        <v>-24928</v>
      </c>
      <c r="W51" s="652">
        <f>IF(AND(P51&lt;'[1]koment'!$F$1,N51&gt;='[1]koment'!$F$2),"Komentovat","")</f>
      </c>
      <c r="X51" s="653" t="e">
        <f t="shared" si="3"/>
        <v>#REF!</v>
      </c>
      <c r="Y51" s="651">
        <f t="shared" si="4"/>
        <v>5400</v>
      </c>
      <c r="Z51" s="654" t="str">
        <f t="shared" si="5"/>
        <v>ORG 2947 - Výkupy pozemků a objektů pro OD MMB</v>
      </c>
      <c r="AA51" s="655" t="str">
        <f t="shared" si="6"/>
        <v>5400221929476130</v>
      </c>
      <c r="AB51" s="638"/>
      <c r="AC51" s="638"/>
      <c r="AD51" s="638"/>
      <c r="AE51" s="638"/>
      <c r="AF51" s="638"/>
    </row>
    <row r="52" spans="1:32" ht="12.75" outlineLevel="2">
      <c r="A52" s="639">
        <f t="shared" si="0"/>
        <v>50</v>
      </c>
      <c r="B52" s="658" t="s">
        <v>633</v>
      </c>
      <c r="C52" s="641" t="s">
        <v>657</v>
      </c>
      <c r="D52" s="641">
        <v>2959</v>
      </c>
      <c r="E52" s="641">
        <v>6201</v>
      </c>
      <c r="F52" s="649"/>
      <c r="G52" s="642" t="s">
        <v>662</v>
      </c>
      <c r="H52" s="663"/>
      <c r="I52" s="663"/>
      <c r="J52" s="660"/>
      <c r="K52" s="660"/>
      <c r="L52" s="660">
        <f>26299+67000</f>
        <v>93299</v>
      </c>
      <c r="M52" s="661"/>
      <c r="N52" s="661">
        <v>50000</v>
      </c>
      <c r="O52" s="660">
        <v>50000</v>
      </c>
      <c r="P52" s="647">
        <f t="shared" si="1"/>
        <v>1</v>
      </c>
      <c r="Q52" s="661"/>
      <c r="R52" s="661"/>
      <c r="S52" s="662"/>
      <c r="T52" s="649" t="s">
        <v>635</v>
      </c>
      <c r="U52" s="650"/>
      <c r="V52" s="651">
        <f t="shared" si="2"/>
        <v>-143299</v>
      </c>
      <c r="W52" s="652">
        <f>IF(AND(P52&lt;'[1]koment'!$F$1,N52&gt;='[1]koment'!$F$2),"Komentovat","")</f>
      </c>
      <c r="X52" s="653" t="e">
        <f t="shared" si="3"/>
        <v>#REF!</v>
      </c>
      <c r="Y52" s="651">
        <f t="shared" si="4"/>
        <v>5400</v>
      </c>
      <c r="Z52" s="654" t="str">
        <f t="shared" si="5"/>
        <v>ORG 2959 - Zvýšení ZK BKOM</v>
      </c>
      <c r="AA52" s="655" t="str">
        <f t="shared" si="6"/>
        <v>5400221929596201</v>
      </c>
      <c r="AB52" s="638"/>
      <c r="AC52" s="638"/>
      <c r="AD52" s="638"/>
      <c r="AE52" s="638"/>
      <c r="AF52" s="638"/>
    </row>
    <row r="53" spans="1:32" ht="12.75" outlineLevel="2">
      <c r="A53" s="639">
        <f t="shared" si="0"/>
        <v>51</v>
      </c>
      <c r="B53" s="658" t="s">
        <v>606</v>
      </c>
      <c r="C53" s="641" t="s">
        <v>657</v>
      </c>
      <c r="D53" s="641">
        <v>3297</v>
      </c>
      <c r="E53" s="641">
        <v>6121</v>
      </c>
      <c r="F53" s="649"/>
      <c r="G53" s="642" t="s">
        <v>663</v>
      </c>
      <c r="H53" s="665">
        <v>2005</v>
      </c>
      <c r="I53" s="641">
        <v>2015</v>
      </c>
      <c r="J53" s="660">
        <v>72737</v>
      </c>
      <c r="K53" s="660"/>
      <c r="L53" s="660">
        <f>10304+77+28231</f>
        <v>38612</v>
      </c>
      <c r="M53" s="661"/>
      <c r="N53" s="661"/>
      <c r="O53" s="660"/>
      <c r="P53" s="647" t="str">
        <f t="shared" si="1"/>
        <v> </v>
      </c>
      <c r="Q53" s="661">
        <v>34125</v>
      </c>
      <c r="R53" s="661"/>
      <c r="S53" s="662"/>
      <c r="T53" s="649" t="s">
        <v>609</v>
      </c>
      <c r="U53" s="650"/>
      <c r="V53" s="651">
        <f t="shared" si="2"/>
        <v>0</v>
      </c>
      <c r="W53" s="652">
        <f>IF(AND(P53&lt;'[1]koment'!$F$1,N53&gt;='[1]koment'!$F$2),"Komentovat","")</f>
      </c>
      <c r="X53" s="653" t="e">
        <f t="shared" si="3"/>
        <v>#REF!</v>
      </c>
      <c r="Y53" s="651" t="str">
        <f t="shared" si="4"/>
        <v> </v>
      </c>
      <c r="Z53" s="654">
        <f t="shared" si="5"/>
        <v>0</v>
      </c>
      <c r="AA53" s="655" t="str">
        <f t="shared" si="6"/>
        <v>5600221932976121</v>
      </c>
      <c r="AB53" s="638"/>
      <c r="AC53" s="638"/>
      <c r="AD53" s="638"/>
      <c r="AE53" s="638"/>
      <c r="AF53" s="638"/>
    </row>
    <row r="54" spans="1:32" ht="12.75" outlineLevel="2">
      <c r="A54" s="639">
        <f t="shared" si="0"/>
        <v>52</v>
      </c>
      <c r="B54" s="658" t="s">
        <v>606</v>
      </c>
      <c r="C54" s="641" t="s">
        <v>657</v>
      </c>
      <c r="D54" s="641">
        <v>4208</v>
      </c>
      <c r="E54" s="641">
        <v>6121</v>
      </c>
      <c r="F54" s="649"/>
      <c r="G54" s="642" t="s">
        <v>664</v>
      </c>
      <c r="H54" s="641"/>
      <c r="I54" s="641"/>
      <c r="J54" s="660"/>
      <c r="K54" s="660"/>
      <c r="L54" s="660">
        <f>36791+5092+6361+573</f>
        <v>48817</v>
      </c>
      <c r="M54" s="661">
        <v>6000</v>
      </c>
      <c r="N54" s="661">
        <v>3350</v>
      </c>
      <c r="O54" s="660">
        <v>2896</v>
      </c>
      <c r="P54" s="647">
        <f t="shared" si="1"/>
        <v>0.8644776119402985</v>
      </c>
      <c r="Q54" s="661"/>
      <c r="R54" s="661"/>
      <c r="S54" s="662"/>
      <c r="T54" s="649" t="s">
        <v>609</v>
      </c>
      <c r="U54" s="650"/>
      <c r="V54" s="651">
        <f t="shared" si="2"/>
        <v>-52167</v>
      </c>
      <c r="W54" s="652">
        <f>IF(AND(P54&lt;'[1]koment'!$F$1,N54&gt;='[1]koment'!$F$2),"Komentovat","")</f>
      </c>
      <c r="X54" s="653" t="e">
        <f t="shared" si="3"/>
        <v>#REF!</v>
      </c>
      <c r="Y54" s="651">
        <f t="shared" si="4"/>
        <v>5600</v>
      </c>
      <c r="Z54" s="654" t="str">
        <f t="shared" si="5"/>
        <v>ORG 4208 - Majetkoprávní vypořádání a přípr. doprav. staveb</v>
      </c>
      <c r="AA54" s="655" t="str">
        <f t="shared" si="6"/>
        <v>5600221942086121</v>
      </c>
      <c r="AB54" s="638"/>
      <c r="AC54" s="638"/>
      <c r="AD54" s="638"/>
      <c r="AE54" s="638"/>
      <c r="AF54" s="638"/>
    </row>
    <row r="55" spans="1:32" ht="12.75" outlineLevel="2">
      <c r="A55" s="639">
        <f t="shared" si="0"/>
        <v>53</v>
      </c>
      <c r="B55" s="658" t="s">
        <v>633</v>
      </c>
      <c r="C55" s="641" t="s">
        <v>657</v>
      </c>
      <c r="D55" s="641">
        <v>5014</v>
      </c>
      <c r="E55" s="641">
        <v>6121</v>
      </c>
      <c r="F55" s="659" t="s">
        <v>665</v>
      </c>
      <c r="G55" s="642" t="s">
        <v>666</v>
      </c>
      <c r="H55" s="665">
        <v>2009</v>
      </c>
      <c r="I55" s="641">
        <v>2014</v>
      </c>
      <c r="J55" s="660">
        <v>4668</v>
      </c>
      <c r="K55" s="660"/>
      <c r="L55" s="660">
        <f>1929</f>
        <v>1929</v>
      </c>
      <c r="M55" s="661">
        <v>1610</v>
      </c>
      <c r="N55" s="661">
        <v>1610</v>
      </c>
      <c r="O55" s="660">
        <v>1610</v>
      </c>
      <c r="P55" s="647">
        <f t="shared" si="1"/>
        <v>1</v>
      </c>
      <c r="Q55" s="661"/>
      <c r="R55" s="661"/>
      <c r="S55" s="662"/>
      <c r="T55" s="649" t="s">
        <v>635</v>
      </c>
      <c r="U55" s="650"/>
      <c r="V55" s="651">
        <f t="shared" si="2"/>
        <v>1129</v>
      </c>
      <c r="W55" s="652">
        <f>IF(AND(P55&lt;'[1]koment'!$F$1,N55&gt;='[1]koment'!$F$2),"Komentovat","")</f>
      </c>
      <c r="X55" s="653" t="e">
        <f t="shared" si="3"/>
        <v>#REF!</v>
      </c>
      <c r="Y55" s="651">
        <f t="shared" si="4"/>
        <v>5400</v>
      </c>
      <c r="Z55" s="654" t="str">
        <f t="shared" si="5"/>
        <v>ORG 5014 - Strategie parkování v městě Brně</v>
      </c>
      <c r="AA55" s="655" t="str">
        <f t="shared" si="6"/>
        <v>5400221950146121EU</v>
      </c>
      <c r="AB55" s="638"/>
      <c r="AC55" s="638"/>
      <c r="AD55" s="638"/>
      <c r="AE55" s="638"/>
      <c r="AF55" s="638"/>
    </row>
    <row r="56" spans="1:32" ht="12.75" outlineLevel="2">
      <c r="A56" s="639">
        <f t="shared" si="0"/>
        <v>54</v>
      </c>
      <c r="B56" s="658" t="s">
        <v>606</v>
      </c>
      <c r="C56" s="641" t="s">
        <v>657</v>
      </c>
      <c r="D56" s="641">
        <v>5023</v>
      </c>
      <c r="E56" s="641">
        <v>6121</v>
      </c>
      <c r="F56" s="659" t="s">
        <v>665</v>
      </c>
      <c r="G56" s="642" t="s">
        <v>667</v>
      </c>
      <c r="H56" s="665">
        <v>2009</v>
      </c>
      <c r="I56" s="641">
        <v>2015</v>
      </c>
      <c r="J56" s="660">
        <v>71500</v>
      </c>
      <c r="K56" s="660">
        <v>48017</v>
      </c>
      <c r="L56" s="660">
        <f>648+217</f>
        <v>865</v>
      </c>
      <c r="M56" s="661">
        <v>10000</v>
      </c>
      <c r="N56" s="661">
        <v>42000</v>
      </c>
      <c r="O56" s="660">
        <v>41635</v>
      </c>
      <c r="P56" s="647">
        <f t="shared" si="1"/>
        <v>0.9913095238095239</v>
      </c>
      <c r="Q56" s="661">
        <v>20000</v>
      </c>
      <c r="R56" s="661"/>
      <c r="S56" s="662"/>
      <c r="T56" s="649" t="s">
        <v>609</v>
      </c>
      <c r="U56" s="650"/>
      <c r="V56" s="651">
        <f t="shared" si="2"/>
        <v>8635</v>
      </c>
      <c r="W56" s="652">
        <f>IF(AND(P56&lt;'[1]koment'!$F$1,N56&gt;='[1]koment'!$F$2),"Komentovat","")</f>
      </c>
      <c r="X56" s="653" t="e">
        <f t="shared" si="3"/>
        <v>#REF!</v>
      </c>
      <c r="Y56" s="651">
        <f t="shared" si="4"/>
        <v>5600</v>
      </c>
      <c r="Z56" s="654" t="str">
        <f t="shared" si="5"/>
        <v>ORG 5023 - Zelný trh</v>
      </c>
      <c r="AA56" s="655" t="str">
        <f t="shared" si="6"/>
        <v>5600221950236121EU</v>
      </c>
      <c r="AB56" s="638"/>
      <c r="AC56" s="638"/>
      <c r="AD56" s="638"/>
      <c r="AE56" s="638"/>
      <c r="AF56" s="638"/>
    </row>
    <row r="57" spans="1:32" ht="12.75" outlineLevel="2">
      <c r="A57" s="639">
        <f t="shared" si="0"/>
        <v>55</v>
      </c>
      <c r="B57" s="658" t="s">
        <v>633</v>
      </c>
      <c r="C57" s="641" t="s">
        <v>657</v>
      </c>
      <c r="D57" s="641">
        <v>5162</v>
      </c>
      <c r="E57" s="641">
        <v>6121</v>
      </c>
      <c r="F57" s="659" t="s">
        <v>665</v>
      </c>
      <c r="G57" s="642" t="s">
        <v>668</v>
      </c>
      <c r="H57" s="641">
        <v>2012</v>
      </c>
      <c r="I57" s="641">
        <v>2016</v>
      </c>
      <c r="J57" s="660">
        <v>10000</v>
      </c>
      <c r="K57" s="660">
        <v>7489</v>
      </c>
      <c r="L57" s="660"/>
      <c r="M57" s="661">
        <v>320</v>
      </c>
      <c r="N57" s="661">
        <v>320</v>
      </c>
      <c r="O57" s="660"/>
      <c r="P57" s="647">
        <f t="shared" si="1"/>
        <v>0</v>
      </c>
      <c r="Q57" s="661"/>
      <c r="R57" s="661"/>
      <c r="S57" s="662"/>
      <c r="T57" s="649" t="s">
        <v>635</v>
      </c>
      <c r="U57" s="650"/>
      <c r="V57" s="651">
        <f t="shared" si="2"/>
        <v>9680</v>
      </c>
      <c r="W57" s="652">
        <f>IF(AND(P57&lt;'[1]koment'!$F$1,N57&gt;='[1]koment'!$F$2),"Komentovat","")</f>
      </c>
      <c r="X57" s="653" t="e">
        <f t="shared" si="3"/>
        <v>#REF!</v>
      </c>
      <c r="Y57" s="651">
        <f t="shared" si="4"/>
        <v>5400</v>
      </c>
      <c r="Z57" s="654" t="str">
        <f t="shared" si="5"/>
        <v>ORG 5162 - CIVITAS PLUS II -  2MOVE2</v>
      </c>
      <c r="AA57" s="655" t="str">
        <f t="shared" si="6"/>
        <v>5400221951626121EU</v>
      </c>
      <c r="AB57" s="638"/>
      <c r="AC57" s="638"/>
      <c r="AD57" s="638"/>
      <c r="AE57" s="638"/>
      <c r="AF57" s="638"/>
    </row>
    <row r="58" spans="1:32" ht="12.75" outlineLevel="1">
      <c r="A58" s="639">
        <f t="shared" si="0"/>
        <v>56</v>
      </c>
      <c r="B58" s="658"/>
      <c r="C58" s="666" t="s">
        <v>669</v>
      </c>
      <c r="D58" s="641"/>
      <c r="E58" s="641"/>
      <c r="F58" s="659"/>
      <c r="G58" s="642"/>
      <c r="H58" s="641"/>
      <c r="I58" s="641"/>
      <c r="J58" s="660">
        <f aca="true" t="shared" si="9" ref="J58:O58">SUBTOTAL(9,J48:J57)</f>
        <v>267493</v>
      </c>
      <c r="K58" s="660">
        <f t="shared" si="9"/>
        <v>55506</v>
      </c>
      <c r="L58" s="660">
        <f t="shared" si="9"/>
        <v>200450</v>
      </c>
      <c r="M58" s="661">
        <f t="shared" si="9"/>
        <v>40303</v>
      </c>
      <c r="N58" s="661">
        <f t="shared" si="9"/>
        <v>114756</v>
      </c>
      <c r="O58" s="660">
        <f t="shared" si="9"/>
        <v>104022</v>
      </c>
      <c r="P58" s="647">
        <f t="shared" si="1"/>
        <v>0.9064624071943951</v>
      </c>
      <c r="Q58" s="661">
        <f>SUBTOTAL(9,Q48:Q57)</f>
        <v>119040</v>
      </c>
      <c r="R58" s="661">
        <f>SUBTOTAL(9,R48:R57)</f>
        <v>0</v>
      </c>
      <c r="S58" s="662">
        <f>SUBTOTAL(9,S48:S57)</f>
        <v>55065</v>
      </c>
      <c r="T58" s="649"/>
      <c r="U58" s="650"/>
      <c r="V58" s="651"/>
      <c r="W58" s="652"/>
      <c r="X58" s="653"/>
      <c r="Y58" s="651" t="str">
        <f>IF($V58=0," ",IF(LEN($B58)=4,$B58*1,$B58))</f>
        <v> </v>
      </c>
      <c r="Z58" s="654">
        <f>IF($Y58=" ",0,"ORG "&amp;$D58&amp;" - "&amp;$G58)</f>
        <v>0</v>
      </c>
      <c r="AA58" s="655" t="str">
        <f>$B58&amp;LEFT($C58,4)&amp;$D58&amp;$E58&amp;$F58</f>
        <v>Celk</v>
      </c>
      <c r="AB58" s="638"/>
      <c r="AC58" s="638"/>
      <c r="AD58" s="638"/>
      <c r="AE58" s="638"/>
      <c r="AF58" s="638"/>
    </row>
    <row r="59" spans="1:32" ht="12.75" outlineLevel="2">
      <c r="A59" s="639">
        <f t="shared" si="0"/>
        <v>57</v>
      </c>
      <c r="B59" s="658" t="s">
        <v>606</v>
      </c>
      <c r="C59" s="641" t="s">
        <v>670</v>
      </c>
      <c r="D59" s="641">
        <v>5172</v>
      </c>
      <c r="E59" s="641">
        <v>6121</v>
      </c>
      <c r="F59" s="659" t="s">
        <v>665</v>
      </c>
      <c r="G59" s="642" t="s">
        <v>671</v>
      </c>
      <c r="H59" s="641">
        <v>2013</v>
      </c>
      <c r="I59" s="641">
        <v>2015</v>
      </c>
      <c r="J59" s="660">
        <v>73620</v>
      </c>
      <c r="K59" s="660">
        <v>54659</v>
      </c>
      <c r="L59" s="660"/>
      <c r="M59" s="661">
        <v>8000</v>
      </c>
      <c r="N59" s="661">
        <v>1000</v>
      </c>
      <c r="O59" s="660">
        <v>134</v>
      </c>
      <c r="P59" s="647">
        <f t="shared" si="1"/>
        <v>0.134</v>
      </c>
      <c r="Q59" s="661">
        <v>12000</v>
      </c>
      <c r="R59" s="661"/>
      <c r="S59" s="662"/>
      <c r="T59" s="649" t="s">
        <v>609</v>
      </c>
      <c r="U59" s="650"/>
      <c r="V59" s="651">
        <f t="shared" si="2"/>
        <v>60620</v>
      </c>
      <c r="W59" s="652">
        <f>IF(AND(P59&lt;'[1]koment'!$F$1,N59&gt;='[1]koment'!$F$2),"Komentovat","")</f>
      </c>
      <c r="X59" s="653" t="e">
        <f>IF(W59="Komentovat",X57+1,X57)</f>
        <v>#REF!</v>
      </c>
      <c r="Y59" s="651">
        <f t="shared" si="4"/>
        <v>5600</v>
      </c>
      <c r="Z59" s="654" t="str">
        <f t="shared" si="5"/>
        <v>ORG 5172 - Dopravní telematika ve městě Brně - 1. část</v>
      </c>
      <c r="AA59" s="655" t="str">
        <f t="shared" si="6"/>
        <v>5600222951726121EU</v>
      </c>
      <c r="AB59" s="638"/>
      <c r="AC59" s="638"/>
      <c r="AD59" s="638"/>
      <c r="AE59" s="638"/>
      <c r="AF59" s="638"/>
    </row>
    <row r="60" spans="1:32" ht="12.75" outlineLevel="2">
      <c r="A60" s="639">
        <f t="shared" si="0"/>
        <v>58</v>
      </c>
      <c r="B60" s="658" t="s">
        <v>606</v>
      </c>
      <c r="C60" s="641" t="s">
        <v>670</v>
      </c>
      <c r="D60" s="641">
        <v>5173</v>
      </c>
      <c r="E60" s="641">
        <v>6121</v>
      </c>
      <c r="F60" s="659" t="s">
        <v>665</v>
      </c>
      <c r="G60" s="642" t="s">
        <v>672</v>
      </c>
      <c r="H60" s="641">
        <v>2013</v>
      </c>
      <c r="I60" s="641">
        <v>2015</v>
      </c>
      <c r="J60" s="660">
        <v>54329</v>
      </c>
      <c r="K60" s="660">
        <v>40786</v>
      </c>
      <c r="L60" s="660"/>
      <c r="M60" s="661">
        <v>8000</v>
      </c>
      <c r="N60" s="661">
        <v>1000</v>
      </c>
      <c r="O60" s="660"/>
      <c r="P60" s="647">
        <f t="shared" si="1"/>
        <v>0</v>
      </c>
      <c r="Q60" s="661">
        <v>12000</v>
      </c>
      <c r="R60" s="661"/>
      <c r="S60" s="662"/>
      <c r="T60" s="649" t="s">
        <v>609</v>
      </c>
      <c r="U60" s="650"/>
      <c r="V60" s="651">
        <f t="shared" si="2"/>
        <v>41329</v>
      </c>
      <c r="W60" s="652">
        <f>IF(AND(P60&lt;'[1]koment'!$F$1,N60&gt;='[1]koment'!$F$2),"Komentovat","")</f>
      </c>
      <c r="X60" s="653" t="e">
        <f t="shared" si="3"/>
        <v>#REF!</v>
      </c>
      <c r="Y60" s="651">
        <f t="shared" si="4"/>
        <v>5600</v>
      </c>
      <c r="Z60" s="654" t="str">
        <f t="shared" si="5"/>
        <v>ORG 5173 - Dopravní telematika ve městě Brně - 2. část</v>
      </c>
      <c r="AA60" s="655" t="str">
        <f t="shared" si="6"/>
        <v>5600222951736121EU</v>
      </c>
      <c r="AB60" s="638"/>
      <c r="AC60" s="638"/>
      <c r="AD60" s="638"/>
      <c r="AE60" s="638"/>
      <c r="AF60" s="638"/>
    </row>
    <row r="61" spans="1:32" ht="12.75" outlineLevel="2">
      <c r="A61" s="639">
        <f t="shared" si="0"/>
        <v>59</v>
      </c>
      <c r="B61" s="658" t="s">
        <v>606</v>
      </c>
      <c r="C61" s="641" t="s">
        <v>670</v>
      </c>
      <c r="D61" s="641">
        <v>5174</v>
      </c>
      <c r="E61" s="641">
        <v>6121</v>
      </c>
      <c r="F61" s="659" t="s">
        <v>665</v>
      </c>
      <c r="G61" s="642" t="s">
        <v>673</v>
      </c>
      <c r="H61" s="641">
        <v>2013</v>
      </c>
      <c r="I61" s="641">
        <v>2015</v>
      </c>
      <c r="J61" s="660">
        <v>22666</v>
      </c>
      <c r="K61" s="660">
        <v>13825</v>
      </c>
      <c r="L61" s="660"/>
      <c r="M61" s="661">
        <v>8000</v>
      </c>
      <c r="N61" s="661">
        <v>1000</v>
      </c>
      <c r="O61" s="660"/>
      <c r="P61" s="647">
        <f t="shared" si="1"/>
        <v>0</v>
      </c>
      <c r="Q61" s="661">
        <v>12000</v>
      </c>
      <c r="R61" s="661"/>
      <c r="S61" s="662"/>
      <c r="T61" s="649" t="s">
        <v>609</v>
      </c>
      <c r="U61" s="650"/>
      <c r="V61" s="651">
        <f t="shared" si="2"/>
        <v>9666</v>
      </c>
      <c r="W61" s="652">
        <f>IF(AND(P61&lt;'[1]koment'!$F$1,N61&gt;='[1]koment'!$F$2),"Komentovat","")</f>
      </c>
      <c r="X61" s="653" t="e">
        <f t="shared" si="3"/>
        <v>#REF!</v>
      </c>
      <c r="Y61" s="651">
        <f t="shared" si="4"/>
        <v>5600</v>
      </c>
      <c r="Z61" s="654" t="str">
        <f t="shared" si="5"/>
        <v>ORG 5174 - Dopravní telematika ve městě Brně - 3. část</v>
      </c>
      <c r="AA61" s="655" t="str">
        <f t="shared" si="6"/>
        <v>5600222951746121EU</v>
      </c>
      <c r="AB61" s="638"/>
      <c r="AC61" s="638"/>
      <c r="AD61" s="638"/>
      <c r="AE61" s="638"/>
      <c r="AF61" s="638"/>
    </row>
    <row r="62" spans="1:32" ht="12.75" outlineLevel="1">
      <c r="A62" s="639">
        <f t="shared" si="0"/>
        <v>60</v>
      </c>
      <c r="B62" s="658"/>
      <c r="C62" s="666" t="s">
        <v>674</v>
      </c>
      <c r="D62" s="641"/>
      <c r="E62" s="641"/>
      <c r="F62" s="659"/>
      <c r="G62" s="642"/>
      <c r="H62" s="641"/>
      <c r="I62" s="641"/>
      <c r="J62" s="660">
        <f aca="true" t="shared" si="10" ref="J62:O62">SUBTOTAL(9,J59:J61)</f>
        <v>150615</v>
      </c>
      <c r="K62" s="660">
        <f t="shared" si="10"/>
        <v>109270</v>
      </c>
      <c r="L62" s="660">
        <f t="shared" si="10"/>
        <v>0</v>
      </c>
      <c r="M62" s="661">
        <f t="shared" si="10"/>
        <v>24000</v>
      </c>
      <c r="N62" s="661">
        <f t="shared" si="10"/>
        <v>3000</v>
      </c>
      <c r="O62" s="660">
        <f t="shared" si="10"/>
        <v>134</v>
      </c>
      <c r="P62" s="647">
        <f t="shared" si="1"/>
        <v>0.04466666666666667</v>
      </c>
      <c r="Q62" s="661">
        <f>SUBTOTAL(9,Q59:Q61)</f>
        <v>36000</v>
      </c>
      <c r="R62" s="661">
        <f>SUBTOTAL(9,R59:R61)</f>
        <v>0</v>
      </c>
      <c r="S62" s="662">
        <f>SUBTOTAL(9,S59:S61)</f>
        <v>0</v>
      </c>
      <c r="T62" s="649"/>
      <c r="U62" s="650"/>
      <c r="V62" s="651"/>
      <c r="W62" s="652"/>
      <c r="X62" s="653"/>
      <c r="Y62" s="651" t="str">
        <f>IF($V62=0," ",IF(LEN($B62)=4,$B62*1,$B62))</f>
        <v> </v>
      </c>
      <c r="Z62" s="654">
        <f>IF($Y62=" ",0,"ORG "&amp;$D62&amp;" - "&amp;$G62)</f>
        <v>0</v>
      </c>
      <c r="AA62" s="655" t="str">
        <f>$B62&amp;LEFT($C62,4)&amp;$D62&amp;$E62&amp;$F62</f>
        <v>Celk</v>
      </c>
      <c r="AB62" s="638"/>
      <c r="AC62" s="638"/>
      <c r="AD62" s="638"/>
      <c r="AE62" s="638"/>
      <c r="AF62" s="638"/>
    </row>
    <row r="63" spans="1:32" ht="12.75" outlineLevel="2">
      <c r="A63" s="639">
        <f t="shared" si="0"/>
        <v>61</v>
      </c>
      <c r="B63" s="658" t="s">
        <v>633</v>
      </c>
      <c r="C63" s="641" t="s">
        <v>675</v>
      </c>
      <c r="D63" s="641">
        <v>2802</v>
      </c>
      <c r="E63" s="641">
        <v>6121</v>
      </c>
      <c r="F63" s="659"/>
      <c r="G63" s="642" t="s">
        <v>676</v>
      </c>
      <c r="H63" s="641">
        <v>2014</v>
      </c>
      <c r="I63" s="641">
        <v>2014</v>
      </c>
      <c r="J63" s="660">
        <v>8500</v>
      </c>
      <c r="K63" s="660"/>
      <c r="L63" s="660"/>
      <c r="M63" s="661"/>
      <c r="N63" s="661">
        <v>6650</v>
      </c>
      <c r="O63" s="660">
        <v>6645</v>
      </c>
      <c r="P63" s="647">
        <f t="shared" si="1"/>
        <v>0.9992481203007518</v>
      </c>
      <c r="Q63" s="661"/>
      <c r="R63" s="661"/>
      <c r="S63" s="662"/>
      <c r="T63" s="649" t="s">
        <v>635</v>
      </c>
      <c r="U63" s="650"/>
      <c r="V63" s="651">
        <f t="shared" si="2"/>
        <v>1850</v>
      </c>
      <c r="W63" s="652">
        <f>IF(AND(P63&lt;'[1]koment'!$F$1,N63&gt;='[1]koment'!$F$2),"Komentovat","")</f>
      </c>
      <c r="X63" s="653" t="e">
        <f>IF(W63="Komentovat",X61+1,X61)</f>
        <v>#REF!</v>
      </c>
      <c r="Y63" s="651">
        <f t="shared" si="4"/>
        <v>5400</v>
      </c>
      <c r="Z63" s="654" t="str">
        <f t="shared" si="5"/>
        <v>ORG 2802 - Stavební úpravy stanice Jírova</v>
      </c>
      <c r="AA63" s="655" t="str">
        <f t="shared" si="6"/>
        <v>5400227128026121</v>
      </c>
      <c r="AB63" s="638"/>
      <c r="AC63" s="638"/>
      <c r="AD63" s="638"/>
      <c r="AE63" s="638"/>
      <c r="AF63" s="638"/>
    </row>
    <row r="64" spans="1:32" ht="12.75" outlineLevel="2">
      <c r="A64" s="639">
        <f t="shared" si="0"/>
        <v>62</v>
      </c>
      <c r="B64" s="640" t="s">
        <v>606</v>
      </c>
      <c r="C64" s="641" t="s">
        <v>675</v>
      </c>
      <c r="D64" s="642">
        <v>2804</v>
      </c>
      <c r="E64" s="641">
        <v>6121</v>
      </c>
      <c r="F64" s="643"/>
      <c r="G64" s="642" t="s">
        <v>677</v>
      </c>
      <c r="H64" s="642">
        <v>2014</v>
      </c>
      <c r="I64" s="642">
        <v>2014</v>
      </c>
      <c r="J64" s="644">
        <v>215</v>
      </c>
      <c r="K64" s="644"/>
      <c r="L64" s="645"/>
      <c r="M64" s="646"/>
      <c r="N64" s="646">
        <v>215</v>
      </c>
      <c r="O64" s="644">
        <v>215</v>
      </c>
      <c r="P64" s="647">
        <f t="shared" si="1"/>
        <v>1</v>
      </c>
      <c r="Q64" s="646"/>
      <c r="R64" s="646"/>
      <c r="S64" s="648"/>
      <c r="T64" s="649" t="s">
        <v>609</v>
      </c>
      <c r="U64" s="650"/>
      <c r="V64" s="651">
        <f t="shared" si="2"/>
        <v>0</v>
      </c>
      <c r="W64" s="652">
        <f>IF(AND(P64&lt;'[1]koment'!$F$1,N64&gt;='[1]koment'!$F$2),"Komentovat","")</f>
      </c>
      <c r="X64" s="653" t="e">
        <f t="shared" si="3"/>
        <v>#REF!</v>
      </c>
      <c r="Y64" s="651" t="str">
        <f t="shared" si="4"/>
        <v> </v>
      </c>
      <c r="Z64" s="654">
        <f t="shared" si="5"/>
        <v>0</v>
      </c>
      <c r="AA64" s="655" t="str">
        <f t="shared" si="6"/>
        <v>5600227128046121</v>
      </c>
      <c r="AB64" s="638"/>
      <c r="AC64" s="638"/>
      <c r="AD64" s="638"/>
      <c r="AE64" s="638"/>
      <c r="AF64" s="638"/>
    </row>
    <row r="65" spans="1:32" ht="12.75" outlineLevel="2">
      <c r="A65" s="639">
        <f t="shared" si="0"/>
        <v>63</v>
      </c>
      <c r="B65" s="658" t="s">
        <v>633</v>
      </c>
      <c r="C65" s="641" t="s">
        <v>675</v>
      </c>
      <c r="D65" s="641">
        <v>2845</v>
      </c>
      <c r="E65" s="641">
        <v>6122</v>
      </c>
      <c r="F65" s="659"/>
      <c r="G65" s="642" t="s">
        <v>678</v>
      </c>
      <c r="H65" s="641">
        <v>2013</v>
      </c>
      <c r="I65" s="641">
        <v>2013</v>
      </c>
      <c r="J65" s="660">
        <v>603</v>
      </c>
      <c r="K65" s="660"/>
      <c r="L65" s="660">
        <f>603</f>
        <v>603</v>
      </c>
      <c r="M65" s="661"/>
      <c r="N65" s="661"/>
      <c r="O65" s="660"/>
      <c r="P65" s="647" t="str">
        <f t="shared" si="1"/>
        <v> </v>
      </c>
      <c r="Q65" s="661"/>
      <c r="R65" s="661"/>
      <c r="S65" s="662"/>
      <c r="T65" s="649" t="s">
        <v>635</v>
      </c>
      <c r="U65" s="650"/>
      <c r="V65" s="651">
        <f t="shared" si="2"/>
        <v>0</v>
      </c>
      <c r="W65" s="652">
        <f>IF(AND(P65&lt;'[1]koment'!$F$1,N65&gt;='[1]koment'!$F$2),"Komentovat","")</f>
      </c>
      <c r="X65" s="653" t="e">
        <f>IF(W65="Komentovat",#REF!+1,#REF!)</f>
        <v>#REF!</v>
      </c>
      <c r="Y65" s="651" t="str">
        <f t="shared" si="4"/>
        <v> </v>
      </c>
      <c r="Z65" s="654">
        <f t="shared" si="5"/>
        <v>0</v>
      </c>
      <c r="AA65" s="655" t="str">
        <f t="shared" si="6"/>
        <v>5400227128456122</v>
      </c>
      <c r="AB65" s="638"/>
      <c r="AC65" s="638"/>
      <c r="AD65" s="638"/>
      <c r="AE65" s="638"/>
      <c r="AF65" s="638"/>
    </row>
    <row r="66" spans="1:32" ht="12.75" outlineLevel="1">
      <c r="A66" s="639">
        <f t="shared" si="0"/>
        <v>64</v>
      </c>
      <c r="B66" s="658"/>
      <c r="C66" s="666" t="s">
        <v>679</v>
      </c>
      <c r="D66" s="641"/>
      <c r="E66" s="641"/>
      <c r="F66" s="659"/>
      <c r="G66" s="642"/>
      <c r="H66" s="641"/>
      <c r="I66" s="641"/>
      <c r="J66" s="660">
        <f aca="true" t="shared" si="11" ref="J66:O66">SUBTOTAL(9,J63:J65)</f>
        <v>9318</v>
      </c>
      <c r="K66" s="660">
        <f t="shared" si="11"/>
        <v>0</v>
      </c>
      <c r="L66" s="660">
        <f t="shared" si="11"/>
        <v>603</v>
      </c>
      <c r="M66" s="661">
        <f t="shared" si="11"/>
        <v>0</v>
      </c>
      <c r="N66" s="661">
        <f t="shared" si="11"/>
        <v>6865</v>
      </c>
      <c r="O66" s="660">
        <f t="shared" si="11"/>
        <v>6860</v>
      </c>
      <c r="P66" s="647">
        <f t="shared" si="1"/>
        <v>0.9992716678805535</v>
      </c>
      <c r="Q66" s="661">
        <f>SUBTOTAL(9,Q63:Q65)</f>
        <v>0</v>
      </c>
      <c r="R66" s="661">
        <f>SUBTOTAL(9,R63:R65)</f>
        <v>0</v>
      </c>
      <c r="S66" s="662">
        <f>SUBTOTAL(9,S63:S65)</f>
        <v>0</v>
      </c>
      <c r="T66" s="649"/>
      <c r="U66" s="650"/>
      <c r="V66" s="651"/>
      <c r="W66" s="652"/>
      <c r="X66" s="653"/>
      <c r="Y66" s="651" t="str">
        <f>IF($V66=0," ",IF(LEN($B66)=4,$B66*1,$B66))</f>
        <v> </v>
      </c>
      <c r="Z66" s="654">
        <f>IF($Y66=" ",0,"ORG "&amp;$D66&amp;" - "&amp;$G66)</f>
        <v>0</v>
      </c>
      <c r="AA66" s="655" t="str">
        <f>$B66&amp;LEFT($C66,4)&amp;$D66&amp;$E66&amp;$F66</f>
        <v>Celk</v>
      </c>
      <c r="AB66" s="638"/>
      <c r="AC66" s="638"/>
      <c r="AD66" s="638"/>
      <c r="AE66" s="638"/>
      <c r="AF66" s="638"/>
    </row>
    <row r="67" spans="1:32" ht="12.75" outlineLevel="2">
      <c r="A67" s="639">
        <f t="shared" si="0"/>
        <v>65</v>
      </c>
      <c r="B67" s="640" t="s">
        <v>606</v>
      </c>
      <c r="C67" s="641" t="s">
        <v>680</v>
      </c>
      <c r="D67" s="642">
        <v>2774</v>
      </c>
      <c r="E67" s="641">
        <v>6121</v>
      </c>
      <c r="F67" s="643">
        <v>49</v>
      </c>
      <c r="G67" s="642" t="s">
        <v>681</v>
      </c>
      <c r="H67" s="642">
        <v>2014</v>
      </c>
      <c r="I67" s="642">
        <v>2020</v>
      </c>
      <c r="J67" s="644">
        <v>60000</v>
      </c>
      <c r="K67" s="644"/>
      <c r="L67" s="645"/>
      <c r="M67" s="646"/>
      <c r="N67" s="646">
        <v>45000</v>
      </c>
      <c r="O67" s="644"/>
      <c r="P67" s="647">
        <f t="shared" si="1"/>
        <v>0</v>
      </c>
      <c r="Q67" s="646"/>
      <c r="R67" s="646"/>
      <c r="S67" s="648">
        <v>15000</v>
      </c>
      <c r="T67" s="649" t="s">
        <v>682</v>
      </c>
      <c r="U67" s="650"/>
      <c r="V67" s="651">
        <f t="shared" si="2"/>
        <v>0</v>
      </c>
      <c r="W67" s="652" t="str">
        <f>IF(AND(P67&lt;'[1]koment'!$F$1,N67&gt;='[1]koment'!$F$2),"Komentovat","")</f>
        <v>Komentovat</v>
      </c>
      <c r="X67" s="653" t="e">
        <f>IF(W67="Komentovat",X65+1,X65)</f>
        <v>#REF!</v>
      </c>
      <c r="Y67" s="651" t="str">
        <f t="shared" si="4"/>
        <v> </v>
      </c>
      <c r="Z67" s="654">
        <f t="shared" si="5"/>
        <v>0</v>
      </c>
      <c r="AA67" s="655" t="str">
        <f t="shared" si="6"/>
        <v>560023102774612149</v>
      </c>
      <c r="AB67" s="638"/>
      <c r="AC67" s="638"/>
      <c r="AD67" s="638"/>
      <c r="AE67" s="638"/>
      <c r="AF67" s="638"/>
    </row>
    <row r="68" spans="1:32" ht="12.75" outlineLevel="2">
      <c r="A68" s="639">
        <f aca="true" t="shared" si="12" ref="A68:A131">ROW()-2</f>
        <v>66</v>
      </c>
      <c r="B68" s="640" t="s">
        <v>606</v>
      </c>
      <c r="C68" s="641" t="s">
        <v>680</v>
      </c>
      <c r="D68" s="642">
        <v>2794</v>
      </c>
      <c r="E68" s="641">
        <v>6121</v>
      </c>
      <c r="F68" s="643">
        <v>49</v>
      </c>
      <c r="G68" s="642" t="s">
        <v>683</v>
      </c>
      <c r="H68" s="642">
        <v>2014</v>
      </c>
      <c r="I68" s="642">
        <v>2018</v>
      </c>
      <c r="J68" s="644">
        <v>6389</v>
      </c>
      <c r="K68" s="644"/>
      <c r="L68" s="645"/>
      <c r="M68" s="646"/>
      <c r="N68" s="646">
        <v>10</v>
      </c>
      <c r="O68" s="644"/>
      <c r="P68" s="647">
        <f aca="true" t="shared" si="13" ref="P68:P131">IF(N68&lt;=0," ",O68/N68)</f>
        <v>0</v>
      </c>
      <c r="Q68" s="646">
        <v>700</v>
      </c>
      <c r="R68" s="646"/>
      <c r="S68" s="648">
        <v>5679</v>
      </c>
      <c r="T68" s="649" t="s">
        <v>682</v>
      </c>
      <c r="U68" s="650"/>
      <c r="V68" s="651">
        <f t="shared" si="2"/>
        <v>0</v>
      </c>
      <c r="W68" s="652">
        <f>IF(AND(P68&lt;'[1]koment'!$F$1,N68&gt;='[1]koment'!$F$2),"Komentovat","")</f>
      </c>
      <c r="X68" s="653" t="e">
        <f aca="true" t="shared" si="14" ref="X68:X131">IF(W68="Komentovat",X67+1,X67)</f>
        <v>#REF!</v>
      </c>
      <c r="Y68" s="651" t="str">
        <f t="shared" si="4"/>
        <v> </v>
      </c>
      <c r="Z68" s="654">
        <f t="shared" si="5"/>
        <v>0</v>
      </c>
      <c r="AA68" s="655" t="str">
        <f t="shared" si="6"/>
        <v>560023102794612149</v>
      </c>
      <c r="AB68" s="638"/>
      <c r="AC68" s="638"/>
      <c r="AD68" s="638"/>
      <c r="AE68" s="638"/>
      <c r="AF68" s="638"/>
    </row>
    <row r="69" spans="1:32" ht="12.75" outlineLevel="2">
      <c r="A69" s="639">
        <f t="shared" si="12"/>
        <v>67</v>
      </c>
      <c r="B69" s="640" t="s">
        <v>606</v>
      </c>
      <c r="C69" s="641" t="s">
        <v>680</v>
      </c>
      <c r="D69" s="642">
        <v>2795</v>
      </c>
      <c r="E69" s="641">
        <v>6121</v>
      </c>
      <c r="F69" s="643">
        <v>49</v>
      </c>
      <c r="G69" s="642" t="s">
        <v>684</v>
      </c>
      <c r="H69" s="642">
        <v>2014</v>
      </c>
      <c r="I69" s="642">
        <v>2017</v>
      </c>
      <c r="J69" s="644">
        <v>8349</v>
      </c>
      <c r="K69" s="644"/>
      <c r="L69" s="645"/>
      <c r="M69" s="646"/>
      <c r="N69" s="646">
        <v>10</v>
      </c>
      <c r="O69" s="644"/>
      <c r="P69" s="647">
        <f t="shared" si="13"/>
        <v>0</v>
      </c>
      <c r="Q69" s="646">
        <v>700</v>
      </c>
      <c r="R69" s="646">
        <v>700</v>
      </c>
      <c r="S69" s="648">
        <v>6939</v>
      </c>
      <c r="T69" s="649" t="s">
        <v>682</v>
      </c>
      <c r="U69" s="650"/>
      <c r="V69" s="651">
        <f aca="true" t="shared" si="15" ref="V69:V133">IF(LEN($D69)=4,(J69-L69-N69-Q69-R69-S69),0)</f>
        <v>0</v>
      </c>
      <c r="W69" s="652">
        <f>IF(AND(P69&lt;'[1]koment'!$F$1,N69&gt;='[1]koment'!$F$2),"Komentovat","")</f>
      </c>
      <c r="X69" s="653" t="e">
        <f t="shared" si="14"/>
        <v>#REF!</v>
      </c>
      <c r="Y69" s="651" t="str">
        <f aca="true" t="shared" si="16" ref="Y69:Y133">IF($V69=0," ",IF(LEN($B69)=4,$B69*1,$B69))</f>
        <v> </v>
      </c>
      <c r="Z69" s="654">
        <f aca="true" t="shared" si="17" ref="Z69:Z133">IF($Y69=" ",0,"ORG "&amp;$D69&amp;" - "&amp;$G69)</f>
        <v>0</v>
      </c>
      <c r="AA69" s="655" t="str">
        <f aca="true" t="shared" si="18" ref="AA69:AA133">$B69&amp;LEFT($C69,4)&amp;$D69&amp;$E69&amp;$F69</f>
        <v>560023102795612149</v>
      </c>
      <c r="AB69" s="638"/>
      <c r="AC69" s="638"/>
      <c r="AD69" s="638"/>
      <c r="AE69" s="638"/>
      <c r="AF69" s="638"/>
    </row>
    <row r="70" spans="1:32" ht="12.75" outlineLevel="2">
      <c r="A70" s="639">
        <f t="shared" si="12"/>
        <v>68</v>
      </c>
      <c r="B70" s="640" t="s">
        <v>606</v>
      </c>
      <c r="C70" s="641" t="s">
        <v>680</v>
      </c>
      <c r="D70" s="642">
        <v>2796</v>
      </c>
      <c r="E70" s="641">
        <v>6121</v>
      </c>
      <c r="F70" s="643">
        <v>49</v>
      </c>
      <c r="G70" s="642" t="s">
        <v>685</v>
      </c>
      <c r="H70" s="642">
        <v>2014</v>
      </c>
      <c r="I70" s="642">
        <v>2017</v>
      </c>
      <c r="J70" s="644">
        <v>9561</v>
      </c>
      <c r="K70" s="644"/>
      <c r="L70" s="645"/>
      <c r="M70" s="646"/>
      <c r="N70" s="646">
        <v>10</v>
      </c>
      <c r="O70" s="644"/>
      <c r="P70" s="647">
        <f t="shared" si="13"/>
        <v>0</v>
      </c>
      <c r="Q70" s="646">
        <v>700</v>
      </c>
      <c r="R70" s="646">
        <v>600</v>
      </c>
      <c r="S70" s="648">
        <v>8251</v>
      </c>
      <c r="T70" s="649" t="s">
        <v>682</v>
      </c>
      <c r="U70" s="650"/>
      <c r="V70" s="651">
        <f t="shared" si="15"/>
        <v>0</v>
      </c>
      <c r="W70" s="652">
        <f>IF(AND(P70&lt;'[1]koment'!$F$1,N70&gt;='[1]koment'!$F$2),"Komentovat","")</f>
      </c>
      <c r="X70" s="653" t="e">
        <f t="shared" si="14"/>
        <v>#REF!</v>
      </c>
      <c r="Y70" s="651" t="str">
        <f t="shared" si="16"/>
        <v> </v>
      </c>
      <c r="Z70" s="654">
        <f t="shared" si="17"/>
        <v>0</v>
      </c>
      <c r="AA70" s="655" t="str">
        <f t="shared" si="18"/>
        <v>560023102796612149</v>
      </c>
      <c r="AB70" s="638"/>
      <c r="AC70" s="638"/>
      <c r="AD70" s="638"/>
      <c r="AE70" s="638"/>
      <c r="AF70" s="638"/>
    </row>
    <row r="71" spans="1:32" ht="12.75" outlineLevel="2">
      <c r="A71" s="639">
        <f t="shared" si="12"/>
        <v>69</v>
      </c>
      <c r="B71" s="658" t="s">
        <v>606</v>
      </c>
      <c r="C71" s="667" t="s">
        <v>680</v>
      </c>
      <c r="D71" s="641">
        <v>2816</v>
      </c>
      <c r="E71" s="641">
        <v>6121</v>
      </c>
      <c r="F71" s="668">
        <v>49</v>
      </c>
      <c r="G71" s="642" t="s">
        <v>686</v>
      </c>
      <c r="H71" s="665">
        <v>2014</v>
      </c>
      <c r="I71" s="665">
        <v>2017</v>
      </c>
      <c r="J71" s="660">
        <v>4371</v>
      </c>
      <c r="K71" s="660"/>
      <c r="L71" s="660"/>
      <c r="M71" s="661"/>
      <c r="N71" s="661">
        <v>10</v>
      </c>
      <c r="O71" s="660"/>
      <c r="P71" s="647">
        <f t="shared" si="13"/>
        <v>0</v>
      </c>
      <c r="Q71" s="661">
        <v>600</v>
      </c>
      <c r="R71" s="661">
        <v>3761</v>
      </c>
      <c r="S71" s="662"/>
      <c r="T71" s="649" t="s">
        <v>682</v>
      </c>
      <c r="U71" s="650"/>
      <c r="V71" s="651">
        <f t="shared" si="15"/>
        <v>0</v>
      </c>
      <c r="W71" s="652">
        <f>IF(AND(P71&lt;'[1]koment'!$F$1,N71&gt;='[1]koment'!$F$2),"Komentovat","")</f>
      </c>
      <c r="X71" s="653" t="e">
        <f t="shared" si="14"/>
        <v>#REF!</v>
      </c>
      <c r="Y71" s="651" t="str">
        <f t="shared" si="16"/>
        <v> </v>
      </c>
      <c r="Z71" s="654">
        <f t="shared" si="17"/>
        <v>0</v>
      </c>
      <c r="AA71" s="655" t="str">
        <f t="shared" si="18"/>
        <v>560023102816612149</v>
      </c>
      <c r="AB71" s="638"/>
      <c r="AC71" s="638"/>
      <c r="AD71" s="638"/>
      <c r="AE71" s="638"/>
      <c r="AF71" s="638"/>
    </row>
    <row r="72" spans="1:32" ht="12.75" outlineLevel="2">
      <c r="A72" s="639">
        <f t="shared" si="12"/>
        <v>70</v>
      </c>
      <c r="B72" s="658" t="s">
        <v>606</v>
      </c>
      <c r="C72" s="667" t="s">
        <v>680</v>
      </c>
      <c r="D72" s="641">
        <v>2817</v>
      </c>
      <c r="E72" s="641">
        <v>6121</v>
      </c>
      <c r="F72" s="668">
        <v>49</v>
      </c>
      <c r="G72" s="642" t="s">
        <v>687</v>
      </c>
      <c r="H72" s="665">
        <v>2014</v>
      </c>
      <c r="I72" s="665">
        <v>2015</v>
      </c>
      <c r="J72" s="660">
        <v>23544</v>
      </c>
      <c r="K72" s="660"/>
      <c r="L72" s="660"/>
      <c r="M72" s="661"/>
      <c r="N72" s="661">
        <v>421</v>
      </c>
      <c r="O72" s="660">
        <v>1</v>
      </c>
      <c r="P72" s="647">
        <f t="shared" si="13"/>
        <v>0.0023752969121140144</v>
      </c>
      <c r="Q72" s="661">
        <v>22544</v>
      </c>
      <c r="R72" s="661"/>
      <c r="S72" s="662"/>
      <c r="T72" s="649" t="s">
        <v>682</v>
      </c>
      <c r="U72" s="650"/>
      <c r="V72" s="651">
        <f t="shared" si="15"/>
        <v>579</v>
      </c>
      <c r="W72" s="652">
        <f>IF(AND(P72&lt;'[1]koment'!$F$1,N72&gt;='[1]koment'!$F$2),"Komentovat","")</f>
      </c>
      <c r="X72" s="653" t="e">
        <f t="shared" si="14"/>
        <v>#REF!</v>
      </c>
      <c r="Y72" s="651">
        <f t="shared" si="16"/>
        <v>5600</v>
      </c>
      <c r="Z72" s="654" t="str">
        <f t="shared" si="17"/>
        <v>ORG 2817 - Rozšíření vodojemu Lesná</v>
      </c>
      <c r="AA72" s="655" t="str">
        <f t="shared" si="18"/>
        <v>560023102817612149</v>
      </c>
      <c r="AB72" s="638"/>
      <c r="AC72" s="638"/>
      <c r="AD72" s="638"/>
      <c r="AE72" s="638"/>
      <c r="AF72" s="638"/>
    </row>
    <row r="73" spans="1:32" ht="12.75" outlineLevel="2">
      <c r="A73" s="639">
        <f t="shared" si="12"/>
        <v>71</v>
      </c>
      <c r="B73" s="658" t="s">
        <v>606</v>
      </c>
      <c r="C73" s="667" t="s">
        <v>680</v>
      </c>
      <c r="D73" s="641">
        <v>2849</v>
      </c>
      <c r="E73" s="641">
        <v>6121</v>
      </c>
      <c r="F73" s="649">
        <v>49</v>
      </c>
      <c r="G73" s="642" t="s">
        <v>688</v>
      </c>
      <c r="H73" s="665">
        <v>2013</v>
      </c>
      <c r="I73" s="665">
        <v>2016</v>
      </c>
      <c r="J73" s="660">
        <v>8500</v>
      </c>
      <c r="K73" s="660"/>
      <c r="L73" s="660"/>
      <c r="M73" s="661">
        <v>500</v>
      </c>
      <c r="N73" s="661">
        <v>800</v>
      </c>
      <c r="O73" s="660">
        <v>783</v>
      </c>
      <c r="P73" s="647">
        <f t="shared" si="13"/>
        <v>0.97875</v>
      </c>
      <c r="Q73" s="661">
        <v>800</v>
      </c>
      <c r="R73" s="661">
        <v>6900</v>
      </c>
      <c r="S73" s="662"/>
      <c r="T73" s="649" t="s">
        <v>682</v>
      </c>
      <c r="U73" s="650"/>
      <c r="V73" s="651">
        <f t="shared" si="15"/>
        <v>0</v>
      </c>
      <c r="W73" s="652">
        <f>IF(AND(P73&lt;'[1]koment'!$F$1,N73&gt;='[1]koment'!$F$2),"Komentovat","")</f>
      </c>
      <c r="X73" s="653" t="e">
        <f t="shared" si="14"/>
        <v>#REF!</v>
      </c>
      <c r="Y73" s="651" t="str">
        <f t="shared" si="16"/>
        <v> </v>
      </c>
      <c r="Z73" s="654">
        <f t="shared" si="17"/>
        <v>0</v>
      </c>
      <c r="AA73" s="655" t="str">
        <f t="shared" si="18"/>
        <v>560023102849612149</v>
      </c>
      <c r="AB73" s="638"/>
      <c r="AC73" s="638"/>
      <c r="AD73" s="638"/>
      <c r="AE73" s="638"/>
      <c r="AF73" s="638"/>
    </row>
    <row r="74" spans="1:32" ht="12.75" outlineLevel="2">
      <c r="A74" s="639">
        <f t="shared" si="12"/>
        <v>72</v>
      </c>
      <c r="B74" s="658" t="s">
        <v>606</v>
      </c>
      <c r="C74" s="667" t="s">
        <v>680</v>
      </c>
      <c r="D74" s="641">
        <v>2874</v>
      </c>
      <c r="E74" s="641">
        <v>6121</v>
      </c>
      <c r="F74" s="668">
        <v>49</v>
      </c>
      <c r="G74" s="642" t="s">
        <v>689</v>
      </c>
      <c r="H74" s="641">
        <v>2013</v>
      </c>
      <c r="I74" s="641">
        <v>2018</v>
      </c>
      <c r="J74" s="660">
        <v>1600</v>
      </c>
      <c r="K74" s="660"/>
      <c r="L74" s="660"/>
      <c r="M74" s="661">
        <v>800</v>
      </c>
      <c r="N74" s="661">
        <v>800</v>
      </c>
      <c r="O74" s="660"/>
      <c r="P74" s="647">
        <f t="shared" si="13"/>
        <v>0</v>
      </c>
      <c r="Q74" s="661"/>
      <c r="R74" s="661"/>
      <c r="S74" s="662">
        <v>800</v>
      </c>
      <c r="T74" s="649" t="s">
        <v>682</v>
      </c>
      <c r="U74" s="650"/>
      <c r="V74" s="651">
        <f t="shared" si="15"/>
        <v>0</v>
      </c>
      <c r="W74" s="652">
        <f>IF(AND(P74&lt;'[1]koment'!$F$1,N74&gt;='[1]koment'!$F$2),"Komentovat","")</f>
      </c>
      <c r="X74" s="653" t="e">
        <f t="shared" si="14"/>
        <v>#REF!</v>
      </c>
      <c r="Y74" s="651" t="str">
        <f t="shared" si="16"/>
        <v> </v>
      </c>
      <c r="Z74" s="654">
        <f t="shared" si="17"/>
        <v>0</v>
      </c>
      <c r="AA74" s="655" t="str">
        <f t="shared" si="18"/>
        <v>560023102874612149</v>
      </c>
      <c r="AB74" s="638"/>
      <c r="AC74" s="638"/>
      <c r="AD74" s="638"/>
      <c r="AE74" s="638"/>
      <c r="AF74" s="638"/>
    </row>
    <row r="75" spans="1:32" ht="12.75" outlineLevel="2">
      <c r="A75" s="639">
        <f t="shared" si="12"/>
        <v>73</v>
      </c>
      <c r="B75" s="658" t="s">
        <v>606</v>
      </c>
      <c r="C75" s="667" t="s">
        <v>680</v>
      </c>
      <c r="D75" s="641">
        <v>2875</v>
      </c>
      <c r="E75" s="641">
        <v>6121</v>
      </c>
      <c r="F75" s="668">
        <v>49</v>
      </c>
      <c r="G75" s="642" t="s">
        <v>690</v>
      </c>
      <c r="H75" s="641">
        <v>2013</v>
      </c>
      <c r="I75" s="641">
        <v>2015</v>
      </c>
      <c r="J75" s="660">
        <v>14600</v>
      </c>
      <c r="K75" s="660"/>
      <c r="L75" s="660"/>
      <c r="M75" s="661">
        <v>9873</v>
      </c>
      <c r="N75" s="661">
        <v>1000</v>
      </c>
      <c r="O75" s="660">
        <v>689</v>
      </c>
      <c r="P75" s="647">
        <f t="shared" si="13"/>
        <v>0.689</v>
      </c>
      <c r="Q75" s="661">
        <v>12220</v>
      </c>
      <c r="R75" s="661"/>
      <c r="S75" s="662"/>
      <c r="T75" s="649" t="s">
        <v>682</v>
      </c>
      <c r="U75" s="650"/>
      <c r="V75" s="651">
        <f t="shared" si="15"/>
        <v>1380</v>
      </c>
      <c r="W75" s="652">
        <f>IF(AND(P75&lt;'[1]koment'!$F$1,N75&gt;='[1]koment'!$F$2),"Komentovat","")</f>
      </c>
      <c r="X75" s="653" t="e">
        <f t="shared" si="14"/>
        <v>#REF!</v>
      </c>
      <c r="Y75" s="651">
        <f t="shared" si="16"/>
        <v>5600</v>
      </c>
      <c r="Z75" s="654" t="str">
        <f t="shared" si="17"/>
        <v>ORG 2875 - Park Lužánky - rekonstrukce vodovodu</v>
      </c>
      <c r="AA75" s="655" t="str">
        <f t="shared" si="18"/>
        <v>560023102875612149</v>
      </c>
      <c r="AB75" s="638"/>
      <c r="AC75" s="638"/>
      <c r="AD75" s="638"/>
      <c r="AE75" s="638"/>
      <c r="AF75" s="638"/>
    </row>
    <row r="76" spans="1:32" ht="12.75" outlineLevel="2">
      <c r="A76" s="639">
        <f t="shared" si="12"/>
        <v>74</v>
      </c>
      <c r="B76" s="658" t="s">
        <v>606</v>
      </c>
      <c r="C76" s="667" t="s">
        <v>680</v>
      </c>
      <c r="D76" s="641">
        <v>2882</v>
      </c>
      <c r="E76" s="641">
        <v>6121</v>
      </c>
      <c r="F76" s="668">
        <v>49</v>
      </c>
      <c r="G76" s="642" t="s">
        <v>691</v>
      </c>
      <c r="H76" s="641">
        <v>2013</v>
      </c>
      <c r="I76" s="641">
        <v>2016</v>
      </c>
      <c r="J76" s="660">
        <v>7160</v>
      </c>
      <c r="K76" s="660"/>
      <c r="L76" s="660"/>
      <c r="M76" s="661">
        <v>750</v>
      </c>
      <c r="N76" s="661">
        <v>820</v>
      </c>
      <c r="O76" s="660">
        <v>816</v>
      </c>
      <c r="P76" s="647">
        <f t="shared" si="13"/>
        <v>0.9951219512195122</v>
      </c>
      <c r="Q76" s="661">
        <v>100</v>
      </c>
      <c r="R76" s="661">
        <v>6240</v>
      </c>
      <c r="S76" s="662"/>
      <c r="T76" s="649" t="s">
        <v>682</v>
      </c>
      <c r="U76" s="650"/>
      <c r="V76" s="651">
        <f t="shared" si="15"/>
        <v>0</v>
      </c>
      <c r="W76" s="652">
        <f>IF(AND(P76&lt;'[1]koment'!$F$1,N76&gt;='[1]koment'!$F$2),"Komentovat","")</f>
      </c>
      <c r="X76" s="653" t="e">
        <f t="shared" si="14"/>
        <v>#REF!</v>
      </c>
      <c r="Y76" s="651" t="str">
        <f t="shared" si="16"/>
        <v> </v>
      </c>
      <c r="Z76" s="654">
        <f t="shared" si="17"/>
        <v>0</v>
      </c>
      <c r="AA76" s="655" t="str">
        <f t="shared" si="18"/>
        <v>560023102882612149</v>
      </c>
      <c r="AB76" s="638"/>
      <c r="AC76" s="638"/>
      <c r="AD76" s="638"/>
      <c r="AE76" s="638"/>
      <c r="AF76" s="638"/>
    </row>
    <row r="77" spans="1:32" ht="12.75" outlineLevel="2">
      <c r="A77" s="639">
        <f t="shared" si="12"/>
        <v>75</v>
      </c>
      <c r="B77" s="658" t="s">
        <v>606</v>
      </c>
      <c r="C77" s="667" t="s">
        <v>680</v>
      </c>
      <c r="D77" s="641">
        <v>2911</v>
      </c>
      <c r="E77" s="641">
        <v>6121</v>
      </c>
      <c r="F77" s="668">
        <v>49</v>
      </c>
      <c r="G77" s="642" t="s">
        <v>692</v>
      </c>
      <c r="H77" s="641">
        <v>2012</v>
      </c>
      <c r="I77" s="641">
        <v>2014</v>
      </c>
      <c r="J77" s="660">
        <v>3370</v>
      </c>
      <c r="K77" s="660"/>
      <c r="L77" s="660">
        <f>323+3027</f>
        <v>3350</v>
      </c>
      <c r="M77" s="661">
        <v>20</v>
      </c>
      <c r="N77" s="661">
        <v>20</v>
      </c>
      <c r="O77" s="660"/>
      <c r="P77" s="647">
        <f t="shared" si="13"/>
        <v>0</v>
      </c>
      <c r="Q77" s="661"/>
      <c r="R77" s="661"/>
      <c r="S77" s="662"/>
      <c r="T77" s="649" t="s">
        <v>682</v>
      </c>
      <c r="U77" s="650"/>
      <c r="V77" s="651">
        <f t="shared" si="15"/>
        <v>0</v>
      </c>
      <c r="W77" s="652">
        <f>IF(AND(P77&lt;'[1]koment'!$F$1,N77&gt;='[1]koment'!$F$2),"Komentovat","")</f>
      </c>
      <c r="X77" s="653" t="e">
        <f t="shared" si="14"/>
        <v>#REF!</v>
      </c>
      <c r="Y77" s="651" t="str">
        <f t="shared" si="16"/>
        <v> </v>
      </c>
      <c r="Z77" s="654">
        <f t="shared" si="17"/>
        <v>0</v>
      </c>
      <c r="AA77" s="655" t="str">
        <f t="shared" si="18"/>
        <v>560023102911612149</v>
      </c>
      <c r="AB77" s="638"/>
      <c r="AC77" s="638"/>
      <c r="AD77" s="638"/>
      <c r="AE77" s="638"/>
      <c r="AF77" s="638"/>
    </row>
    <row r="78" spans="1:32" ht="12.75" outlineLevel="2">
      <c r="A78" s="639">
        <f t="shared" si="12"/>
        <v>76</v>
      </c>
      <c r="B78" s="658" t="s">
        <v>606</v>
      </c>
      <c r="C78" s="667" t="s">
        <v>680</v>
      </c>
      <c r="D78" s="641">
        <v>2916</v>
      </c>
      <c r="E78" s="641">
        <v>6121</v>
      </c>
      <c r="F78" s="668">
        <v>49</v>
      </c>
      <c r="G78" s="642" t="s">
        <v>693</v>
      </c>
      <c r="H78" s="641">
        <v>2012</v>
      </c>
      <c r="I78" s="641">
        <v>2014</v>
      </c>
      <c r="J78" s="660">
        <v>3007</v>
      </c>
      <c r="K78" s="660"/>
      <c r="L78" s="660">
        <f>191+53</f>
        <v>244</v>
      </c>
      <c r="M78" s="661">
        <v>2746</v>
      </c>
      <c r="N78" s="661">
        <v>2763</v>
      </c>
      <c r="O78" s="660">
        <v>2735</v>
      </c>
      <c r="P78" s="647">
        <f t="shared" si="13"/>
        <v>0.9898660875859573</v>
      </c>
      <c r="Q78" s="661"/>
      <c r="R78" s="661"/>
      <c r="S78" s="662"/>
      <c r="T78" s="649" t="s">
        <v>682</v>
      </c>
      <c r="U78" s="650"/>
      <c r="V78" s="651">
        <f t="shared" si="15"/>
        <v>0</v>
      </c>
      <c r="W78" s="652">
        <f>IF(AND(P78&lt;'[1]koment'!$F$1,N78&gt;='[1]koment'!$F$2),"Komentovat","")</f>
      </c>
      <c r="X78" s="653" t="e">
        <f t="shared" si="14"/>
        <v>#REF!</v>
      </c>
      <c r="Y78" s="651" t="str">
        <f t="shared" si="16"/>
        <v> </v>
      </c>
      <c r="Z78" s="654">
        <f t="shared" si="17"/>
        <v>0</v>
      </c>
      <c r="AA78" s="655" t="str">
        <f t="shared" si="18"/>
        <v>560023102916612149</v>
      </c>
      <c r="AB78" s="638"/>
      <c r="AC78" s="638"/>
      <c r="AD78" s="638"/>
      <c r="AE78" s="638"/>
      <c r="AF78" s="638"/>
    </row>
    <row r="79" spans="1:32" ht="12.75" outlineLevel="2">
      <c r="A79" s="639">
        <f t="shared" si="12"/>
        <v>77</v>
      </c>
      <c r="B79" s="658" t="s">
        <v>606</v>
      </c>
      <c r="C79" s="667" t="s">
        <v>680</v>
      </c>
      <c r="D79" s="641">
        <v>2917</v>
      </c>
      <c r="E79" s="641">
        <v>6121</v>
      </c>
      <c r="F79" s="668">
        <v>49</v>
      </c>
      <c r="G79" s="642" t="s">
        <v>694</v>
      </c>
      <c r="H79" s="641">
        <v>2012</v>
      </c>
      <c r="I79" s="641">
        <v>2015</v>
      </c>
      <c r="J79" s="660">
        <v>5390</v>
      </c>
      <c r="K79" s="660"/>
      <c r="L79" s="660"/>
      <c r="M79" s="661">
        <v>1000</v>
      </c>
      <c r="N79" s="661">
        <v>100</v>
      </c>
      <c r="O79" s="660">
        <v>13</v>
      </c>
      <c r="P79" s="647">
        <f t="shared" si="13"/>
        <v>0.13</v>
      </c>
      <c r="Q79" s="661">
        <v>420</v>
      </c>
      <c r="R79" s="661"/>
      <c r="S79" s="662"/>
      <c r="T79" s="649" t="s">
        <v>682</v>
      </c>
      <c r="U79" s="650"/>
      <c r="V79" s="651">
        <f t="shared" si="15"/>
        <v>4870</v>
      </c>
      <c r="W79" s="652">
        <f>IF(AND(P79&lt;'[1]koment'!$F$1,N79&gt;='[1]koment'!$F$2),"Komentovat","")</f>
      </c>
      <c r="X79" s="653" t="e">
        <f t="shared" si="14"/>
        <v>#REF!</v>
      </c>
      <c r="Y79" s="651">
        <f t="shared" si="16"/>
        <v>5600</v>
      </c>
      <c r="Z79" s="654" t="str">
        <f t="shared" si="17"/>
        <v>ORG 2917 - Modřická - výstavba vodovodu DN 200</v>
      </c>
      <c r="AA79" s="655" t="str">
        <f t="shared" si="18"/>
        <v>560023102917612149</v>
      </c>
      <c r="AB79" s="638"/>
      <c r="AC79" s="638"/>
      <c r="AD79" s="638"/>
      <c r="AE79" s="638"/>
      <c r="AF79" s="638"/>
    </row>
    <row r="80" spans="1:32" ht="12.75" outlineLevel="2">
      <c r="A80" s="639">
        <f t="shared" si="12"/>
        <v>78</v>
      </c>
      <c r="B80" s="658">
        <v>5600</v>
      </c>
      <c r="C80" s="667" t="s">
        <v>680</v>
      </c>
      <c r="D80" s="665">
        <v>2940</v>
      </c>
      <c r="E80" s="663" t="s">
        <v>695</v>
      </c>
      <c r="F80" s="649">
        <v>49</v>
      </c>
      <c r="G80" s="642" t="s">
        <v>696</v>
      </c>
      <c r="H80" s="663">
        <v>2011</v>
      </c>
      <c r="I80" s="665">
        <v>2013</v>
      </c>
      <c r="J80" s="660">
        <v>5800</v>
      </c>
      <c r="K80" s="660"/>
      <c r="L80" s="660">
        <f>693+5099</f>
        <v>5792</v>
      </c>
      <c r="M80" s="661"/>
      <c r="N80" s="661"/>
      <c r="O80" s="660"/>
      <c r="P80" s="647" t="str">
        <f t="shared" si="13"/>
        <v> </v>
      </c>
      <c r="Q80" s="661"/>
      <c r="R80" s="661"/>
      <c r="S80" s="662"/>
      <c r="T80" s="649" t="s">
        <v>682</v>
      </c>
      <c r="U80" s="650"/>
      <c r="V80" s="651">
        <f t="shared" si="15"/>
        <v>8</v>
      </c>
      <c r="W80" s="652">
        <f>IF(AND(P80&lt;'[1]koment'!$F$1,N80&gt;='[1]koment'!$F$2),"Komentovat","")</f>
      </c>
      <c r="X80" s="653" t="e">
        <f t="shared" si="14"/>
        <v>#REF!</v>
      </c>
      <c r="Y80" s="651">
        <f t="shared" si="16"/>
        <v>5600</v>
      </c>
      <c r="Z80" s="654" t="str">
        <f t="shared" si="17"/>
        <v>ORG 2940 - Marie Steyskalové - rekonstrukce vodovodu</v>
      </c>
      <c r="AA80" s="655" t="str">
        <f t="shared" si="18"/>
        <v>560023102940612149</v>
      </c>
      <c r="AB80" s="638"/>
      <c r="AC80" s="638"/>
      <c r="AD80" s="638"/>
      <c r="AE80" s="638"/>
      <c r="AF80" s="638"/>
    </row>
    <row r="81" spans="1:32" ht="12.75" outlineLevel="2">
      <c r="A81" s="639">
        <f t="shared" si="12"/>
        <v>79</v>
      </c>
      <c r="B81" s="658">
        <v>5600</v>
      </c>
      <c r="C81" s="667" t="s">
        <v>680</v>
      </c>
      <c r="D81" s="665">
        <v>2941</v>
      </c>
      <c r="E81" s="663" t="s">
        <v>695</v>
      </c>
      <c r="F81" s="649">
        <v>49</v>
      </c>
      <c r="G81" s="642" t="s">
        <v>697</v>
      </c>
      <c r="H81" s="663">
        <v>2011</v>
      </c>
      <c r="I81" s="665">
        <v>2013</v>
      </c>
      <c r="J81" s="660">
        <v>2598</v>
      </c>
      <c r="K81" s="660"/>
      <c r="L81" s="660">
        <f>310+2279</f>
        <v>2589</v>
      </c>
      <c r="M81" s="661"/>
      <c r="N81" s="661"/>
      <c r="O81" s="660"/>
      <c r="P81" s="647" t="str">
        <f t="shared" si="13"/>
        <v> </v>
      </c>
      <c r="Q81" s="661"/>
      <c r="R81" s="661"/>
      <c r="S81" s="662"/>
      <c r="T81" s="649" t="s">
        <v>682</v>
      </c>
      <c r="U81" s="650"/>
      <c r="V81" s="651">
        <f t="shared" si="15"/>
        <v>9</v>
      </c>
      <c r="W81" s="652">
        <f>IF(AND(P81&lt;'[1]koment'!$F$1,N81&gt;='[1]koment'!$F$2),"Komentovat","")</f>
      </c>
      <c r="X81" s="653" t="e">
        <f t="shared" si="14"/>
        <v>#REF!</v>
      </c>
      <c r="Y81" s="651">
        <f t="shared" si="16"/>
        <v>5600</v>
      </c>
      <c r="Z81" s="654" t="str">
        <f t="shared" si="17"/>
        <v>ORG 2941 - Ruský vrch - rekonstrukce vodovodu</v>
      </c>
      <c r="AA81" s="655" t="str">
        <f t="shared" si="18"/>
        <v>560023102941612149</v>
      </c>
      <c r="AB81" s="638"/>
      <c r="AC81" s="638"/>
      <c r="AD81" s="638"/>
      <c r="AE81" s="638"/>
      <c r="AF81" s="638"/>
    </row>
    <row r="82" spans="1:32" ht="12.75" outlineLevel="2">
      <c r="A82" s="639">
        <f t="shared" si="12"/>
        <v>80</v>
      </c>
      <c r="B82" s="658">
        <v>5600</v>
      </c>
      <c r="C82" s="667" t="s">
        <v>680</v>
      </c>
      <c r="D82" s="665">
        <v>2942</v>
      </c>
      <c r="E82" s="663" t="s">
        <v>695</v>
      </c>
      <c r="F82" s="649">
        <v>49</v>
      </c>
      <c r="G82" s="642" t="s">
        <v>698</v>
      </c>
      <c r="H82" s="663">
        <v>2011</v>
      </c>
      <c r="I82" s="663" t="s">
        <v>699</v>
      </c>
      <c r="J82" s="660">
        <v>3225</v>
      </c>
      <c r="K82" s="660"/>
      <c r="L82" s="660">
        <f>505+2689</f>
        <v>3194</v>
      </c>
      <c r="M82" s="661"/>
      <c r="N82" s="661"/>
      <c r="O82" s="660"/>
      <c r="P82" s="647" t="str">
        <f t="shared" si="13"/>
        <v> </v>
      </c>
      <c r="Q82" s="661"/>
      <c r="R82" s="661"/>
      <c r="S82" s="662"/>
      <c r="T82" s="649" t="s">
        <v>682</v>
      </c>
      <c r="U82" s="650"/>
      <c r="V82" s="651">
        <f t="shared" si="15"/>
        <v>31</v>
      </c>
      <c r="W82" s="652">
        <f>IF(AND(P82&lt;'[1]koment'!$F$1,N82&gt;='[1]koment'!$F$2),"Komentovat","")</f>
      </c>
      <c r="X82" s="653" t="e">
        <f t="shared" si="14"/>
        <v>#REF!</v>
      </c>
      <c r="Y82" s="651">
        <f t="shared" si="16"/>
        <v>5600</v>
      </c>
      <c r="Z82" s="654" t="str">
        <f t="shared" si="17"/>
        <v>ORG 2942 - Vranovská I - rekonstrukce vodovodu</v>
      </c>
      <c r="AA82" s="655" t="str">
        <f t="shared" si="18"/>
        <v>560023102942612149</v>
      </c>
      <c r="AB82" s="638"/>
      <c r="AC82" s="638"/>
      <c r="AD82" s="638"/>
      <c r="AE82" s="638"/>
      <c r="AF82" s="638"/>
    </row>
    <row r="83" spans="1:32" ht="12.75" outlineLevel="2">
      <c r="A83" s="639">
        <f t="shared" si="12"/>
        <v>81</v>
      </c>
      <c r="B83" s="663">
        <v>5600</v>
      </c>
      <c r="C83" s="667" t="s">
        <v>680</v>
      </c>
      <c r="D83" s="641">
        <v>2953</v>
      </c>
      <c r="E83" s="641">
        <v>6121</v>
      </c>
      <c r="F83" s="649">
        <v>49</v>
      </c>
      <c r="G83" s="642" t="s">
        <v>700</v>
      </c>
      <c r="H83" s="641">
        <v>2011</v>
      </c>
      <c r="I83" s="641">
        <v>2016</v>
      </c>
      <c r="J83" s="660">
        <v>25256</v>
      </c>
      <c r="K83" s="660"/>
      <c r="L83" s="660"/>
      <c r="M83" s="661">
        <v>2000</v>
      </c>
      <c r="N83" s="661">
        <v>500</v>
      </c>
      <c r="O83" s="660">
        <v>287</v>
      </c>
      <c r="P83" s="647">
        <f t="shared" si="13"/>
        <v>0.574</v>
      </c>
      <c r="Q83" s="661">
        <v>2000</v>
      </c>
      <c r="R83" s="661">
        <v>22256</v>
      </c>
      <c r="S83" s="662"/>
      <c r="T83" s="649" t="s">
        <v>682</v>
      </c>
      <c r="U83" s="650"/>
      <c r="V83" s="651">
        <f t="shared" si="15"/>
        <v>500</v>
      </c>
      <c r="W83" s="652">
        <f>IF(AND(P83&lt;'[1]koment'!$F$1,N83&gt;='[1]koment'!$F$2),"Komentovat","")</f>
      </c>
      <c r="X83" s="653" t="e">
        <f t="shared" si="14"/>
        <v>#REF!</v>
      </c>
      <c r="Y83" s="651">
        <f t="shared" si="16"/>
        <v>5600</v>
      </c>
      <c r="Z83" s="654" t="str">
        <f t="shared" si="17"/>
        <v>ORG 2953 - Viniční II - rekonstrukce vodovodu</v>
      </c>
      <c r="AA83" s="655" t="str">
        <f t="shared" si="18"/>
        <v>560023102953612149</v>
      </c>
      <c r="AB83" s="638"/>
      <c r="AC83" s="638"/>
      <c r="AD83" s="638"/>
      <c r="AE83" s="638"/>
      <c r="AF83" s="638"/>
    </row>
    <row r="84" spans="1:32" ht="12.75" outlineLevel="2">
      <c r="A84" s="639">
        <f t="shared" si="12"/>
        <v>82</v>
      </c>
      <c r="B84" s="658" t="s">
        <v>606</v>
      </c>
      <c r="C84" s="667" t="s">
        <v>680</v>
      </c>
      <c r="D84" s="641">
        <v>2975</v>
      </c>
      <c r="E84" s="641">
        <v>6121</v>
      </c>
      <c r="F84" s="649">
        <v>49</v>
      </c>
      <c r="G84" s="642" t="s">
        <v>701</v>
      </c>
      <c r="H84" s="665">
        <v>2010</v>
      </c>
      <c r="I84" s="665">
        <v>2015</v>
      </c>
      <c r="J84" s="660">
        <v>21100</v>
      </c>
      <c r="K84" s="660"/>
      <c r="L84" s="660">
        <f>912</f>
        <v>912</v>
      </c>
      <c r="M84" s="661">
        <v>22394</v>
      </c>
      <c r="N84" s="661">
        <v>6452</v>
      </c>
      <c r="O84" s="660">
        <v>3843</v>
      </c>
      <c r="P84" s="647">
        <f t="shared" si="13"/>
        <v>0.5956292622442654</v>
      </c>
      <c r="Q84" s="661">
        <v>6000</v>
      </c>
      <c r="R84" s="661"/>
      <c r="S84" s="662"/>
      <c r="T84" s="649" t="s">
        <v>682</v>
      </c>
      <c r="U84" s="650"/>
      <c r="V84" s="651">
        <f t="shared" si="15"/>
        <v>7736</v>
      </c>
      <c r="W84" s="652" t="str">
        <f>IF(AND(P84&lt;'[1]koment'!$F$1,N84&gt;='[1]koment'!$F$2),"Komentovat","")</f>
        <v>Komentovat</v>
      </c>
      <c r="X84" s="653" t="e">
        <f t="shared" si="14"/>
        <v>#REF!</v>
      </c>
      <c r="Y84" s="651">
        <f t="shared" si="16"/>
        <v>5600</v>
      </c>
      <c r="Z84" s="654" t="str">
        <f t="shared" si="17"/>
        <v>ORG 2975 - Elišky Krásnohorské - rekonstrukce vodovodu</v>
      </c>
      <c r="AA84" s="655" t="str">
        <f t="shared" si="18"/>
        <v>560023102975612149</v>
      </c>
      <c r="AB84" s="638"/>
      <c r="AC84" s="638"/>
      <c r="AD84" s="638"/>
      <c r="AE84" s="638"/>
      <c r="AF84" s="638"/>
    </row>
    <row r="85" spans="1:32" ht="12.75" outlineLevel="2">
      <c r="A85" s="639">
        <f t="shared" si="12"/>
        <v>83</v>
      </c>
      <c r="B85" s="658" t="s">
        <v>606</v>
      </c>
      <c r="C85" s="667" t="s">
        <v>680</v>
      </c>
      <c r="D85" s="641">
        <v>2991</v>
      </c>
      <c r="E85" s="641">
        <v>6121</v>
      </c>
      <c r="F85" s="649">
        <v>49</v>
      </c>
      <c r="G85" s="642" t="s">
        <v>702</v>
      </c>
      <c r="H85" s="665">
        <v>2010</v>
      </c>
      <c r="I85" s="665">
        <v>2013</v>
      </c>
      <c r="J85" s="660">
        <v>6430</v>
      </c>
      <c r="K85" s="660"/>
      <c r="L85" s="660">
        <f>619+2283+3497</f>
        <v>6399</v>
      </c>
      <c r="M85" s="661"/>
      <c r="N85" s="661"/>
      <c r="O85" s="660"/>
      <c r="P85" s="647" t="str">
        <f t="shared" si="13"/>
        <v> </v>
      </c>
      <c r="Q85" s="661"/>
      <c r="R85" s="661"/>
      <c r="S85" s="662"/>
      <c r="T85" s="649" t="s">
        <v>682</v>
      </c>
      <c r="U85" s="650"/>
      <c r="V85" s="651">
        <f t="shared" si="15"/>
        <v>31</v>
      </c>
      <c r="W85" s="652">
        <f>IF(AND(P85&lt;'[1]koment'!$F$1,N85&gt;='[1]koment'!$F$2),"Komentovat","")</f>
      </c>
      <c r="X85" s="653" t="e">
        <f t="shared" si="14"/>
        <v>#REF!</v>
      </c>
      <c r="Y85" s="651">
        <f t="shared" si="16"/>
        <v>5600</v>
      </c>
      <c r="Z85" s="654" t="str">
        <f t="shared" si="17"/>
        <v>ORG 2991 - Chudobova - rekonstrukce vodovodu</v>
      </c>
      <c r="AA85" s="655" t="str">
        <f t="shared" si="18"/>
        <v>560023102991612149</v>
      </c>
      <c r="AB85" s="638"/>
      <c r="AC85" s="638"/>
      <c r="AD85" s="638"/>
      <c r="AE85" s="638"/>
      <c r="AF85" s="638"/>
    </row>
    <row r="86" spans="1:32" ht="12.75" outlineLevel="2">
      <c r="A86" s="639">
        <f t="shared" si="12"/>
        <v>84</v>
      </c>
      <c r="B86" s="658" t="s">
        <v>606</v>
      </c>
      <c r="C86" s="667" t="s">
        <v>680</v>
      </c>
      <c r="D86" s="641">
        <v>3085</v>
      </c>
      <c r="E86" s="641">
        <v>6121</v>
      </c>
      <c r="F86" s="649">
        <v>49</v>
      </c>
      <c r="G86" s="642" t="s">
        <v>703</v>
      </c>
      <c r="H86" s="665">
        <v>2009</v>
      </c>
      <c r="I86" s="641">
        <v>2013</v>
      </c>
      <c r="J86" s="660">
        <v>88416</v>
      </c>
      <c r="K86" s="660"/>
      <c r="L86" s="660">
        <f>2197+30446+55373+390</f>
        <v>88406</v>
      </c>
      <c r="M86" s="661"/>
      <c r="N86" s="661"/>
      <c r="O86" s="660"/>
      <c r="P86" s="647" t="str">
        <f t="shared" si="13"/>
        <v> </v>
      </c>
      <c r="Q86" s="661"/>
      <c r="R86" s="661"/>
      <c r="S86" s="662"/>
      <c r="T86" s="649" t="s">
        <v>682</v>
      </c>
      <c r="U86" s="650"/>
      <c r="V86" s="651">
        <f t="shared" si="15"/>
        <v>10</v>
      </c>
      <c r="W86" s="652">
        <f>IF(AND(P86&lt;'[1]koment'!$F$1,N86&gt;='[1]koment'!$F$2),"Komentovat","")</f>
      </c>
      <c r="X86" s="653" t="e">
        <f t="shared" si="14"/>
        <v>#REF!</v>
      </c>
      <c r="Y86" s="651">
        <f t="shared" si="16"/>
        <v>5600</v>
      </c>
      <c r="Z86" s="654" t="str">
        <f t="shared" si="17"/>
        <v>ORG 3085 - Přívod.a zásob. řád Bosonohy-Kamen.vrch</v>
      </c>
      <c r="AA86" s="655" t="str">
        <f t="shared" si="18"/>
        <v>560023103085612149</v>
      </c>
      <c r="AB86" s="638"/>
      <c r="AC86" s="638"/>
      <c r="AD86" s="638"/>
      <c r="AE86" s="638"/>
      <c r="AF86" s="638"/>
    </row>
    <row r="87" spans="1:32" ht="12.75" outlineLevel="2">
      <c r="A87" s="639">
        <f t="shared" si="12"/>
        <v>85</v>
      </c>
      <c r="B87" s="658" t="s">
        <v>606</v>
      </c>
      <c r="C87" s="667" t="s">
        <v>680</v>
      </c>
      <c r="D87" s="641">
        <v>3106</v>
      </c>
      <c r="E87" s="641">
        <v>6121</v>
      </c>
      <c r="F87" s="649">
        <v>49</v>
      </c>
      <c r="G87" s="642" t="s">
        <v>704</v>
      </c>
      <c r="H87" s="665">
        <v>2009</v>
      </c>
      <c r="I87" s="665">
        <v>2013</v>
      </c>
      <c r="J87" s="660">
        <v>5464</v>
      </c>
      <c r="K87" s="660"/>
      <c r="L87" s="660">
        <f>556+4238+658</f>
        <v>5452</v>
      </c>
      <c r="M87" s="661"/>
      <c r="N87" s="661"/>
      <c r="O87" s="660"/>
      <c r="P87" s="647" t="str">
        <f t="shared" si="13"/>
        <v> </v>
      </c>
      <c r="Q87" s="661"/>
      <c r="R87" s="661"/>
      <c r="S87" s="662"/>
      <c r="T87" s="649" t="s">
        <v>682</v>
      </c>
      <c r="U87" s="650"/>
      <c r="V87" s="651">
        <f t="shared" si="15"/>
        <v>12</v>
      </c>
      <c r="W87" s="652">
        <f>IF(AND(P87&lt;'[1]koment'!$F$1,N87&gt;='[1]koment'!$F$2),"Komentovat","")</f>
      </c>
      <c r="X87" s="653" t="e">
        <f t="shared" si="14"/>
        <v>#REF!</v>
      </c>
      <c r="Y87" s="651">
        <f t="shared" si="16"/>
        <v>5600</v>
      </c>
      <c r="Z87" s="654" t="str">
        <f t="shared" si="17"/>
        <v>ORG 3106 - Šámalova - rekonstrukce vodovodu</v>
      </c>
      <c r="AA87" s="655" t="str">
        <f t="shared" si="18"/>
        <v>560023103106612149</v>
      </c>
      <c r="AB87" s="638"/>
      <c r="AC87" s="638"/>
      <c r="AD87" s="638"/>
      <c r="AE87" s="638"/>
      <c r="AF87" s="638"/>
    </row>
    <row r="88" spans="1:32" ht="12.75" outlineLevel="2">
      <c r="A88" s="639">
        <f t="shared" si="12"/>
        <v>86</v>
      </c>
      <c r="B88" s="658" t="s">
        <v>606</v>
      </c>
      <c r="C88" s="667" t="s">
        <v>680</v>
      </c>
      <c r="D88" s="641">
        <v>3124</v>
      </c>
      <c r="E88" s="641">
        <v>6121</v>
      </c>
      <c r="F88" s="649">
        <v>49</v>
      </c>
      <c r="G88" s="642" t="s">
        <v>705</v>
      </c>
      <c r="H88" s="665">
        <v>2008</v>
      </c>
      <c r="I88" s="641">
        <v>2016</v>
      </c>
      <c r="J88" s="660">
        <v>986</v>
      </c>
      <c r="K88" s="660"/>
      <c r="L88" s="660">
        <v>986</v>
      </c>
      <c r="M88" s="661">
        <v>1000</v>
      </c>
      <c r="N88" s="661"/>
      <c r="O88" s="660"/>
      <c r="P88" s="647" t="str">
        <f t="shared" si="13"/>
        <v> </v>
      </c>
      <c r="Q88" s="661"/>
      <c r="R88" s="661"/>
      <c r="S88" s="662"/>
      <c r="T88" s="649" t="s">
        <v>682</v>
      </c>
      <c r="U88" s="650"/>
      <c r="V88" s="651">
        <f t="shared" si="15"/>
        <v>0</v>
      </c>
      <c r="W88" s="652">
        <f>IF(AND(P88&lt;'[1]koment'!$F$1,N88&gt;='[1]koment'!$F$2),"Komentovat","")</f>
      </c>
      <c r="X88" s="653" t="e">
        <f t="shared" si="14"/>
        <v>#REF!</v>
      </c>
      <c r="Y88" s="651" t="str">
        <f t="shared" si="16"/>
        <v> </v>
      </c>
      <c r="Z88" s="654">
        <f t="shared" si="17"/>
        <v>0</v>
      </c>
      <c r="AA88" s="655" t="str">
        <f t="shared" si="18"/>
        <v>560023103124612149</v>
      </c>
      <c r="AB88" s="638"/>
      <c r="AC88" s="638"/>
      <c r="AD88" s="638"/>
      <c r="AE88" s="638"/>
      <c r="AF88" s="638"/>
    </row>
    <row r="89" spans="1:32" ht="12.75" outlineLevel="2">
      <c r="A89" s="639">
        <f t="shared" si="12"/>
        <v>87</v>
      </c>
      <c r="B89" s="658" t="s">
        <v>606</v>
      </c>
      <c r="C89" s="667" t="s">
        <v>680</v>
      </c>
      <c r="D89" s="641">
        <v>3161</v>
      </c>
      <c r="E89" s="641">
        <v>6121</v>
      </c>
      <c r="F89" s="649">
        <v>49</v>
      </c>
      <c r="G89" s="642" t="s">
        <v>706</v>
      </c>
      <c r="H89" s="665">
        <v>2007</v>
      </c>
      <c r="I89" s="665">
        <v>2017</v>
      </c>
      <c r="J89" s="660">
        <v>1900</v>
      </c>
      <c r="K89" s="660"/>
      <c r="L89" s="660"/>
      <c r="M89" s="661"/>
      <c r="N89" s="661"/>
      <c r="O89" s="660"/>
      <c r="P89" s="647" t="str">
        <f t="shared" si="13"/>
        <v> </v>
      </c>
      <c r="Q89" s="661"/>
      <c r="R89" s="661"/>
      <c r="S89" s="662">
        <v>1900</v>
      </c>
      <c r="T89" s="649" t="s">
        <v>682</v>
      </c>
      <c r="U89" s="650"/>
      <c r="V89" s="651">
        <f t="shared" si="15"/>
        <v>0</v>
      </c>
      <c r="W89" s="652">
        <f>IF(AND(P89&lt;'[1]koment'!$F$1,N89&gt;='[1]koment'!$F$2),"Komentovat","")</f>
      </c>
      <c r="X89" s="653" t="e">
        <f t="shared" si="14"/>
        <v>#REF!</v>
      </c>
      <c r="Y89" s="651" t="str">
        <f t="shared" si="16"/>
        <v> </v>
      </c>
      <c r="Z89" s="654">
        <f t="shared" si="17"/>
        <v>0</v>
      </c>
      <c r="AA89" s="655" t="str">
        <f t="shared" si="18"/>
        <v>560023103161612149</v>
      </c>
      <c r="AB89" s="638"/>
      <c r="AC89" s="638"/>
      <c r="AD89" s="638"/>
      <c r="AE89" s="638"/>
      <c r="AF89" s="638"/>
    </row>
    <row r="90" spans="1:32" ht="12.75" outlineLevel="2">
      <c r="A90" s="639">
        <f t="shared" si="12"/>
        <v>88</v>
      </c>
      <c r="B90" s="658" t="s">
        <v>606</v>
      </c>
      <c r="C90" s="667" t="s">
        <v>680</v>
      </c>
      <c r="D90" s="641">
        <v>3203</v>
      </c>
      <c r="E90" s="641">
        <v>6121</v>
      </c>
      <c r="F90" s="649">
        <v>49</v>
      </c>
      <c r="G90" s="642" t="s">
        <v>707</v>
      </c>
      <c r="H90" s="665">
        <v>2006</v>
      </c>
      <c r="I90" s="665">
        <v>2017</v>
      </c>
      <c r="J90" s="660">
        <v>30000</v>
      </c>
      <c r="K90" s="660"/>
      <c r="L90" s="660">
        <f>18245+913</f>
        <v>19158</v>
      </c>
      <c r="M90" s="661">
        <v>2000</v>
      </c>
      <c r="N90" s="661"/>
      <c r="O90" s="660"/>
      <c r="P90" s="647" t="str">
        <f t="shared" si="13"/>
        <v> </v>
      </c>
      <c r="Q90" s="661">
        <v>2000</v>
      </c>
      <c r="R90" s="661">
        <v>500</v>
      </c>
      <c r="S90" s="662">
        <v>8342</v>
      </c>
      <c r="T90" s="649" t="s">
        <v>682</v>
      </c>
      <c r="U90" s="650"/>
      <c r="V90" s="651">
        <f t="shared" si="15"/>
        <v>0</v>
      </c>
      <c r="W90" s="652">
        <f>IF(AND(P90&lt;'[1]koment'!$F$1,N90&gt;='[1]koment'!$F$2),"Komentovat","")</f>
      </c>
      <c r="X90" s="653" t="e">
        <f t="shared" si="14"/>
        <v>#REF!</v>
      </c>
      <c r="Y90" s="651" t="str">
        <f t="shared" si="16"/>
        <v> </v>
      </c>
      <c r="Z90" s="654">
        <f t="shared" si="17"/>
        <v>0</v>
      </c>
      <c r="AA90" s="655" t="str">
        <f t="shared" si="18"/>
        <v>560023103203612149</v>
      </c>
      <c r="AB90" s="638"/>
      <c r="AC90" s="638"/>
      <c r="AD90" s="638"/>
      <c r="AE90" s="638"/>
      <c r="AF90" s="638"/>
    </row>
    <row r="91" spans="1:32" ht="12.75" outlineLevel="2">
      <c r="A91" s="639">
        <f t="shared" si="12"/>
        <v>89</v>
      </c>
      <c r="B91" s="658" t="s">
        <v>606</v>
      </c>
      <c r="C91" s="667" t="s">
        <v>680</v>
      </c>
      <c r="D91" s="641">
        <v>3362</v>
      </c>
      <c r="E91" s="641">
        <v>6121</v>
      </c>
      <c r="F91" s="649">
        <v>49</v>
      </c>
      <c r="G91" s="642" t="s">
        <v>708</v>
      </c>
      <c r="H91" s="665">
        <v>2005</v>
      </c>
      <c r="I91" s="641">
        <v>2013</v>
      </c>
      <c r="J91" s="660">
        <v>9380</v>
      </c>
      <c r="K91" s="660"/>
      <c r="L91" s="660">
        <v>9380</v>
      </c>
      <c r="M91" s="661"/>
      <c r="N91" s="661"/>
      <c r="O91" s="660"/>
      <c r="P91" s="647" t="str">
        <f t="shared" si="13"/>
        <v> </v>
      </c>
      <c r="Q91" s="661"/>
      <c r="R91" s="661"/>
      <c r="S91" s="662">
        <v>38770</v>
      </c>
      <c r="T91" s="649" t="s">
        <v>682</v>
      </c>
      <c r="U91" s="650"/>
      <c r="V91" s="651">
        <f t="shared" si="15"/>
        <v>-38770</v>
      </c>
      <c r="W91" s="652">
        <f>IF(AND(P91&lt;'[1]koment'!$F$1,N91&gt;='[1]koment'!$F$2),"Komentovat","")</f>
      </c>
      <c r="X91" s="653" t="e">
        <f t="shared" si="14"/>
        <v>#REF!</v>
      </c>
      <c r="Y91" s="651">
        <f t="shared" si="16"/>
        <v>5600</v>
      </c>
      <c r="Z91" s="654" t="str">
        <f t="shared" si="17"/>
        <v>ORG 3362 - Přepásmování vodovodu - Sportovní - I.a II</v>
      </c>
      <c r="AA91" s="655" t="str">
        <f t="shared" si="18"/>
        <v>560023103362612149</v>
      </c>
      <c r="AB91" s="638"/>
      <c r="AC91" s="638"/>
      <c r="AD91" s="638"/>
      <c r="AE91" s="638"/>
      <c r="AF91" s="638"/>
    </row>
    <row r="92" spans="1:32" ht="12.75" outlineLevel="2">
      <c r="A92" s="639">
        <f t="shared" si="12"/>
        <v>90</v>
      </c>
      <c r="B92" s="658" t="s">
        <v>606</v>
      </c>
      <c r="C92" s="667" t="s">
        <v>680</v>
      </c>
      <c r="D92" s="641">
        <v>3403</v>
      </c>
      <c r="E92" s="641">
        <v>6121</v>
      </c>
      <c r="F92" s="649">
        <v>49</v>
      </c>
      <c r="G92" s="642" t="s">
        <v>709</v>
      </c>
      <c r="H92" s="665">
        <v>2004</v>
      </c>
      <c r="I92" s="641">
        <v>2013</v>
      </c>
      <c r="J92" s="660">
        <v>103</v>
      </c>
      <c r="K92" s="660"/>
      <c r="L92" s="660">
        <v>103</v>
      </c>
      <c r="M92" s="661"/>
      <c r="N92" s="661"/>
      <c r="O92" s="660"/>
      <c r="P92" s="647" t="str">
        <f t="shared" si="13"/>
        <v> </v>
      </c>
      <c r="Q92" s="661"/>
      <c r="R92" s="661"/>
      <c r="S92" s="662"/>
      <c r="T92" s="649" t="s">
        <v>682</v>
      </c>
      <c r="U92" s="650"/>
      <c r="V92" s="651">
        <f t="shared" si="15"/>
        <v>0</v>
      </c>
      <c r="W92" s="652">
        <f>IF(AND(P92&lt;'[1]koment'!$F$1,N92&gt;='[1]koment'!$F$2),"Komentovat","")</f>
      </c>
      <c r="X92" s="653" t="e">
        <f t="shared" si="14"/>
        <v>#REF!</v>
      </c>
      <c r="Y92" s="651" t="str">
        <f t="shared" si="16"/>
        <v> </v>
      </c>
      <c r="Z92" s="654">
        <f t="shared" si="17"/>
        <v>0</v>
      </c>
      <c r="AA92" s="655" t="str">
        <f t="shared" si="18"/>
        <v>560023103403612149</v>
      </c>
      <c r="AB92" s="638"/>
      <c r="AC92" s="638"/>
      <c r="AD92" s="638"/>
      <c r="AE92" s="638"/>
      <c r="AF92" s="638"/>
    </row>
    <row r="93" spans="1:32" ht="12.75" outlineLevel="2">
      <c r="A93" s="639">
        <f t="shared" si="12"/>
        <v>91</v>
      </c>
      <c r="B93" s="658" t="s">
        <v>606</v>
      </c>
      <c r="C93" s="667" t="s">
        <v>680</v>
      </c>
      <c r="D93" s="641">
        <v>3404</v>
      </c>
      <c r="E93" s="641">
        <v>6121</v>
      </c>
      <c r="F93" s="649">
        <v>49</v>
      </c>
      <c r="G93" s="642" t="s">
        <v>710</v>
      </c>
      <c r="H93" s="665">
        <v>2004</v>
      </c>
      <c r="I93" s="665">
        <v>2015</v>
      </c>
      <c r="J93" s="660">
        <v>13087</v>
      </c>
      <c r="K93" s="660"/>
      <c r="L93" s="660">
        <f>194+52</f>
        <v>246</v>
      </c>
      <c r="M93" s="661">
        <v>12833</v>
      </c>
      <c r="N93" s="661">
        <v>4600</v>
      </c>
      <c r="O93" s="660">
        <v>35</v>
      </c>
      <c r="P93" s="647">
        <f t="shared" si="13"/>
        <v>0.007608695652173913</v>
      </c>
      <c r="Q93" s="661">
        <v>200</v>
      </c>
      <c r="R93" s="661"/>
      <c r="S93" s="662"/>
      <c r="T93" s="649" t="s">
        <v>682</v>
      </c>
      <c r="U93" s="650"/>
      <c r="V93" s="651">
        <f t="shared" si="15"/>
        <v>8041</v>
      </c>
      <c r="W93" s="652" t="str">
        <f>IF(AND(P93&lt;'[1]koment'!$F$1,N93&gt;='[1]koment'!$F$2),"Komentovat","")</f>
        <v>Komentovat</v>
      </c>
      <c r="X93" s="653" t="e">
        <f t="shared" si="14"/>
        <v>#REF!</v>
      </c>
      <c r="Y93" s="651">
        <f t="shared" si="16"/>
        <v>5600</v>
      </c>
      <c r="Z93" s="654" t="str">
        <f t="shared" si="17"/>
        <v>ORG 3404 - Lány - rekonstrukce vodovodu</v>
      </c>
      <c r="AA93" s="655" t="str">
        <f t="shared" si="18"/>
        <v>560023103404612149</v>
      </c>
      <c r="AB93" s="638"/>
      <c r="AC93" s="638"/>
      <c r="AD93" s="638"/>
      <c r="AE93" s="638"/>
      <c r="AF93" s="638"/>
    </row>
    <row r="94" spans="1:32" ht="12.75" outlineLevel="2">
      <c r="A94" s="639">
        <f t="shared" si="12"/>
        <v>92</v>
      </c>
      <c r="B94" s="658" t="s">
        <v>606</v>
      </c>
      <c r="C94" s="667" t="s">
        <v>680</v>
      </c>
      <c r="D94" s="641">
        <v>3409</v>
      </c>
      <c r="E94" s="641">
        <v>6121</v>
      </c>
      <c r="F94" s="649">
        <v>49</v>
      </c>
      <c r="G94" s="642" t="s">
        <v>711</v>
      </c>
      <c r="H94" s="665">
        <v>2004</v>
      </c>
      <c r="I94" s="641">
        <v>2017</v>
      </c>
      <c r="J94" s="660"/>
      <c r="K94" s="660"/>
      <c r="L94" s="660"/>
      <c r="M94" s="661"/>
      <c r="N94" s="661"/>
      <c r="O94" s="660"/>
      <c r="P94" s="647" t="str">
        <f t="shared" si="13"/>
        <v> </v>
      </c>
      <c r="Q94" s="661"/>
      <c r="R94" s="661"/>
      <c r="S94" s="662">
        <v>3670</v>
      </c>
      <c r="T94" s="649" t="s">
        <v>682</v>
      </c>
      <c r="U94" s="650"/>
      <c r="V94" s="651">
        <f t="shared" si="15"/>
        <v>-3670</v>
      </c>
      <c r="W94" s="652">
        <f>IF(AND(P94&lt;'[1]koment'!$F$1,N94&gt;='[1]koment'!$F$2),"Komentovat","")</f>
      </c>
      <c r="X94" s="653" t="e">
        <f t="shared" si="14"/>
        <v>#REF!</v>
      </c>
      <c r="Y94" s="651">
        <f t="shared" si="16"/>
        <v>5600</v>
      </c>
      <c r="Z94" s="654" t="str">
        <f t="shared" si="17"/>
        <v>ORG 3409 - Nám. Míru I. - rekonstrukce vodovodu</v>
      </c>
      <c r="AA94" s="655" t="str">
        <f t="shared" si="18"/>
        <v>560023103409612149</v>
      </c>
      <c r="AB94" s="638"/>
      <c r="AC94" s="638"/>
      <c r="AD94" s="638"/>
      <c r="AE94" s="638"/>
      <c r="AF94" s="638"/>
    </row>
    <row r="95" spans="1:32" ht="12.75" outlineLevel="2">
      <c r="A95" s="639">
        <f t="shared" si="12"/>
        <v>93</v>
      </c>
      <c r="B95" s="658" t="s">
        <v>606</v>
      </c>
      <c r="C95" s="667" t="s">
        <v>680</v>
      </c>
      <c r="D95" s="641">
        <v>4052</v>
      </c>
      <c r="E95" s="641">
        <v>6122</v>
      </c>
      <c r="F95" s="649">
        <v>49</v>
      </c>
      <c r="G95" s="642" t="s">
        <v>712</v>
      </c>
      <c r="H95" s="665">
        <v>1996</v>
      </c>
      <c r="I95" s="641">
        <v>2018</v>
      </c>
      <c r="J95" s="660">
        <v>98988</v>
      </c>
      <c r="K95" s="660"/>
      <c r="L95" s="660">
        <f>55189+5000+5000+3969</f>
        <v>69158</v>
      </c>
      <c r="M95" s="661">
        <v>5000</v>
      </c>
      <c r="N95" s="661">
        <v>5000</v>
      </c>
      <c r="O95" s="660">
        <v>4452</v>
      </c>
      <c r="P95" s="647">
        <f t="shared" si="13"/>
        <v>0.8904</v>
      </c>
      <c r="Q95" s="661">
        <v>5000</v>
      </c>
      <c r="R95" s="661"/>
      <c r="S95" s="662">
        <v>23799</v>
      </c>
      <c r="T95" s="649" t="s">
        <v>682</v>
      </c>
      <c r="U95" s="669"/>
      <c r="V95" s="651">
        <f t="shared" si="15"/>
        <v>-3969</v>
      </c>
      <c r="W95" s="652">
        <f>IF(AND(P95&lt;'[1]koment'!$F$1,N95&gt;='[1]koment'!$F$2),"Komentovat","")</f>
      </c>
      <c r="X95" s="653" t="e">
        <f t="shared" si="14"/>
        <v>#REF!</v>
      </c>
      <c r="Y95" s="651">
        <f t="shared" si="16"/>
        <v>5600</v>
      </c>
      <c r="Z95" s="654" t="str">
        <f t="shared" si="17"/>
        <v>ORG 4052 - Čerpací stanice - rekonstrukce armatur a strojů</v>
      </c>
      <c r="AA95" s="655" t="str">
        <f t="shared" si="18"/>
        <v>560023104052612249</v>
      </c>
      <c r="AB95" s="638"/>
      <c r="AC95" s="638"/>
      <c r="AD95" s="638"/>
      <c r="AE95" s="638"/>
      <c r="AF95" s="638"/>
    </row>
    <row r="96" spans="1:32" ht="12.75" outlineLevel="2">
      <c r="A96" s="639">
        <f t="shared" si="12"/>
        <v>94</v>
      </c>
      <c r="B96" s="658" t="s">
        <v>606</v>
      </c>
      <c r="C96" s="667" t="s">
        <v>680</v>
      </c>
      <c r="D96" s="641">
        <v>4193</v>
      </c>
      <c r="E96" s="641">
        <v>6121</v>
      </c>
      <c r="F96" s="649">
        <v>49</v>
      </c>
      <c r="G96" s="642" t="s">
        <v>713</v>
      </c>
      <c r="H96" s="665">
        <v>1998</v>
      </c>
      <c r="I96" s="665">
        <v>2018</v>
      </c>
      <c r="J96" s="660">
        <v>251230</v>
      </c>
      <c r="K96" s="660"/>
      <c r="L96" s="660">
        <f>162395+5548+166+616</f>
        <v>168725</v>
      </c>
      <c r="M96" s="661">
        <v>28000</v>
      </c>
      <c r="N96" s="661">
        <v>20600</v>
      </c>
      <c r="O96" s="660">
        <v>19994</v>
      </c>
      <c r="P96" s="647">
        <f t="shared" si="13"/>
        <v>0.9705825242718447</v>
      </c>
      <c r="Q96" s="661">
        <v>34691</v>
      </c>
      <c r="R96" s="661">
        <v>5580</v>
      </c>
      <c r="S96" s="662">
        <v>2234</v>
      </c>
      <c r="T96" s="649" t="s">
        <v>682</v>
      </c>
      <c r="U96" s="650"/>
      <c r="V96" s="651">
        <f t="shared" si="15"/>
        <v>19400</v>
      </c>
      <c r="W96" s="652">
        <f>IF(AND(P96&lt;'[1]koment'!$F$1,N96&gt;='[1]koment'!$F$2),"Komentovat","")</f>
      </c>
      <c r="X96" s="653" t="e">
        <f t="shared" si="14"/>
        <v>#REF!</v>
      </c>
      <c r="Y96" s="651">
        <f t="shared" si="16"/>
        <v>5600</v>
      </c>
      <c r="Z96" s="654" t="str">
        <f t="shared" si="17"/>
        <v>ORG 4193 - Provozní budova BVK ÚV Pisárky</v>
      </c>
      <c r="AA96" s="655" t="str">
        <f t="shared" si="18"/>
        <v>560023104193612149</v>
      </c>
      <c r="AB96" s="638"/>
      <c r="AC96" s="638"/>
      <c r="AD96" s="638"/>
      <c r="AE96" s="638"/>
      <c r="AF96" s="638"/>
    </row>
    <row r="97" spans="1:32" ht="12.75" outlineLevel="1">
      <c r="A97" s="639">
        <f t="shared" si="12"/>
        <v>95</v>
      </c>
      <c r="B97" s="658"/>
      <c r="C97" s="670" t="s">
        <v>714</v>
      </c>
      <c r="D97" s="641"/>
      <c r="E97" s="641"/>
      <c r="F97" s="649"/>
      <c r="G97" s="642"/>
      <c r="H97" s="665"/>
      <c r="I97" s="665"/>
      <c r="J97" s="660">
        <f aca="true" t="shared" si="19" ref="J97:O97">SUBTOTAL(9,J67:J96)</f>
        <v>719804</v>
      </c>
      <c r="K97" s="660">
        <f t="shared" si="19"/>
        <v>0</v>
      </c>
      <c r="L97" s="660">
        <f t="shared" si="19"/>
        <v>384094</v>
      </c>
      <c r="M97" s="661">
        <f t="shared" si="19"/>
        <v>88916</v>
      </c>
      <c r="N97" s="661">
        <f t="shared" si="19"/>
        <v>88916</v>
      </c>
      <c r="O97" s="660">
        <f t="shared" si="19"/>
        <v>33648</v>
      </c>
      <c r="P97" s="647">
        <f t="shared" si="13"/>
        <v>0.3784245805029466</v>
      </c>
      <c r="Q97" s="661">
        <f>SUBTOTAL(9,Q67:Q96)</f>
        <v>88675</v>
      </c>
      <c r="R97" s="661">
        <f>SUBTOTAL(9,R67:R96)</f>
        <v>46537</v>
      </c>
      <c r="S97" s="662">
        <f>SUBTOTAL(9,S67:S96)</f>
        <v>115384</v>
      </c>
      <c r="T97" s="649"/>
      <c r="U97" s="650"/>
      <c r="V97" s="651"/>
      <c r="W97" s="652"/>
      <c r="X97" s="653"/>
      <c r="Y97" s="651" t="str">
        <f>IF($V97=0," ",IF(LEN($B97)=4,$B97*1,$B97))</f>
        <v> </v>
      </c>
      <c r="Z97" s="654">
        <f>IF($Y97=" ",0,"ORG "&amp;$D97&amp;" - "&amp;$G97)</f>
        <v>0</v>
      </c>
      <c r="AA97" s="655" t="str">
        <f>$B97&amp;LEFT($C97,4)&amp;$D97&amp;$E97&amp;$F97</f>
        <v>Celk</v>
      </c>
      <c r="AB97" s="638"/>
      <c r="AC97" s="638"/>
      <c r="AD97" s="638"/>
      <c r="AE97" s="638"/>
      <c r="AF97" s="638"/>
    </row>
    <row r="98" spans="1:32" ht="12.75" outlineLevel="2">
      <c r="A98" s="639">
        <f t="shared" si="12"/>
        <v>96</v>
      </c>
      <c r="B98" s="640" t="s">
        <v>606</v>
      </c>
      <c r="C98" s="641" t="s">
        <v>715</v>
      </c>
      <c r="D98" s="642">
        <v>2773</v>
      </c>
      <c r="E98" s="641">
        <v>6121</v>
      </c>
      <c r="F98" s="643">
        <v>49</v>
      </c>
      <c r="G98" s="642" t="s">
        <v>716</v>
      </c>
      <c r="H98" s="642">
        <v>2014</v>
      </c>
      <c r="I98" s="642">
        <v>2020</v>
      </c>
      <c r="J98" s="644">
        <v>200000</v>
      </c>
      <c r="K98" s="644"/>
      <c r="L98" s="645"/>
      <c r="M98" s="646"/>
      <c r="N98" s="646">
        <v>56200</v>
      </c>
      <c r="O98" s="644">
        <v>142</v>
      </c>
      <c r="P98" s="647">
        <f t="shared" si="13"/>
        <v>0.0025266903914590746</v>
      </c>
      <c r="Q98" s="646"/>
      <c r="R98" s="646"/>
      <c r="S98" s="648">
        <v>143800</v>
      </c>
      <c r="T98" s="649" t="s">
        <v>682</v>
      </c>
      <c r="U98" s="669"/>
      <c r="V98" s="651">
        <f t="shared" si="15"/>
        <v>0</v>
      </c>
      <c r="W98" s="652" t="str">
        <f>IF(AND(P98&lt;'[1]koment'!$F$1,N98&gt;='[1]koment'!$F$2),"Komentovat","")</f>
        <v>Komentovat</v>
      </c>
      <c r="X98" s="653" t="e">
        <f>IF(W98="Komentovat",X96+1,X96)</f>
        <v>#REF!</v>
      </c>
      <c r="Y98" s="651" t="str">
        <f t="shared" si="16"/>
        <v> </v>
      </c>
      <c r="Z98" s="654">
        <f t="shared" si="17"/>
        <v>0</v>
      </c>
      <c r="AA98" s="655" t="str">
        <f t="shared" si="18"/>
        <v>560023212773612149</v>
      </c>
      <c r="AB98" s="638"/>
      <c r="AC98" s="638"/>
      <c r="AD98" s="638"/>
      <c r="AE98" s="638"/>
      <c r="AF98" s="638"/>
    </row>
    <row r="99" spans="1:32" ht="12.75" outlineLevel="2">
      <c r="A99" s="639">
        <f t="shared" si="12"/>
        <v>97</v>
      </c>
      <c r="B99" s="640" t="s">
        <v>606</v>
      </c>
      <c r="C99" s="641" t="s">
        <v>715</v>
      </c>
      <c r="D99" s="642">
        <v>2780</v>
      </c>
      <c r="E99" s="641">
        <v>6121</v>
      </c>
      <c r="F99" s="643">
        <v>49</v>
      </c>
      <c r="G99" s="642" t="s">
        <v>717</v>
      </c>
      <c r="H99" s="642">
        <v>2014</v>
      </c>
      <c r="I99" s="642">
        <v>2019</v>
      </c>
      <c r="J99" s="644">
        <v>40619</v>
      </c>
      <c r="K99" s="644"/>
      <c r="L99" s="645"/>
      <c r="M99" s="646"/>
      <c r="N99" s="646">
        <v>10</v>
      </c>
      <c r="O99" s="644"/>
      <c r="P99" s="647">
        <f t="shared" si="13"/>
        <v>0</v>
      </c>
      <c r="Q99" s="646">
        <v>1600</v>
      </c>
      <c r="R99" s="646"/>
      <c r="S99" s="648">
        <v>39009</v>
      </c>
      <c r="T99" s="649" t="s">
        <v>682</v>
      </c>
      <c r="U99" s="669"/>
      <c r="V99" s="651">
        <f t="shared" si="15"/>
        <v>0</v>
      </c>
      <c r="W99" s="652">
        <f>IF(AND(P99&lt;'[1]koment'!$F$1,N99&gt;='[1]koment'!$F$2),"Komentovat","")</f>
      </c>
      <c r="X99" s="653" t="e">
        <f t="shared" si="14"/>
        <v>#REF!</v>
      </c>
      <c r="Y99" s="651" t="str">
        <f t="shared" si="16"/>
        <v> </v>
      </c>
      <c r="Z99" s="654">
        <f t="shared" si="17"/>
        <v>0</v>
      </c>
      <c r="AA99" s="655" t="str">
        <f t="shared" si="18"/>
        <v>560023212780612149</v>
      </c>
      <c r="AB99" s="638"/>
      <c r="AC99" s="638"/>
      <c r="AD99" s="638"/>
      <c r="AE99" s="638"/>
      <c r="AF99" s="638"/>
    </row>
    <row r="100" spans="1:32" ht="12.75" outlineLevel="2">
      <c r="A100" s="639">
        <f t="shared" si="12"/>
        <v>98</v>
      </c>
      <c r="B100" s="640" t="s">
        <v>606</v>
      </c>
      <c r="C100" s="641" t="s">
        <v>715</v>
      </c>
      <c r="D100" s="642">
        <v>2781</v>
      </c>
      <c r="E100" s="641">
        <v>6121</v>
      </c>
      <c r="F100" s="643">
        <v>49</v>
      </c>
      <c r="G100" s="642" t="s">
        <v>718</v>
      </c>
      <c r="H100" s="642">
        <v>2014</v>
      </c>
      <c r="I100" s="642">
        <v>2016</v>
      </c>
      <c r="J100" s="644">
        <v>28499</v>
      </c>
      <c r="K100" s="644"/>
      <c r="L100" s="645"/>
      <c r="M100" s="646"/>
      <c r="N100" s="646">
        <v>1000</v>
      </c>
      <c r="O100" s="644"/>
      <c r="P100" s="647">
        <f t="shared" si="13"/>
        <v>0</v>
      </c>
      <c r="Q100" s="646">
        <v>2800</v>
      </c>
      <c r="R100" s="646">
        <v>24699</v>
      </c>
      <c r="S100" s="648"/>
      <c r="T100" s="649" t="s">
        <v>682</v>
      </c>
      <c r="U100" s="669"/>
      <c r="V100" s="651">
        <f t="shared" si="15"/>
        <v>0</v>
      </c>
      <c r="W100" s="652">
        <f>IF(AND(P100&lt;'[1]koment'!$F$1,N100&gt;='[1]koment'!$F$2),"Komentovat","")</f>
      </c>
      <c r="X100" s="653" t="e">
        <f t="shared" si="14"/>
        <v>#REF!</v>
      </c>
      <c r="Y100" s="651" t="str">
        <f t="shared" si="16"/>
        <v> </v>
      </c>
      <c r="Z100" s="654">
        <f t="shared" si="17"/>
        <v>0</v>
      </c>
      <c r="AA100" s="655" t="str">
        <f t="shared" si="18"/>
        <v>560023212781612149</v>
      </c>
      <c r="AB100" s="638"/>
      <c r="AC100" s="638"/>
      <c r="AD100" s="638"/>
      <c r="AE100" s="638"/>
      <c r="AF100" s="638"/>
    </row>
    <row r="101" spans="1:32" ht="12.75" outlineLevel="2">
      <c r="A101" s="639">
        <f t="shared" si="12"/>
        <v>99</v>
      </c>
      <c r="B101" s="640" t="s">
        <v>606</v>
      </c>
      <c r="C101" s="641" t="s">
        <v>715</v>
      </c>
      <c r="D101" s="642">
        <v>2782</v>
      </c>
      <c r="E101" s="641">
        <v>6121</v>
      </c>
      <c r="F101" s="643">
        <v>49</v>
      </c>
      <c r="G101" s="642" t="s">
        <v>719</v>
      </c>
      <c r="H101" s="642">
        <v>2014</v>
      </c>
      <c r="I101" s="642">
        <v>2016</v>
      </c>
      <c r="J101" s="644">
        <v>16615</v>
      </c>
      <c r="K101" s="644"/>
      <c r="L101" s="645"/>
      <c r="M101" s="646"/>
      <c r="N101" s="646">
        <v>500</v>
      </c>
      <c r="O101" s="644"/>
      <c r="P101" s="647">
        <f t="shared" si="13"/>
        <v>0</v>
      </c>
      <c r="Q101" s="646">
        <v>1600</v>
      </c>
      <c r="R101" s="646">
        <v>14515</v>
      </c>
      <c r="S101" s="648"/>
      <c r="T101" s="649" t="s">
        <v>682</v>
      </c>
      <c r="U101" s="669"/>
      <c r="V101" s="651">
        <f t="shared" si="15"/>
        <v>0</v>
      </c>
      <c r="W101" s="652">
        <f>IF(AND(P101&lt;'[1]koment'!$F$1,N101&gt;='[1]koment'!$F$2),"Komentovat","")</f>
      </c>
      <c r="X101" s="653" t="e">
        <f t="shared" si="14"/>
        <v>#REF!</v>
      </c>
      <c r="Y101" s="651" t="str">
        <f t="shared" si="16"/>
        <v> </v>
      </c>
      <c r="Z101" s="654">
        <f t="shared" si="17"/>
        <v>0</v>
      </c>
      <c r="AA101" s="655" t="str">
        <f t="shared" si="18"/>
        <v>560023212782612149</v>
      </c>
      <c r="AB101" s="638"/>
      <c r="AC101" s="638"/>
      <c r="AD101" s="638"/>
      <c r="AE101" s="638"/>
      <c r="AF101" s="638"/>
    </row>
    <row r="102" spans="1:32" ht="12.75" outlineLevel="2">
      <c r="A102" s="639">
        <f t="shared" si="12"/>
        <v>100</v>
      </c>
      <c r="B102" s="640" t="s">
        <v>606</v>
      </c>
      <c r="C102" s="641" t="s">
        <v>715</v>
      </c>
      <c r="D102" s="642">
        <v>2783</v>
      </c>
      <c r="E102" s="641">
        <v>6121</v>
      </c>
      <c r="F102" s="643">
        <v>49</v>
      </c>
      <c r="G102" s="642" t="s">
        <v>720</v>
      </c>
      <c r="H102" s="642">
        <v>2014</v>
      </c>
      <c r="I102" s="642">
        <v>2019</v>
      </c>
      <c r="J102" s="644">
        <v>12431</v>
      </c>
      <c r="K102" s="644"/>
      <c r="L102" s="645"/>
      <c r="M102" s="646"/>
      <c r="N102" s="646">
        <v>10</v>
      </c>
      <c r="O102" s="644"/>
      <c r="P102" s="647">
        <f t="shared" si="13"/>
        <v>0</v>
      </c>
      <c r="Q102" s="646">
        <v>1200</v>
      </c>
      <c r="R102" s="646"/>
      <c r="S102" s="648">
        <v>11221</v>
      </c>
      <c r="T102" s="649" t="s">
        <v>682</v>
      </c>
      <c r="U102" s="669"/>
      <c r="V102" s="651">
        <f t="shared" si="15"/>
        <v>0</v>
      </c>
      <c r="W102" s="652">
        <f>IF(AND(P102&lt;'[1]koment'!$F$1,N102&gt;='[1]koment'!$F$2),"Komentovat","")</f>
      </c>
      <c r="X102" s="653" t="e">
        <f t="shared" si="14"/>
        <v>#REF!</v>
      </c>
      <c r="Y102" s="651" t="str">
        <f t="shared" si="16"/>
        <v> </v>
      </c>
      <c r="Z102" s="654">
        <f t="shared" si="17"/>
        <v>0</v>
      </c>
      <c r="AA102" s="655" t="str">
        <f t="shared" si="18"/>
        <v>560023212783612149</v>
      </c>
      <c r="AB102" s="638"/>
      <c r="AC102" s="638"/>
      <c r="AD102" s="638"/>
      <c r="AE102" s="638"/>
      <c r="AF102" s="638"/>
    </row>
    <row r="103" spans="1:32" ht="12.75" outlineLevel="2">
      <c r="A103" s="639">
        <f t="shared" si="12"/>
        <v>101</v>
      </c>
      <c r="B103" s="640" t="s">
        <v>606</v>
      </c>
      <c r="C103" s="641" t="s">
        <v>715</v>
      </c>
      <c r="D103" s="642">
        <v>2784</v>
      </c>
      <c r="E103" s="641">
        <v>6121</v>
      </c>
      <c r="F103" s="643">
        <v>49</v>
      </c>
      <c r="G103" s="642" t="s">
        <v>721</v>
      </c>
      <c r="H103" s="642">
        <v>2014</v>
      </c>
      <c r="I103" s="642">
        <v>2019</v>
      </c>
      <c r="J103" s="644">
        <v>29401</v>
      </c>
      <c r="K103" s="644"/>
      <c r="L103" s="645"/>
      <c r="M103" s="646"/>
      <c r="N103" s="646">
        <v>10</v>
      </c>
      <c r="O103" s="644"/>
      <c r="P103" s="647">
        <f t="shared" si="13"/>
        <v>0</v>
      </c>
      <c r="Q103" s="646">
        <v>1400</v>
      </c>
      <c r="R103" s="646"/>
      <c r="S103" s="648">
        <v>27991</v>
      </c>
      <c r="T103" s="649" t="s">
        <v>682</v>
      </c>
      <c r="U103" s="669"/>
      <c r="V103" s="651">
        <f t="shared" si="15"/>
        <v>0</v>
      </c>
      <c r="W103" s="652">
        <f>IF(AND(P103&lt;'[1]koment'!$F$1,N103&gt;='[1]koment'!$F$2),"Komentovat","")</f>
      </c>
      <c r="X103" s="653" t="e">
        <f t="shared" si="14"/>
        <v>#REF!</v>
      </c>
      <c r="Y103" s="651" t="str">
        <f t="shared" si="16"/>
        <v> </v>
      </c>
      <c r="Z103" s="654">
        <f t="shared" si="17"/>
        <v>0</v>
      </c>
      <c r="AA103" s="655" t="str">
        <f t="shared" si="18"/>
        <v>560023212784612149</v>
      </c>
      <c r="AB103" s="638"/>
      <c r="AC103" s="638"/>
      <c r="AD103" s="638"/>
      <c r="AE103" s="638"/>
      <c r="AF103" s="638"/>
    </row>
    <row r="104" spans="1:32" ht="12.75" outlineLevel="2">
      <c r="A104" s="639">
        <f t="shared" si="12"/>
        <v>102</v>
      </c>
      <c r="B104" s="640" t="s">
        <v>606</v>
      </c>
      <c r="C104" s="641" t="s">
        <v>715</v>
      </c>
      <c r="D104" s="642">
        <v>2785</v>
      </c>
      <c r="E104" s="641">
        <v>6121</v>
      </c>
      <c r="F104" s="643">
        <v>49</v>
      </c>
      <c r="G104" s="642" t="s">
        <v>722</v>
      </c>
      <c r="H104" s="642">
        <v>2014</v>
      </c>
      <c r="I104" s="642">
        <v>2019</v>
      </c>
      <c r="J104" s="644">
        <v>20241</v>
      </c>
      <c r="K104" s="644"/>
      <c r="L104" s="645"/>
      <c r="M104" s="646"/>
      <c r="N104" s="646">
        <v>10</v>
      </c>
      <c r="O104" s="644"/>
      <c r="P104" s="647">
        <f t="shared" si="13"/>
        <v>0</v>
      </c>
      <c r="Q104" s="646">
        <v>1400</v>
      </c>
      <c r="R104" s="646"/>
      <c r="S104" s="648">
        <v>18831</v>
      </c>
      <c r="T104" s="649" t="s">
        <v>682</v>
      </c>
      <c r="U104" s="669"/>
      <c r="V104" s="651">
        <f t="shared" si="15"/>
        <v>0</v>
      </c>
      <c r="W104" s="652">
        <f>IF(AND(P104&lt;'[1]koment'!$F$1,N104&gt;='[1]koment'!$F$2),"Komentovat","")</f>
      </c>
      <c r="X104" s="653" t="e">
        <f t="shared" si="14"/>
        <v>#REF!</v>
      </c>
      <c r="Y104" s="651" t="str">
        <f t="shared" si="16"/>
        <v> </v>
      </c>
      <c r="Z104" s="654">
        <f t="shared" si="17"/>
        <v>0</v>
      </c>
      <c r="AA104" s="655" t="str">
        <f t="shared" si="18"/>
        <v>560023212785612149</v>
      </c>
      <c r="AB104" s="638"/>
      <c r="AC104" s="638"/>
      <c r="AD104" s="638"/>
      <c r="AE104" s="638"/>
      <c r="AF104" s="638"/>
    </row>
    <row r="105" spans="1:32" ht="12.75" outlineLevel="2">
      <c r="A105" s="639">
        <f t="shared" si="12"/>
        <v>103</v>
      </c>
      <c r="B105" s="640" t="s">
        <v>606</v>
      </c>
      <c r="C105" s="641" t="s">
        <v>715</v>
      </c>
      <c r="D105" s="642">
        <v>2786</v>
      </c>
      <c r="E105" s="641">
        <v>6121</v>
      </c>
      <c r="F105" s="643">
        <v>49</v>
      </c>
      <c r="G105" s="642" t="s">
        <v>723</v>
      </c>
      <c r="H105" s="642">
        <v>2014</v>
      </c>
      <c r="I105" s="642">
        <v>2019</v>
      </c>
      <c r="J105" s="644">
        <v>39554</v>
      </c>
      <c r="K105" s="644"/>
      <c r="L105" s="645"/>
      <c r="M105" s="646"/>
      <c r="N105" s="646">
        <v>10</v>
      </c>
      <c r="O105" s="644"/>
      <c r="P105" s="647">
        <f t="shared" si="13"/>
        <v>0</v>
      </c>
      <c r="Q105" s="646">
        <v>1700</v>
      </c>
      <c r="R105" s="646"/>
      <c r="S105" s="648">
        <v>37844</v>
      </c>
      <c r="T105" s="649" t="s">
        <v>682</v>
      </c>
      <c r="U105" s="669"/>
      <c r="V105" s="651">
        <f t="shared" si="15"/>
        <v>0</v>
      </c>
      <c r="W105" s="652">
        <f>IF(AND(P105&lt;'[1]koment'!$F$1,N105&gt;='[1]koment'!$F$2),"Komentovat","")</f>
      </c>
      <c r="X105" s="653" t="e">
        <f t="shared" si="14"/>
        <v>#REF!</v>
      </c>
      <c r="Y105" s="651" t="str">
        <f t="shared" si="16"/>
        <v> </v>
      </c>
      <c r="Z105" s="654">
        <f t="shared" si="17"/>
        <v>0</v>
      </c>
      <c r="AA105" s="655" t="str">
        <f t="shared" si="18"/>
        <v>560023212786612149</v>
      </c>
      <c r="AB105" s="638"/>
      <c r="AC105" s="638"/>
      <c r="AD105" s="638"/>
      <c r="AE105" s="638"/>
      <c r="AF105" s="638"/>
    </row>
    <row r="106" spans="1:32" ht="12.75" outlineLevel="2">
      <c r="A106" s="639">
        <f t="shared" si="12"/>
        <v>104</v>
      </c>
      <c r="B106" s="640" t="s">
        <v>606</v>
      </c>
      <c r="C106" s="641" t="s">
        <v>715</v>
      </c>
      <c r="D106" s="642">
        <v>2787</v>
      </c>
      <c r="E106" s="641">
        <v>6121</v>
      </c>
      <c r="F106" s="643">
        <v>49</v>
      </c>
      <c r="G106" s="642" t="s">
        <v>724</v>
      </c>
      <c r="H106" s="642">
        <v>2014</v>
      </c>
      <c r="I106" s="642">
        <v>2019</v>
      </c>
      <c r="J106" s="644">
        <v>85592</v>
      </c>
      <c r="K106" s="644"/>
      <c r="L106" s="645"/>
      <c r="M106" s="646"/>
      <c r="N106" s="646">
        <v>10</v>
      </c>
      <c r="O106" s="644"/>
      <c r="P106" s="647">
        <f t="shared" si="13"/>
        <v>0</v>
      </c>
      <c r="Q106" s="646">
        <v>2100</v>
      </c>
      <c r="R106" s="646"/>
      <c r="S106" s="648">
        <v>83482</v>
      </c>
      <c r="T106" s="649" t="s">
        <v>682</v>
      </c>
      <c r="U106" s="669"/>
      <c r="V106" s="651">
        <f t="shared" si="15"/>
        <v>0</v>
      </c>
      <c r="W106" s="652">
        <f>IF(AND(P106&lt;'[1]koment'!$F$1,N106&gt;='[1]koment'!$F$2),"Komentovat","")</f>
      </c>
      <c r="X106" s="653" t="e">
        <f t="shared" si="14"/>
        <v>#REF!</v>
      </c>
      <c r="Y106" s="651" t="str">
        <f t="shared" si="16"/>
        <v> </v>
      </c>
      <c r="Z106" s="654">
        <f t="shared" si="17"/>
        <v>0</v>
      </c>
      <c r="AA106" s="655" t="str">
        <f t="shared" si="18"/>
        <v>560023212787612149</v>
      </c>
      <c r="AB106" s="638"/>
      <c r="AC106" s="638"/>
      <c r="AD106" s="638"/>
      <c r="AE106" s="638"/>
      <c r="AF106" s="638"/>
    </row>
    <row r="107" spans="1:32" ht="12.75" outlineLevel="2">
      <c r="A107" s="639">
        <f t="shared" si="12"/>
        <v>105</v>
      </c>
      <c r="B107" s="640" t="s">
        <v>606</v>
      </c>
      <c r="C107" s="641" t="s">
        <v>715</v>
      </c>
      <c r="D107" s="642">
        <v>2788</v>
      </c>
      <c r="E107" s="641">
        <v>6121</v>
      </c>
      <c r="F107" s="643">
        <v>49</v>
      </c>
      <c r="G107" s="642" t="s">
        <v>725</v>
      </c>
      <c r="H107" s="642">
        <v>2014</v>
      </c>
      <c r="I107" s="642">
        <v>2019</v>
      </c>
      <c r="J107" s="644">
        <v>24451</v>
      </c>
      <c r="K107" s="644"/>
      <c r="L107" s="645"/>
      <c r="M107" s="646"/>
      <c r="N107" s="646">
        <v>10</v>
      </c>
      <c r="O107" s="644"/>
      <c r="P107" s="647">
        <f t="shared" si="13"/>
        <v>0</v>
      </c>
      <c r="Q107" s="646">
        <v>1400</v>
      </c>
      <c r="R107" s="646"/>
      <c r="S107" s="648">
        <v>23041</v>
      </c>
      <c r="T107" s="649" t="s">
        <v>682</v>
      </c>
      <c r="U107" s="669"/>
      <c r="V107" s="651">
        <f t="shared" si="15"/>
        <v>0</v>
      </c>
      <c r="W107" s="652">
        <f>IF(AND(P107&lt;'[1]koment'!$F$1,N107&gt;='[1]koment'!$F$2),"Komentovat","")</f>
      </c>
      <c r="X107" s="653" t="e">
        <f t="shared" si="14"/>
        <v>#REF!</v>
      </c>
      <c r="Y107" s="651" t="str">
        <f t="shared" si="16"/>
        <v> </v>
      </c>
      <c r="Z107" s="654">
        <f t="shared" si="17"/>
        <v>0</v>
      </c>
      <c r="AA107" s="655" t="str">
        <f t="shared" si="18"/>
        <v>560023212788612149</v>
      </c>
      <c r="AB107" s="638"/>
      <c r="AC107" s="638"/>
      <c r="AD107" s="638"/>
      <c r="AE107" s="638"/>
      <c r="AF107" s="638"/>
    </row>
    <row r="108" spans="1:32" ht="12.75" outlineLevel="2">
      <c r="A108" s="639">
        <f t="shared" si="12"/>
        <v>106</v>
      </c>
      <c r="B108" s="640" t="s">
        <v>606</v>
      </c>
      <c r="C108" s="641" t="s">
        <v>715</v>
      </c>
      <c r="D108" s="642">
        <v>2789</v>
      </c>
      <c r="E108" s="641">
        <v>6121</v>
      </c>
      <c r="F108" s="643">
        <v>49</v>
      </c>
      <c r="G108" s="642" t="s">
        <v>726</v>
      </c>
      <c r="H108" s="642">
        <v>2014</v>
      </c>
      <c r="I108" s="642">
        <v>2019</v>
      </c>
      <c r="J108" s="644">
        <v>33043</v>
      </c>
      <c r="K108" s="644"/>
      <c r="L108" s="645"/>
      <c r="M108" s="646"/>
      <c r="N108" s="646">
        <v>10</v>
      </c>
      <c r="O108" s="644"/>
      <c r="P108" s="647">
        <f t="shared" si="13"/>
        <v>0</v>
      </c>
      <c r="Q108" s="646">
        <v>1600</v>
      </c>
      <c r="R108" s="646"/>
      <c r="S108" s="648">
        <v>31433</v>
      </c>
      <c r="T108" s="649" t="s">
        <v>682</v>
      </c>
      <c r="U108" s="669"/>
      <c r="V108" s="651">
        <f t="shared" si="15"/>
        <v>0</v>
      </c>
      <c r="W108" s="652">
        <f>IF(AND(P108&lt;'[1]koment'!$F$1,N108&gt;='[1]koment'!$F$2),"Komentovat","")</f>
      </c>
      <c r="X108" s="653" t="e">
        <f t="shared" si="14"/>
        <v>#REF!</v>
      </c>
      <c r="Y108" s="651" t="str">
        <f t="shared" si="16"/>
        <v> </v>
      </c>
      <c r="Z108" s="654">
        <f t="shared" si="17"/>
        <v>0</v>
      </c>
      <c r="AA108" s="655" t="str">
        <f t="shared" si="18"/>
        <v>560023212789612149</v>
      </c>
      <c r="AB108" s="638"/>
      <c r="AC108" s="638"/>
      <c r="AD108" s="638"/>
      <c r="AE108" s="638"/>
      <c r="AF108" s="638"/>
    </row>
    <row r="109" spans="1:32" ht="12.75" outlineLevel="2">
      <c r="A109" s="639">
        <f t="shared" si="12"/>
        <v>107</v>
      </c>
      <c r="B109" s="640" t="s">
        <v>606</v>
      </c>
      <c r="C109" s="641" t="s">
        <v>715</v>
      </c>
      <c r="D109" s="642">
        <v>2790</v>
      </c>
      <c r="E109" s="641">
        <v>6121</v>
      </c>
      <c r="F109" s="643">
        <v>49</v>
      </c>
      <c r="G109" s="642" t="s">
        <v>727</v>
      </c>
      <c r="H109" s="642">
        <v>2014</v>
      </c>
      <c r="I109" s="642">
        <v>2019</v>
      </c>
      <c r="J109" s="644">
        <v>70810</v>
      </c>
      <c r="K109" s="644"/>
      <c r="L109" s="645"/>
      <c r="M109" s="646"/>
      <c r="N109" s="646">
        <v>10</v>
      </c>
      <c r="O109" s="644"/>
      <c r="P109" s="647">
        <f t="shared" si="13"/>
        <v>0</v>
      </c>
      <c r="Q109" s="646">
        <v>2000</v>
      </c>
      <c r="R109" s="646"/>
      <c r="S109" s="648">
        <v>68800</v>
      </c>
      <c r="T109" s="649" t="s">
        <v>682</v>
      </c>
      <c r="U109" s="669"/>
      <c r="V109" s="651">
        <f t="shared" si="15"/>
        <v>0</v>
      </c>
      <c r="W109" s="652">
        <f>IF(AND(P109&lt;'[1]koment'!$F$1,N109&gt;='[1]koment'!$F$2),"Komentovat","")</f>
      </c>
      <c r="X109" s="653" t="e">
        <f t="shared" si="14"/>
        <v>#REF!</v>
      </c>
      <c r="Y109" s="651" t="str">
        <f t="shared" si="16"/>
        <v> </v>
      </c>
      <c r="Z109" s="654">
        <f t="shared" si="17"/>
        <v>0</v>
      </c>
      <c r="AA109" s="655" t="str">
        <f t="shared" si="18"/>
        <v>560023212790612149</v>
      </c>
      <c r="AB109" s="638"/>
      <c r="AC109" s="638"/>
      <c r="AD109" s="638"/>
      <c r="AE109" s="638"/>
      <c r="AF109" s="638"/>
    </row>
    <row r="110" spans="1:32" ht="12.75" outlineLevel="2">
      <c r="A110" s="639">
        <f t="shared" si="12"/>
        <v>108</v>
      </c>
      <c r="B110" s="640" t="s">
        <v>606</v>
      </c>
      <c r="C110" s="641" t="s">
        <v>715</v>
      </c>
      <c r="D110" s="642">
        <v>2791</v>
      </c>
      <c r="E110" s="641">
        <v>6121</v>
      </c>
      <c r="F110" s="643">
        <v>49</v>
      </c>
      <c r="G110" s="642" t="s">
        <v>728</v>
      </c>
      <c r="H110" s="642">
        <v>2014</v>
      </c>
      <c r="I110" s="642">
        <v>2019</v>
      </c>
      <c r="J110" s="644">
        <v>12546</v>
      </c>
      <c r="K110" s="644"/>
      <c r="L110" s="645"/>
      <c r="M110" s="646"/>
      <c r="N110" s="646">
        <v>10</v>
      </c>
      <c r="O110" s="644"/>
      <c r="P110" s="647">
        <f t="shared" si="13"/>
        <v>0</v>
      </c>
      <c r="Q110" s="646">
        <v>1200</v>
      </c>
      <c r="R110" s="646"/>
      <c r="S110" s="648">
        <v>11336</v>
      </c>
      <c r="T110" s="649" t="s">
        <v>682</v>
      </c>
      <c r="U110" s="669"/>
      <c r="V110" s="651">
        <f t="shared" si="15"/>
        <v>0</v>
      </c>
      <c r="W110" s="652">
        <f>IF(AND(P110&lt;'[1]koment'!$F$1,N110&gt;='[1]koment'!$F$2),"Komentovat","")</f>
      </c>
      <c r="X110" s="653" t="e">
        <f t="shared" si="14"/>
        <v>#REF!</v>
      </c>
      <c r="Y110" s="651" t="str">
        <f t="shared" si="16"/>
        <v> </v>
      </c>
      <c r="Z110" s="654">
        <f t="shared" si="17"/>
        <v>0</v>
      </c>
      <c r="AA110" s="655" t="str">
        <f t="shared" si="18"/>
        <v>560023212791612149</v>
      </c>
      <c r="AB110" s="638"/>
      <c r="AC110" s="638"/>
      <c r="AD110" s="638"/>
      <c r="AE110" s="638"/>
      <c r="AF110" s="638"/>
    </row>
    <row r="111" spans="1:32" ht="12.75" outlineLevel="2">
      <c r="A111" s="639">
        <f t="shared" si="12"/>
        <v>109</v>
      </c>
      <c r="B111" s="640" t="s">
        <v>606</v>
      </c>
      <c r="C111" s="641" t="s">
        <v>715</v>
      </c>
      <c r="D111" s="642">
        <v>2792</v>
      </c>
      <c r="E111" s="641">
        <v>6121</v>
      </c>
      <c r="F111" s="643">
        <v>49</v>
      </c>
      <c r="G111" s="642" t="s">
        <v>729</v>
      </c>
      <c r="H111" s="642">
        <v>2014</v>
      </c>
      <c r="I111" s="642">
        <v>2019</v>
      </c>
      <c r="J111" s="644">
        <v>12407</v>
      </c>
      <c r="K111" s="644"/>
      <c r="L111" s="645"/>
      <c r="M111" s="646"/>
      <c r="N111" s="646">
        <v>10</v>
      </c>
      <c r="O111" s="644"/>
      <c r="P111" s="647">
        <f t="shared" si="13"/>
        <v>0</v>
      </c>
      <c r="Q111" s="646">
        <v>1200</v>
      </c>
      <c r="R111" s="646"/>
      <c r="S111" s="648">
        <v>11197</v>
      </c>
      <c r="T111" s="649" t="s">
        <v>682</v>
      </c>
      <c r="U111" s="669"/>
      <c r="V111" s="651">
        <f t="shared" si="15"/>
        <v>0</v>
      </c>
      <c r="W111" s="652">
        <f>IF(AND(P111&lt;'[1]koment'!$F$1,N111&gt;='[1]koment'!$F$2),"Komentovat","")</f>
      </c>
      <c r="X111" s="653" t="e">
        <f t="shared" si="14"/>
        <v>#REF!</v>
      </c>
      <c r="Y111" s="651" t="str">
        <f t="shared" si="16"/>
        <v> </v>
      </c>
      <c r="Z111" s="654">
        <f t="shared" si="17"/>
        <v>0</v>
      </c>
      <c r="AA111" s="655" t="str">
        <f t="shared" si="18"/>
        <v>560023212792612149</v>
      </c>
      <c r="AB111" s="638"/>
      <c r="AC111" s="638"/>
      <c r="AD111" s="638"/>
      <c r="AE111" s="638"/>
      <c r="AF111" s="638"/>
    </row>
    <row r="112" spans="1:32" ht="12.75" outlineLevel="2">
      <c r="A112" s="639">
        <f t="shared" si="12"/>
        <v>110</v>
      </c>
      <c r="B112" s="640" t="s">
        <v>606</v>
      </c>
      <c r="C112" s="641" t="s">
        <v>715</v>
      </c>
      <c r="D112" s="642">
        <v>2793</v>
      </c>
      <c r="E112" s="641">
        <v>6121</v>
      </c>
      <c r="F112" s="643">
        <v>49</v>
      </c>
      <c r="G112" s="642" t="s">
        <v>730</v>
      </c>
      <c r="H112" s="642">
        <v>2014</v>
      </c>
      <c r="I112" s="642">
        <v>2019</v>
      </c>
      <c r="J112" s="644">
        <v>26215</v>
      </c>
      <c r="K112" s="644"/>
      <c r="L112" s="645"/>
      <c r="M112" s="646"/>
      <c r="N112" s="646">
        <v>10</v>
      </c>
      <c r="O112" s="644"/>
      <c r="P112" s="647">
        <f t="shared" si="13"/>
        <v>0</v>
      </c>
      <c r="Q112" s="646">
        <v>1400</v>
      </c>
      <c r="R112" s="646"/>
      <c r="S112" s="648">
        <v>24805</v>
      </c>
      <c r="T112" s="649" t="s">
        <v>682</v>
      </c>
      <c r="U112" s="669"/>
      <c r="V112" s="651">
        <f t="shared" si="15"/>
        <v>0</v>
      </c>
      <c r="W112" s="652">
        <f>IF(AND(P112&lt;'[1]koment'!$F$1,N112&gt;='[1]koment'!$F$2),"Komentovat","")</f>
      </c>
      <c r="X112" s="653" t="e">
        <f t="shared" si="14"/>
        <v>#REF!</v>
      </c>
      <c r="Y112" s="651" t="str">
        <f t="shared" si="16"/>
        <v> </v>
      </c>
      <c r="Z112" s="654">
        <f t="shared" si="17"/>
        <v>0</v>
      </c>
      <c r="AA112" s="655" t="str">
        <f t="shared" si="18"/>
        <v>560023212793612149</v>
      </c>
      <c r="AB112" s="638"/>
      <c r="AC112" s="638"/>
      <c r="AD112" s="638"/>
      <c r="AE112" s="638"/>
      <c r="AF112" s="638"/>
    </row>
    <row r="113" spans="1:32" ht="12.75" outlineLevel="2">
      <c r="A113" s="639">
        <f t="shared" si="12"/>
        <v>111</v>
      </c>
      <c r="B113" s="658" t="s">
        <v>606</v>
      </c>
      <c r="C113" s="641" t="s">
        <v>715</v>
      </c>
      <c r="D113" s="641">
        <v>2807</v>
      </c>
      <c r="E113" s="641">
        <v>6121</v>
      </c>
      <c r="F113" s="649">
        <v>49</v>
      </c>
      <c r="G113" s="671" t="s">
        <v>731</v>
      </c>
      <c r="H113" s="665">
        <v>2014</v>
      </c>
      <c r="I113" s="665">
        <v>2018</v>
      </c>
      <c r="J113" s="660">
        <v>22701</v>
      </c>
      <c r="K113" s="660"/>
      <c r="L113" s="660"/>
      <c r="M113" s="661"/>
      <c r="N113" s="661">
        <v>10</v>
      </c>
      <c r="O113" s="660"/>
      <c r="P113" s="647">
        <f t="shared" si="13"/>
        <v>0</v>
      </c>
      <c r="Q113" s="661">
        <v>1500</v>
      </c>
      <c r="R113" s="661"/>
      <c r="S113" s="662">
        <v>21191</v>
      </c>
      <c r="T113" s="649" t="s">
        <v>682</v>
      </c>
      <c r="U113" s="669"/>
      <c r="V113" s="651">
        <f t="shared" si="15"/>
        <v>0</v>
      </c>
      <c r="W113" s="652">
        <f>IF(AND(P113&lt;'[1]koment'!$F$1,N113&gt;='[1]koment'!$F$2),"Komentovat","")</f>
      </c>
      <c r="X113" s="653" t="e">
        <f t="shared" si="14"/>
        <v>#REF!</v>
      </c>
      <c r="Y113" s="651" t="str">
        <f t="shared" si="16"/>
        <v> </v>
      </c>
      <c r="Z113" s="654">
        <f t="shared" si="17"/>
        <v>0</v>
      </c>
      <c r="AA113" s="655" t="str">
        <f t="shared" si="18"/>
        <v>560023212807612149</v>
      </c>
      <c r="AB113" s="638"/>
      <c r="AC113" s="638"/>
      <c r="AD113" s="638"/>
      <c r="AE113" s="638"/>
      <c r="AF113" s="638"/>
    </row>
    <row r="114" spans="1:32" ht="12.75" outlineLevel="2">
      <c r="A114" s="639">
        <f t="shared" si="12"/>
        <v>112</v>
      </c>
      <c r="B114" s="658" t="s">
        <v>606</v>
      </c>
      <c r="C114" s="641" t="s">
        <v>715</v>
      </c>
      <c r="D114" s="641">
        <v>2808</v>
      </c>
      <c r="E114" s="641">
        <v>6121</v>
      </c>
      <c r="F114" s="649">
        <v>49</v>
      </c>
      <c r="G114" s="671" t="s">
        <v>732</v>
      </c>
      <c r="H114" s="665">
        <v>2014</v>
      </c>
      <c r="I114" s="665">
        <v>2018</v>
      </c>
      <c r="J114" s="660">
        <v>15659</v>
      </c>
      <c r="K114" s="660"/>
      <c r="L114" s="660"/>
      <c r="M114" s="661"/>
      <c r="N114" s="661">
        <v>10</v>
      </c>
      <c r="O114" s="660"/>
      <c r="P114" s="647">
        <f t="shared" si="13"/>
        <v>0</v>
      </c>
      <c r="Q114" s="661">
        <v>1200</v>
      </c>
      <c r="R114" s="661"/>
      <c r="S114" s="662">
        <v>14449</v>
      </c>
      <c r="T114" s="649" t="s">
        <v>682</v>
      </c>
      <c r="U114" s="669"/>
      <c r="V114" s="651">
        <f t="shared" si="15"/>
        <v>0</v>
      </c>
      <c r="W114" s="652">
        <f>IF(AND(P114&lt;'[1]koment'!$F$1,N114&gt;='[1]koment'!$F$2),"Komentovat","")</f>
      </c>
      <c r="X114" s="653" t="e">
        <f t="shared" si="14"/>
        <v>#REF!</v>
      </c>
      <c r="Y114" s="651" t="str">
        <f t="shared" si="16"/>
        <v> </v>
      </c>
      <c r="Z114" s="654">
        <f t="shared" si="17"/>
        <v>0</v>
      </c>
      <c r="AA114" s="655" t="str">
        <f t="shared" si="18"/>
        <v>560023212808612149</v>
      </c>
      <c r="AB114" s="638"/>
      <c r="AC114" s="638"/>
      <c r="AD114" s="638"/>
      <c r="AE114" s="638"/>
      <c r="AF114" s="638"/>
    </row>
    <row r="115" spans="1:32" ht="12.75" outlineLevel="2">
      <c r="A115" s="639">
        <f t="shared" si="12"/>
        <v>113</v>
      </c>
      <c r="B115" s="658" t="s">
        <v>606</v>
      </c>
      <c r="C115" s="641" t="s">
        <v>715</v>
      </c>
      <c r="D115" s="641">
        <v>2809</v>
      </c>
      <c r="E115" s="641">
        <v>6121</v>
      </c>
      <c r="F115" s="649">
        <v>49</v>
      </c>
      <c r="G115" s="671" t="s">
        <v>733</v>
      </c>
      <c r="H115" s="665">
        <v>2014</v>
      </c>
      <c r="I115" s="665">
        <v>2019</v>
      </c>
      <c r="J115" s="660">
        <v>5470</v>
      </c>
      <c r="K115" s="660"/>
      <c r="L115" s="660"/>
      <c r="M115" s="661"/>
      <c r="N115" s="661">
        <v>10</v>
      </c>
      <c r="O115" s="660"/>
      <c r="P115" s="647">
        <f t="shared" si="13"/>
        <v>0</v>
      </c>
      <c r="Q115" s="661">
        <v>800</v>
      </c>
      <c r="R115" s="661"/>
      <c r="S115" s="662">
        <v>4660</v>
      </c>
      <c r="T115" s="649" t="s">
        <v>682</v>
      </c>
      <c r="U115" s="669"/>
      <c r="V115" s="651">
        <f t="shared" si="15"/>
        <v>0</v>
      </c>
      <c r="W115" s="652">
        <f>IF(AND(P115&lt;'[1]koment'!$F$1,N115&gt;='[1]koment'!$F$2),"Komentovat","")</f>
      </c>
      <c r="X115" s="653" t="e">
        <f t="shared" si="14"/>
        <v>#REF!</v>
      </c>
      <c r="Y115" s="651" t="str">
        <f t="shared" si="16"/>
        <v> </v>
      </c>
      <c r="Z115" s="654">
        <f t="shared" si="17"/>
        <v>0</v>
      </c>
      <c r="AA115" s="655" t="str">
        <f t="shared" si="18"/>
        <v>560023212809612149</v>
      </c>
      <c r="AB115" s="638"/>
      <c r="AC115" s="638"/>
      <c r="AD115" s="638"/>
      <c r="AE115" s="638"/>
      <c r="AF115" s="638"/>
    </row>
    <row r="116" spans="1:32" ht="12.75" outlineLevel="2">
      <c r="A116" s="639">
        <f t="shared" si="12"/>
        <v>114</v>
      </c>
      <c r="B116" s="658" t="s">
        <v>606</v>
      </c>
      <c r="C116" s="641" t="s">
        <v>715</v>
      </c>
      <c r="D116" s="641">
        <v>2810</v>
      </c>
      <c r="E116" s="641">
        <v>6121</v>
      </c>
      <c r="F116" s="649">
        <v>49</v>
      </c>
      <c r="G116" s="671" t="s">
        <v>734</v>
      </c>
      <c r="H116" s="665">
        <v>2014</v>
      </c>
      <c r="I116" s="665">
        <v>2019</v>
      </c>
      <c r="J116" s="660">
        <v>25007</v>
      </c>
      <c r="K116" s="660"/>
      <c r="L116" s="660"/>
      <c r="M116" s="661"/>
      <c r="N116" s="661">
        <v>10</v>
      </c>
      <c r="O116" s="660"/>
      <c r="P116" s="647">
        <f t="shared" si="13"/>
        <v>0</v>
      </c>
      <c r="Q116" s="661">
        <v>1800</v>
      </c>
      <c r="R116" s="661"/>
      <c r="S116" s="662">
        <v>23197</v>
      </c>
      <c r="T116" s="649" t="s">
        <v>682</v>
      </c>
      <c r="U116" s="669"/>
      <c r="V116" s="651">
        <f t="shared" si="15"/>
        <v>0</v>
      </c>
      <c r="W116" s="652">
        <f>IF(AND(P116&lt;'[1]koment'!$F$1,N116&gt;='[1]koment'!$F$2),"Komentovat","")</f>
      </c>
      <c r="X116" s="653" t="e">
        <f t="shared" si="14"/>
        <v>#REF!</v>
      </c>
      <c r="Y116" s="651" t="str">
        <f t="shared" si="16"/>
        <v> </v>
      </c>
      <c r="Z116" s="654">
        <f t="shared" si="17"/>
        <v>0</v>
      </c>
      <c r="AA116" s="655" t="str">
        <f t="shared" si="18"/>
        <v>560023212810612149</v>
      </c>
      <c r="AB116" s="638"/>
      <c r="AC116" s="638"/>
      <c r="AD116" s="638"/>
      <c r="AE116" s="638"/>
      <c r="AF116" s="638"/>
    </row>
    <row r="117" spans="1:32" ht="12.75" outlineLevel="2">
      <c r="A117" s="639">
        <f t="shared" si="12"/>
        <v>115</v>
      </c>
      <c r="B117" s="658" t="s">
        <v>606</v>
      </c>
      <c r="C117" s="641" t="s">
        <v>715</v>
      </c>
      <c r="D117" s="641">
        <v>2811</v>
      </c>
      <c r="E117" s="641">
        <v>6121</v>
      </c>
      <c r="F117" s="649">
        <v>49</v>
      </c>
      <c r="G117" s="671" t="s">
        <v>735</v>
      </c>
      <c r="H117" s="665">
        <v>2014</v>
      </c>
      <c r="I117" s="665">
        <v>2018</v>
      </c>
      <c r="J117" s="660">
        <v>20502</v>
      </c>
      <c r="K117" s="660"/>
      <c r="L117" s="660"/>
      <c r="M117" s="661"/>
      <c r="N117" s="661">
        <v>10</v>
      </c>
      <c r="O117" s="660"/>
      <c r="P117" s="647">
        <f t="shared" si="13"/>
        <v>0</v>
      </c>
      <c r="Q117" s="661">
        <v>1700</v>
      </c>
      <c r="R117" s="661"/>
      <c r="S117" s="662">
        <v>18792</v>
      </c>
      <c r="T117" s="649" t="s">
        <v>682</v>
      </c>
      <c r="U117" s="669"/>
      <c r="V117" s="651">
        <f t="shared" si="15"/>
        <v>0</v>
      </c>
      <c r="W117" s="652">
        <f>IF(AND(P117&lt;'[1]koment'!$F$1,N117&gt;='[1]koment'!$F$2),"Komentovat","")</f>
      </c>
      <c r="X117" s="653" t="e">
        <f t="shared" si="14"/>
        <v>#REF!</v>
      </c>
      <c r="Y117" s="651" t="str">
        <f t="shared" si="16"/>
        <v> </v>
      </c>
      <c r="Z117" s="654">
        <f t="shared" si="17"/>
        <v>0</v>
      </c>
      <c r="AA117" s="655" t="str">
        <f t="shared" si="18"/>
        <v>560023212811612149</v>
      </c>
      <c r="AB117" s="638"/>
      <c r="AC117" s="638"/>
      <c r="AD117" s="638"/>
      <c r="AE117" s="638"/>
      <c r="AF117" s="638"/>
    </row>
    <row r="118" spans="1:32" ht="12.75" outlineLevel="2">
      <c r="A118" s="639">
        <f t="shared" si="12"/>
        <v>116</v>
      </c>
      <c r="B118" s="658" t="s">
        <v>606</v>
      </c>
      <c r="C118" s="641" t="s">
        <v>715</v>
      </c>
      <c r="D118" s="641">
        <v>2812</v>
      </c>
      <c r="E118" s="641">
        <v>6121</v>
      </c>
      <c r="F118" s="649">
        <v>49</v>
      </c>
      <c r="G118" s="671" t="s">
        <v>736</v>
      </c>
      <c r="H118" s="665">
        <v>2014</v>
      </c>
      <c r="I118" s="665">
        <v>2018</v>
      </c>
      <c r="J118" s="660">
        <v>59795</v>
      </c>
      <c r="K118" s="660"/>
      <c r="L118" s="660"/>
      <c r="M118" s="661"/>
      <c r="N118" s="661">
        <v>10</v>
      </c>
      <c r="O118" s="660"/>
      <c r="P118" s="647">
        <f t="shared" si="13"/>
        <v>0</v>
      </c>
      <c r="Q118" s="661">
        <v>2000</v>
      </c>
      <c r="R118" s="661"/>
      <c r="S118" s="662">
        <v>57785</v>
      </c>
      <c r="T118" s="649" t="s">
        <v>682</v>
      </c>
      <c r="U118" s="669"/>
      <c r="V118" s="651">
        <f t="shared" si="15"/>
        <v>0</v>
      </c>
      <c r="W118" s="652">
        <f>IF(AND(P118&lt;'[1]koment'!$F$1,N118&gt;='[1]koment'!$F$2),"Komentovat","")</f>
      </c>
      <c r="X118" s="653" t="e">
        <f t="shared" si="14"/>
        <v>#REF!</v>
      </c>
      <c r="Y118" s="651" t="str">
        <f t="shared" si="16"/>
        <v> </v>
      </c>
      <c r="Z118" s="654">
        <f t="shared" si="17"/>
        <v>0</v>
      </c>
      <c r="AA118" s="655" t="str">
        <f t="shared" si="18"/>
        <v>560023212812612149</v>
      </c>
      <c r="AB118" s="638"/>
      <c r="AC118" s="638"/>
      <c r="AD118" s="638"/>
      <c r="AE118" s="638"/>
      <c r="AF118" s="638"/>
    </row>
    <row r="119" spans="1:32" ht="12.75" outlineLevel="2">
      <c r="A119" s="639">
        <f t="shared" si="12"/>
        <v>117</v>
      </c>
      <c r="B119" s="658" t="s">
        <v>606</v>
      </c>
      <c r="C119" s="641" t="s">
        <v>715</v>
      </c>
      <c r="D119" s="641">
        <v>2813</v>
      </c>
      <c r="E119" s="641">
        <v>6121</v>
      </c>
      <c r="F119" s="649">
        <v>49</v>
      </c>
      <c r="G119" s="671" t="s">
        <v>737</v>
      </c>
      <c r="H119" s="665">
        <v>2014</v>
      </c>
      <c r="I119" s="665">
        <v>2018</v>
      </c>
      <c r="J119" s="660">
        <v>17454</v>
      </c>
      <c r="K119" s="660"/>
      <c r="L119" s="660"/>
      <c r="M119" s="661"/>
      <c r="N119" s="661">
        <v>10</v>
      </c>
      <c r="O119" s="660"/>
      <c r="P119" s="647">
        <f t="shared" si="13"/>
        <v>0</v>
      </c>
      <c r="Q119" s="661">
        <v>1300</v>
      </c>
      <c r="R119" s="661"/>
      <c r="S119" s="662">
        <v>16144</v>
      </c>
      <c r="T119" s="649" t="s">
        <v>682</v>
      </c>
      <c r="U119" s="669"/>
      <c r="V119" s="651">
        <f t="shared" si="15"/>
        <v>0</v>
      </c>
      <c r="W119" s="652">
        <f>IF(AND(P119&lt;'[1]koment'!$F$1,N119&gt;='[1]koment'!$F$2),"Komentovat","")</f>
      </c>
      <c r="X119" s="653" t="e">
        <f t="shared" si="14"/>
        <v>#REF!</v>
      </c>
      <c r="Y119" s="651" t="str">
        <f t="shared" si="16"/>
        <v> </v>
      </c>
      <c r="Z119" s="654">
        <f t="shared" si="17"/>
        <v>0</v>
      </c>
      <c r="AA119" s="655" t="str">
        <f t="shared" si="18"/>
        <v>560023212813612149</v>
      </c>
      <c r="AB119" s="638"/>
      <c r="AC119" s="638"/>
      <c r="AD119" s="638"/>
      <c r="AE119" s="638"/>
      <c r="AF119" s="638"/>
    </row>
    <row r="120" spans="1:32" ht="12.75" outlineLevel="2">
      <c r="A120" s="639">
        <f t="shared" si="12"/>
        <v>118</v>
      </c>
      <c r="B120" s="658" t="s">
        <v>606</v>
      </c>
      <c r="C120" s="641" t="s">
        <v>715</v>
      </c>
      <c r="D120" s="641">
        <v>2814</v>
      </c>
      <c r="E120" s="641">
        <v>6121</v>
      </c>
      <c r="F120" s="649">
        <v>49</v>
      </c>
      <c r="G120" s="671" t="s">
        <v>738</v>
      </c>
      <c r="H120" s="665">
        <v>2014</v>
      </c>
      <c r="I120" s="665">
        <v>2017</v>
      </c>
      <c r="J120" s="660">
        <v>11819</v>
      </c>
      <c r="K120" s="660"/>
      <c r="L120" s="660"/>
      <c r="M120" s="661"/>
      <c r="N120" s="661">
        <v>10</v>
      </c>
      <c r="O120" s="660"/>
      <c r="P120" s="647">
        <f t="shared" si="13"/>
        <v>0</v>
      </c>
      <c r="Q120" s="661">
        <v>1000</v>
      </c>
      <c r="R120" s="661"/>
      <c r="S120" s="662">
        <v>10809</v>
      </c>
      <c r="T120" s="649" t="s">
        <v>682</v>
      </c>
      <c r="U120" s="669"/>
      <c r="V120" s="651">
        <f t="shared" si="15"/>
        <v>0</v>
      </c>
      <c r="W120" s="652">
        <f>IF(AND(P120&lt;'[1]koment'!$F$1,N120&gt;='[1]koment'!$F$2),"Komentovat","")</f>
      </c>
      <c r="X120" s="653" t="e">
        <f t="shared" si="14"/>
        <v>#REF!</v>
      </c>
      <c r="Y120" s="651" t="str">
        <f t="shared" si="16"/>
        <v> </v>
      </c>
      <c r="Z120" s="654">
        <f t="shared" si="17"/>
        <v>0</v>
      </c>
      <c r="AA120" s="655" t="str">
        <f t="shared" si="18"/>
        <v>560023212814612149</v>
      </c>
      <c r="AB120" s="638"/>
      <c r="AC120" s="638"/>
      <c r="AD120" s="638"/>
      <c r="AE120" s="638"/>
      <c r="AF120" s="638"/>
    </row>
    <row r="121" spans="1:32" ht="12.75" outlineLevel="2">
      <c r="A121" s="639">
        <f t="shared" si="12"/>
        <v>119</v>
      </c>
      <c r="B121" s="658" t="s">
        <v>606</v>
      </c>
      <c r="C121" s="641" t="s">
        <v>715</v>
      </c>
      <c r="D121" s="641">
        <v>2815</v>
      </c>
      <c r="E121" s="641">
        <v>6121</v>
      </c>
      <c r="F121" s="649">
        <v>49</v>
      </c>
      <c r="G121" s="671" t="s">
        <v>739</v>
      </c>
      <c r="H121" s="665">
        <v>2014</v>
      </c>
      <c r="I121" s="665">
        <v>2016</v>
      </c>
      <c r="J121" s="660">
        <v>20000</v>
      </c>
      <c r="K121" s="660"/>
      <c r="L121" s="660"/>
      <c r="M121" s="661"/>
      <c r="N121" s="661">
        <v>850</v>
      </c>
      <c r="O121" s="660">
        <v>292</v>
      </c>
      <c r="P121" s="647">
        <f t="shared" si="13"/>
        <v>0.34352941176470586</v>
      </c>
      <c r="Q121" s="661">
        <v>1000</v>
      </c>
      <c r="R121" s="661">
        <v>18150</v>
      </c>
      <c r="S121" s="662"/>
      <c r="T121" s="649" t="s">
        <v>682</v>
      </c>
      <c r="U121" s="669"/>
      <c r="V121" s="651">
        <f t="shared" si="15"/>
        <v>0</v>
      </c>
      <c r="W121" s="652">
        <f>IF(AND(P121&lt;'[1]koment'!$F$1,N121&gt;='[1]koment'!$F$2),"Komentovat","")</f>
      </c>
      <c r="X121" s="653" t="e">
        <f t="shared" si="14"/>
        <v>#REF!</v>
      </c>
      <c r="Y121" s="651" t="str">
        <f t="shared" si="16"/>
        <v> </v>
      </c>
      <c r="Z121" s="654">
        <f t="shared" si="17"/>
        <v>0</v>
      </c>
      <c r="AA121" s="655" t="str">
        <f t="shared" si="18"/>
        <v>560023212815612149</v>
      </c>
      <c r="AB121" s="638"/>
      <c r="AC121" s="638"/>
      <c r="AD121" s="638"/>
      <c r="AE121" s="638"/>
      <c r="AF121" s="638"/>
    </row>
    <row r="122" spans="1:32" ht="12.75" outlineLevel="2">
      <c r="A122" s="639">
        <f t="shared" si="12"/>
        <v>120</v>
      </c>
      <c r="B122" s="658" t="s">
        <v>606</v>
      </c>
      <c r="C122" s="641" t="s">
        <v>715</v>
      </c>
      <c r="D122" s="641">
        <v>2846</v>
      </c>
      <c r="E122" s="641">
        <v>6121</v>
      </c>
      <c r="F122" s="649">
        <v>49</v>
      </c>
      <c r="G122" s="642" t="s">
        <v>740</v>
      </c>
      <c r="H122" s="665">
        <v>2013</v>
      </c>
      <c r="I122" s="641">
        <v>2018</v>
      </c>
      <c r="J122" s="660">
        <v>51531</v>
      </c>
      <c r="K122" s="660"/>
      <c r="L122" s="660"/>
      <c r="M122" s="661">
        <v>900</v>
      </c>
      <c r="N122" s="661">
        <v>400</v>
      </c>
      <c r="O122" s="660">
        <v>387</v>
      </c>
      <c r="P122" s="647">
        <f t="shared" si="13"/>
        <v>0.9675</v>
      </c>
      <c r="Q122" s="661">
        <v>1500</v>
      </c>
      <c r="R122" s="661"/>
      <c r="S122" s="662">
        <v>49631</v>
      </c>
      <c r="T122" s="649" t="s">
        <v>682</v>
      </c>
      <c r="U122" s="669"/>
      <c r="V122" s="651">
        <f t="shared" si="15"/>
        <v>0</v>
      </c>
      <c r="W122" s="652">
        <f>IF(AND(P122&lt;'[1]koment'!$F$1,N122&gt;='[1]koment'!$F$2),"Komentovat","")</f>
      </c>
      <c r="X122" s="653" t="e">
        <f t="shared" si="14"/>
        <v>#REF!</v>
      </c>
      <c r="Y122" s="651" t="str">
        <f t="shared" si="16"/>
        <v> </v>
      </c>
      <c r="Z122" s="654">
        <f t="shared" si="17"/>
        <v>0</v>
      </c>
      <c r="AA122" s="655" t="str">
        <f t="shared" si="18"/>
        <v>560023212846612149</v>
      </c>
      <c r="AB122" s="638"/>
      <c r="AC122" s="638"/>
      <c r="AD122" s="638"/>
      <c r="AE122" s="638"/>
      <c r="AF122" s="638"/>
    </row>
    <row r="123" spans="1:32" ht="12.75" outlineLevel="2">
      <c r="A123" s="639">
        <f t="shared" si="12"/>
        <v>121</v>
      </c>
      <c r="B123" s="658" t="s">
        <v>606</v>
      </c>
      <c r="C123" s="641" t="s">
        <v>715</v>
      </c>
      <c r="D123" s="641">
        <v>2847</v>
      </c>
      <c r="E123" s="641">
        <v>6121</v>
      </c>
      <c r="F123" s="649">
        <v>49</v>
      </c>
      <c r="G123" s="642" t="s">
        <v>741</v>
      </c>
      <c r="H123" s="665">
        <v>2013</v>
      </c>
      <c r="I123" s="641">
        <v>2017</v>
      </c>
      <c r="J123" s="660">
        <v>34200</v>
      </c>
      <c r="K123" s="660"/>
      <c r="L123" s="660"/>
      <c r="M123" s="661">
        <v>1800</v>
      </c>
      <c r="N123" s="661">
        <v>1000</v>
      </c>
      <c r="O123" s="660">
        <v>962</v>
      </c>
      <c r="P123" s="647">
        <f t="shared" si="13"/>
        <v>0.962</v>
      </c>
      <c r="Q123" s="661">
        <v>1000</v>
      </c>
      <c r="R123" s="661">
        <v>200</v>
      </c>
      <c r="S123" s="662">
        <v>32000</v>
      </c>
      <c r="T123" s="649" t="s">
        <v>682</v>
      </c>
      <c r="U123" s="669"/>
      <c r="V123" s="651">
        <f t="shared" si="15"/>
        <v>0</v>
      </c>
      <c r="W123" s="652">
        <f>IF(AND(P123&lt;'[1]koment'!$F$1,N123&gt;='[1]koment'!$F$2),"Komentovat","")</f>
      </c>
      <c r="X123" s="653" t="e">
        <f t="shared" si="14"/>
        <v>#REF!</v>
      </c>
      <c r="Y123" s="651" t="str">
        <f t="shared" si="16"/>
        <v> </v>
      </c>
      <c r="Z123" s="654">
        <f t="shared" si="17"/>
        <v>0</v>
      </c>
      <c r="AA123" s="655" t="str">
        <f t="shared" si="18"/>
        <v>560023212847612149</v>
      </c>
      <c r="AB123" s="638"/>
      <c r="AC123" s="638"/>
      <c r="AD123" s="638"/>
      <c r="AE123" s="638"/>
      <c r="AF123" s="638"/>
    </row>
    <row r="124" spans="1:32" ht="12.75" outlineLevel="2">
      <c r="A124" s="639">
        <f t="shared" si="12"/>
        <v>122</v>
      </c>
      <c r="B124" s="658" t="s">
        <v>606</v>
      </c>
      <c r="C124" s="641" t="s">
        <v>715</v>
      </c>
      <c r="D124" s="641">
        <v>2848</v>
      </c>
      <c r="E124" s="641">
        <v>6121</v>
      </c>
      <c r="F124" s="649">
        <v>49</v>
      </c>
      <c r="G124" s="642" t="s">
        <v>742</v>
      </c>
      <c r="H124" s="665">
        <v>2013</v>
      </c>
      <c r="I124" s="641">
        <v>2017</v>
      </c>
      <c r="J124" s="660">
        <v>44020</v>
      </c>
      <c r="K124" s="660"/>
      <c r="L124" s="660"/>
      <c r="M124" s="661">
        <v>1800</v>
      </c>
      <c r="N124" s="661">
        <v>900</v>
      </c>
      <c r="O124" s="660"/>
      <c r="P124" s="647">
        <f t="shared" si="13"/>
        <v>0</v>
      </c>
      <c r="Q124" s="661">
        <v>1800</v>
      </c>
      <c r="R124" s="661">
        <v>2000</v>
      </c>
      <c r="S124" s="662">
        <v>39320</v>
      </c>
      <c r="T124" s="649" t="s">
        <v>682</v>
      </c>
      <c r="U124" s="669"/>
      <c r="V124" s="651">
        <f t="shared" si="15"/>
        <v>0</v>
      </c>
      <c r="W124" s="652">
        <f>IF(AND(P124&lt;'[1]koment'!$F$1,N124&gt;='[1]koment'!$F$2),"Komentovat","")</f>
      </c>
      <c r="X124" s="653" t="e">
        <f t="shared" si="14"/>
        <v>#REF!</v>
      </c>
      <c r="Y124" s="651" t="str">
        <f t="shared" si="16"/>
        <v> </v>
      </c>
      <c r="Z124" s="654">
        <f t="shared" si="17"/>
        <v>0</v>
      </c>
      <c r="AA124" s="655" t="str">
        <f t="shared" si="18"/>
        <v>560023212848612149</v>
      </c>
      <c r="AB124" s="638"/>
      <c r="AC124" s="638"/>
      <c r="AD124" s="638"/>
      <c r="AE124" s="638"/>
      <c r="AF124" s="638"/>
    </row>
    <row r="125" spans="1:32" ht="12.75" outlineLevel="2">
      <c r="A125" s="639">
        <f t="shared" si="12"/>
        <v>123</v>
      </c>
      <c r="B125" s="658" t="s">
        <v>606</v>
      </c>
      <c r="C125" s="641" t="s">
        <v>715</v>
      </c>
      <c r="D125" s="641">
        <v>2856</v>
      </c>
      <c r="E125" s="641">
        <v>6121</v>
      </c>
      <c r="F125" s="649">
        <v>49</v>
      </c>
      <c r="G125" s="642" t="s">
        <v>743</v>
      </c>
      <c r="H125" s="641">
        <v>2013</v>
      </c>
      <c r="I125" s="665">
        <v>2020</v>
      </c>
      <c r="J125" s="660">
        <v>6500</v>
      </c>
      <c r="K125" s="660"/>
      <c r="L125" s="660"/>
      <c r="M125" s="661">
        <v>1500</v>
      </c>
      <c r="N125" s="661">
        <v>1500</v>
      </c>
      <c r="O125" s="660">
        <v>11</v>
      </c>
      <c r="P125" s="647">
        <f t="shared" si="13"/>
        <v>0.007333333333333333</v>
      </c>
      <c r="Q125" s="661">
        <v>4500</v>
      </c>
      <c r="R125" s="661"/>
      <c r="S125" s="662">
        <v>500</v>
      </c>
      <c r="T125" s="649" t="s">
        <v>682</v>
      </c>
      <c r="U125" s="669"/>
      <c r="V125" s="651">
        <f t="shared" si="15"/>
        <v>0</v>
      </c>
      <c r="W125" s="652">
        <f>IF(AND(P125&lt;'[1]koment'!$F$1,N125&gt;='[1]koment'!$F$2),"Komentovat","")</f>
      </c>
      <c r="X125" s="653" t="e">
        <f t="shared" si="14"/>
        <v>#REF!</v>
      </c>
      <c r="Y125" s="651" t="str">
        <f t="shared" si="16"/>
        <v> </v>
      </c>
      <c r="Z125" s="654">
        <f t="shared" si="17"/>
        <v>0</v>
      </c>
      <c r="AA125" s="655" t="str">
        <f t="shared" si="18"/>
        <v>560023212856612149</v>
      </c>
      <c r="AB125" s="638"/>
      <c r="AC125" s="638"/>
      <c r="AD125" s="638"/>
      <c r="AE125" s="638"/>
      <c r="AF125" s="638"/>
    </row>
    <row r="126" spans="1:32" ht="12.75" outlineLevel="2">
      <c r="A126" s="639">
        <f t="shared" si="12"/>
        <v>124</v>
      </c>
      <c r="B126" s="658" t="s">
        <v>606</v>
      </c>
      <c r="C126" s="641" t="s">
        <v>715</v>
      </c>
      <c r="D126" s="641">
        <v>2857</v>
      </c>
      <c r="E126" s="641">
        <v>6121</v>
      </c>
      <c r="F126" s="649">
        <v>49</v>
      </c>
      <c r="G126" s="642" t="s">
        <v>744</v>
      </c>
      <c r="H126" s="641">
        <v>2013</v>
      </c>
      <c r="I126" s="665">
        <v>2020</v>
      </c>
      <c r="J126" s="660">
        <v>6500</v>
      </c>
      <c r="K126" s="660"/>
      <c r="L126" s="660"/>
      <c r="M126" s="661">
        <v>1500</v>
      </c>
      <c r="N126" s="661">
        <v>100</v>
      </c>
      <c r="O126" s="660"/>
      <c r="P126" s="647">
        <f t="shared" si="13"/>
        <v>0</v>
      </c>
      <c r="Q126" s="661">
        <v>4500</v>
      </c>
      <c r="R126" s="661"/>
      <c r="S126" s="662">
        <v>500</v>
      </c>
      <c r="T126" s="649" t="s">
        <v>682</v>
      </c>
      <c r="U126" s="669"/>
      <c r="V126" s="651">
        <f t="shared" si="15"/>
        <v>1400</v>
      </c>
      <c r="W126" s="652">
        <f>IF(AND(P126&lt;'[1]koment'!$F$1,N126&gt;='[1]koment'!$F$2),"Komentovat","")</f>
      </c>
      <c r="X126" s="653" t="e">
        <f t="shared" si="14"/>
        <v>#REF!</v>
      </c>
      <c r="Y126" s="651">
        <f t="shared" si="16"/>
        <v>5600</v>
      </c>
      <c r="Z126" s="654" t="str">
        <f t="shared" si="17"/>
        <v>ORG 2857 - RKS A, úsek Dufkovo nábř. - Táborského nábř.</v>
      </c>
      <c r="AA126" s="655" t="str">
        <f t="shared" si="18"/>
        <v>560023212857612149</v>
      </c>
      <c r="AB126" s="638"/>
      <c r="AC126" s="638"/>
      <c r="AD126" s="638"/>
      <c r="AE126" s="638"/>
      <c r="AF126" s="638"/>
    </row>
    <row r="127" spans="1:32" ht="12.75" outlineLevel="2">
      <c r="A127" s="639">
        <f t="shared" si="12"/>
        <v>125</v>
      </c>
      <c r="B127" s="658" t="s">
        <v>606</v>
      </c>
      <c r="C127" s="641" t="s">
        <v>715</v>
      </c>
      <c r="D127" s="641">
        <v>2858</v>
      </c>
      <c r="E127" s="641">
        <v>6121</v>
      </c>
      <c r="F127" s="649">
        <v>49</v>
      </c>
      <c r="G127" s="642" t="s">
        <v>745</v>
      </c>
      <c r="H127" s="641">
        <v>2013</v>
      </c>
      <c r="I127" s="665">
        <v>2020</v>
      </c>
      <c r="J127" s="660">
        <v>6000</v>
      </c>
      <c r="K127" s="660"/>
      <c r="L127" s="660">
        <f>1</f>
        <v>1</v>
      </c>
      <c r="M127" s="661">
        <v>2000</v>
      </c>
      <c r="N127" s="661">
        <v>1000</v>
      </c>
      <c r="O127" s="660">
        <v>98</v>
      </c>
      <c r="P127" s="647">
        <f t="shared" si="13"/>
        <v>0.098</v>
      </c>
      <c r="Q127" s="661">
        <v>3500</v>
      </c>
      <c r="R127" s="661"/>
      <c r="S127" s="662">
        <v>500</v>
      </c>
      <c r="T127" s="649" t="s">
        <v>682</v>
      </c>
      <c r="U127" s="669"/>
      <c r="V127" s="651">
        <f t="shared" si="15"/>
        <v>999</v>
      </c>
      <c r="W127" s="652">
        <f>IF(AND(P127&lt;'[1]koment'!$F$1,N127&gt;='[1]koment'!$F$2),"Komentovat","")</f>
      </c>
      <c r="X127" s="653" t="e">
        <f t="shared" si="14"/>
        <v>#REF!</v>
      </c>
      <c r="Y127" s="651">
        <f t="shared" si="16"/>
        <v>5600</v>
      </c>
      <c r="Z127" s="654" t="str">
        <f t="shared" si="17"/>
        <v>ORG 2858 - Kanalizace Bosonohy III. a IV. et. - odd. kanal. systém</v>
      </c>
      <c r="AA127" s="655" t="str">
        <f t="shared" si="18"/>
        <v>560023212858612149</v>
      </c>
      <c r="AB127" s="638"/>
      <c r="AC127" s="638"/>
      <c r="AD127" s="638"/>
      <c r="AE127" s="638"/>
      <c r="AF127" s="638"/>
    </row>
    <row r="128" spans="1:32" ht="12.75" outlineLevel="2">
      <c r="A128" s="639">
        <f t="shared" si="12"/>
        <v>126</v>
      </c>
      <c r="B128" s="658" t="s">
        <v>606</v>
      </c>
      <c r="C128" s="641" t="s">
        <v>715</v>
      </c>
      <c r="D128" s="641">
        <v>2859</v>
      </c>
      <c r="E128" s="641">
        <v>6121</v>
      </c>
      <c r="F128" s="649">
        <v>49</v>
      </c>
      <c r="G128" s="642" t="s">
        <v>746</v>
      </c>
      <c r="H128" s="641">
        <v>2013</v>
      </c>
      <c r="I128" s="665">
        <v>2018</v>
      </c>
      <c r="J128" s="660">
        <v>5000</v>
      </c>
      <c r="K128" s="660"/>
      <c r="L128" s="660"/>
      <c r="M128" s="661">
        <v>4500</v>
      </c>
      <c r="N128" s="661">
        <v>100</v>
      </c>
      <c r="O128" s="660"/>
      <c r="P128" s="647">
        <f t="shared" si="13"/>
        <v>0</v>
      </c>
      <c r="Q128" s="661">
        <v>1700</v>
      </c>
      <c r="R128" s="661"/>
      <c r="S128" s="662"/>
      <c r="T128" s="649" t="s">
        <v>682</v>
      </c>
      <c r="U128" s="669"/>
      <c r="V128" s="651">
        <f t="shared" si="15"/>
        <v>3200</v>
      </c>
      <c r="W128" s="652">
        <f>IF(AND(P128&lt;'[1]koment'!$F$1,N128&gt;='[1]koment'!$F$2),"Komentovat","")</f>
      </c>
      <c r="X128" s="653" t="e">
        <f t="shared" si="14"/>
        <v>#REF!</v>
      </c>
      <c r="Y128" s="651">
        <f t="shared" si="16"/>
        <v>5600</v>
      </c>
      <c r="Z128" s="654" t="str">
        <f t="shared" si="17"/>
        <v>ORG 2859 - Davídkova, MČ Brno-Chrlice - splašková kanalizace</v>
      </c>
      <c r="AA128" s="655" t="str">
        <f t="shared" si="18"/>
        <v>560023212859612149</v>
      </c>
      <c r="AB128" s="638"/>
      <c r="AC128" s="638"/>
      <c r="AD128" s="638"/>
      <c r="AE128" s="638"/>
      <c r="AF128" s="638"/>
    </row>
    <row r="129" spans="1:32" ht="12.75" outlineLevel="2">
      <c r="A129" s="639">
        <f t="shared" si="12"/>
        <v>127</v>
      </c>
      <c r="B129" s="658" t="s">
        <v>606</v>
      </c>
      <c r="C129" s="641" t="s">
        <v>715</v>
      </c>
      <c r="D129" s="641">
        <v>2860</v>
      </c>
      <c r="E129" s="641">
        <v>6121</v>
      </c>
      <c r="F129" s="649">
        <v>49</v>
      </c>
      <c r="G129" s="642" t="s">
        <v>747</v>
      </c>
      <c r="H129" s="641">
        <v>2013</v>
      </c>
      <c r="I129" s="665">
        <v>2015</v>
      </c>
      <c r="J129" s="660">
        <v>3000</v>
      </c>
      <c r="K129" s="660"/>
      <c r="L129" s="660"/>
      <c r="M129" s="661">
        <v>2900</v>
      </c>
      <c r="N129" s="661">
        <v>100</v>
      </c>
      <c r="O129" s="660"/>
      <c r="P129" s="647">
        <f t="shared" si="13"/>
        <v>0</v>
      </c>
      <c r="Q129" s="661">
        <v>1900</v>
      </c>
      <c r="R129" s="661"/>
      <c r="S129" s="662"/>
      <c r="T129" s="649" t="s">
        <v>682</v>
      </c>
      <c r="U129" s="669"/>
      <c r="V129" s="651">
        <f t="shared" si="15"/>
        <v>1000</v>
      </c>
      <c r="W129" s="652">
        <f>IF(AND(P129&lt;'[1]koment'!$F$1,N129&gt;='[1]koment'!$F$2),"Komentovat","")</f>
      </c>
      <c r="X129" s="653" t="e">
        <f t="shared" si="14"/>
        <v>#REF!</v>
      </c>
      <c r="Y129" s="651">
        <f t="shared" si="16"/>
        <v>5600</v>
      </c>
      <c r="Z129" s="654" t="str">
        <f t="shared" si="17"/>
        <v>ORG 2860 - Brno, Obřany - stoková síť v ul. Hradiska a Mlýn. nábř.</v>
      </c>
      <c r="AA129" s="655" t="str">
        <f t="shared" si="18"/>
        <v>560023212860612149</v>
      </c>
      <c r="AB129" s="638"/>
      <c r="AC129" s="638"/>
      <c r="AD129" s="638"/>
      <c r="AE129" s="638"/>
      <c r="AF129" s="638"/>
    </row>
    <row r="130" spans="1:32" ht="12.75" outlineLevel="2">
      <c r="A130" s="639">
        <f t="shared" si="12"/>
        <v>128</v>
      </c>
      <c r="B130" s="658" t="s">
        <v>606</v>
      </c>
      <c r="C130" s="641" t="s">
        <v>715</v>
      </c>
      <c r="D130" s="641">
        <v>2861</v>
      </c>
      <c r="E130" s="641">
        <v>6121</v>
      </c>
      <c r="F130" s="649">
        <v>49</v>
      </c>
      <c r="G130" s="642" t="s">
        <v>748</v>
      </c>
      <c r="H130" s="641">
        <v>2013</v>
      </c>
      <c r="I130" s="665">
        <v>2017</v>
      </c>
      <c r="J130" s="660">
        <v>55840</v>
      </c>
      <c r="K130" s="660"/>
      <c r="L130" s="660"/>
      <c r="M130" s="661">
        <v>1000</v>
      </c>
      <c r="N130" s="661">
        <v>1000</v>
      </c>
      <c r="O130" s="660">
        <v>864</v>
      </c>
      <c r="P130" s="647">
        <f t="shared" si="13"/>
        <v>0.864</v>
      </c>
      <c r="Q130" s="661">
        <v>2000</v>
      </c>
      <c r="R130" s="661">
        <v>30470</v>
      </c>
      <c r="S130" s="662">
        <v>22370</v>
      </c>
      <c r="T130" s="649" t="s">
        <v>682</v>
      </c>
      <c r="U130" s="669"/>
      <c r="V130" s="651">
        <f t="shared" si="15"/>
        <v>0</v>
      </c>
      <c r="W130" s="652">
        <f>IF(AND(P130&lt;'[1]koment'!$F$1,N130&gt;='[1]koment'!$F$2),"Komentovat","")</f>
      </c>
      <c r="X130" s="653" t="e">
        <f t="shared" si="14"/>
        <v>#REF!</v>
      </c>
      <c r="Y130" s="651" t="str">
        <f t="shared" si="16"/>
        <v> </v>
      </c>
      <c r="Z130" s="654">
        <f t="shared" si="17"/>
        <v>0</v>
      </c>
      <c r="AA130" s="655" t="str">
        <f t="shared" si="18"/>
        <v>560023212861612149</v>
      </c>
      <c r="AB130" s="638"/>
      <c r="AC130" s="638"/>
      <c r="AD130" s="638"/>
      <c r="AE130" s="638"/>
      <c r="AF130" s="638"/>
    </row>
    <row r="131" spans="1:32" ht="12.75" outlineLevel="2">
      <c r="A131" s="639">
        <f t="shared" si="12"/>
        <v>129</v>
      </c>
      <c r="B131" s="658" t="s">
        <v>606</v>
      </c>
      <c r="C131" s="641" t="s">
        <v>715</v>
      </c>
      <c r="D131" s="641">
        <v>2862</v>
      </c>
      <c r="E131" s="641">
        <v>6121</v>
      </c>
      <c r="F131" s="649">
        <v>49</v>
      </c>
      <c r="G131" s="642" t="s">
        <v>749</v>
      </c>
      <c r="H131" s="641">
        <v>2013</v>
      </c>
      <c r="I131" s="665">
        <v>2018</v>
      </c>
      <c r="J131" s="660">
        <v>32435</v>
      </c>
      <c r="K131" s="660"/>
      <c r="L131" s="660"/>
      <c r="M131" s="661">
        <v>2500</v>
      </c>
      <c r="N131" s="661">
        <v>1000</v>
      </c>
      <c r="O131" s="660">
        <v>914</v>
      </c>
      <c r="P131" s="647">
        <f t="shared" si="13"/>
        <v>0.914</v>
      </c>
      <c r="Q131" s="661">
        <v>1000</v>
      </c>
      <c r="R131" s="661"/>
      <c r="S131" s="662">
        <v>30435</v>
      </c>
      <c r="T131" s="649" t="s">
        <v>682</v>
      </c>
      <c r="U131" s="669"/>
      <c r="V131" s="651">
        <f t="shared" si="15"/>
        <v>0</v>
      </c>
      <c r="W131" s="652">
        <f>IF(AND(P131&lt;'[1]koment'!$F$1,N131&gt;='[1]koment'!$F$2),"Komentovat","")</f>
      </c>
      <c r="X131" s="653" t="e">
        <f t="shared" si="14"/>
        <v>#REF!</v>
      </c>
      <c r="Y131" s="651" t="str">
        <f t="shared" si="16"/>
        <v> </v>
      </c>
      <c r="Z131" s="654">
        <f t="shared" si="17"/>
        <v>0</v>
      </c>
      <c r="AA131" s="655" t="str">
        <f t="shared" si="18"/>
        <v>560023212862612149</v>
      </c>
      <c r="AB131" s="638"/>
      <c r="AC131" s="638"/>
      <c r="AD131" s="638"/>
      <c r="AE131" s="638"/>
      <c r="AF131" s="638"/>
    </row>
    <row r="132" spans="1:32" ht="12.75" outlineLevel="2">
      <c r="A132" s="639">
        <f aca="true" t="shared" si="20" ref="A132:A195">ROW()-2</f>
        <v>130</v>
      </c>
      <c r="B132" s="658" t="s">
        <v>606</v>
      </c>
      <c r="C132" s="641" t="s">
        <v>715</v>
      </c>
      <c r="D132" s="641">
        <v>2863</v>
      </c>
      <c r="E132" s="641">
        <v>6121</v>
      </c>
      <c r="F132" s="649">
        <v>49</v>
      </c>
      <c r="G132" s="642" t="s">
        <v>750</v>
      </c>
      <c r="H132" s="641">
        <v>2013</v>
      </c>
      <c r="I132" s="665">
        <v>2018</v>
      </c>
      <c r="J132" s="660">
        <v>78000</v>
      </c>
      <c r="K132" s="660"/>
      <c r="L132" s="660"/>
      <c r="M132" s="661">
        <v>3000</v>
      </c>
      <c r="N132" s="661"/>
      <c r="O132" s="660"/>
      <c r="P132" s="647" t="str">
        <f aca="true" t="shared" si="21" ref="P132:P195">IF(N132&lt;=0," ",O132/N132)</f>
        <v> </v>
      </c>
      <c r="Q132" s="661">
        <v>2100</v>
      </c>
      <c r="R132" s="661"/>
      <c r="S132" s="662">
        <v>75900</v>
      </c>
      <c r="T132" s="649" t="s">
        <v>682</v>
      </c>
      <c r="U132" s="669"/>
      <c r="V132" s="651">
        <f t="shared" si="15"/>
        <v>0</v>
      </c>
      <c r="W132" s="652">
        <f>IF(AND(P132&lt;'[1]koment'!$F$1,N132&gt;='[1]koment'!$F$2),"Komentovat","")</f>
      </c>
      <c r="X132" s="653" t="e">
        <f aca="true" t="shared" si="22" ref="X132:X195">IF(W132="Komentovat",X131+1,X131)</f>
        <v>#REF!</v>
      </c>
      <c r="Y132" s="651" t="str">
        <f t="shared" si="16"/>
        <v> </v>
      </c>
      <c r="Z132" s="654">
        <f t="shared" si="17"/>
        <v>0</v>
      </c>
      <c r="AA132" s="655" t="str">
        <f t="shared" si="18"/>
        <v>560023212863612149</v>
      </c>
      <c r="AB132" s="638"/>
      <c r="AC132" s="638"/>
      <c r="AD132" s="638"/>
      <c r="AE132" s="638"/>
      <c r="AF132" s="638"/>
    </row>
    <row r="133" spans="1:32" ht="12.75" outlineLevel="2">
      <c r="A133" s="639">
        <f t="shared" si="20"/>
        <v>131</v>
      </c>
      <c r="B133" s="658" t="s">
        <v>606</v>
      </c>
      <c r="C133" s="641" t="s">
        <v>715</v>
      </c>
      <c r="D133" s="641">
        <v>2864</v>
      </c>
      <c r="E133" s="641">
        <v>6121</v>
      </c>
      <c r="F133" s="649">
        <v>49</v>
      </c>
      <c r="G133" s="642" t="s">
        <v>751</v>
      </c>
      <c r="H133" s="641">
        <v>2013</v>
      </c>
      <c r="I133" s="665">
        <v>2017</v>
      </c>
      <c r="J133" s="660">
        <v>22400</v>
      </c>
      <c r="K133" s="660"/>
      <c r="L133" s="660"/>
      <c r="M133" s="661">
        <v>1500</v>
      </c>
      <c r="N133" s="661">
        <v>1000</v>
      </c>
      <c r="O133" s="660">
        <v>892</v>
      </c>
      <c r="P133" s="647">
        <f t="shared" si="21"/>
        <v>0.892</v>
      </c>
      <c r="Q133" s="661">
        <v>2000</v>
      </c>
      <c r="R133" s="661">
        <v>1000</v>
      </c>
      <c r="S133" s="662">
        <v>18400</v>
      </c>
      <c r="T133" s="649" t="s">
        <v>682</v>
      </c>
      <c r="U133" s="669"/>
      <c r="V133" s="651">
        <f t="shared" si="15"/>
        <v>0</v>
      </c>
      <c r="W133" s="652">
        <f>IF(AND(P133&lt;'[1]koment'!$F$1,N133&gt;='[1]koment'!$F$2),"Komentovat","")</f>
      </c>
      <c r="X133" s="653" t="e">
        <f t="shared" si="22"/>
        <v>#REF!</v>
      </c>
      <c r="Y133" s="651" t="str">
        <f t="shared" si="16"/>
        <v> </v>
      </c>
      <c r="Z133" s="654">
        <f t="shared" si="17"/>
        <v>0</v>
      </c>
      <c r="AA133" s="655" t="str">
        <f t="shared" si="18"/>
        <v>560023212864612149</v>
      </c>
      <c r="AB133" s="638"/>
      <c r="AC133" s="638"/>
      <c r="AD133" s="638"/>
      <c r="AE133" s="638"/>
      <c r="AF133" s="638"/>
    </row>
    <row r="134" spans="1:32" ht="12.75" outlineLevel="2">
      <c r="A134" s="639">
        <f t="shared" si="20"/>
        <v>132</v>
      </c>
      <c r="B134" s="658" t="s">
        <v>606</v>
      </c>
      <c r="C134" s="641" t="s">
        <v>715</v>
      </c>
      <c r="D134" s="641">
        <v>2865</v>
      </c>
      <c r="E134" s="641">
        <v>6121</v>
      </c>
      <c r="F134" s="649">
        <v>49</v>
      </c>
      <c r="G134" s="642" t="s">
        <v>752</v>
      </c>
      <c r="H134" s="641">
        <v>2013</v>
      </c>
      <c r="I134" s="665">
        <v>2017</v>
      </c>
      <c r="J134" s="660">
        <v>140342</v>
      </c>
      <c r="K134" s="660"/>
      <c r="L134" s="660"/>
      <c r="M134" s="661">
        <v>3000</v>
      </c>
      <c r="N134" s="661">
        <v>100</v>
      </c>
      <c r="O134" s="660"/>
      <c r="P134" s="647">
        <f t="shared" si="21"/>
        <v>0</v>
      </c>
      <c r="Q134" s="661">
        <v>2100</v>
      </c>
      <c r="R134" s="661">
        <v>1000</v>
      </c>
      <c r="S134" s="662">
        <v>137142</v>
      </c>
      <c r="T134" s="649" t="s">
        <v>682</v>
      </c>
      <c r="U134" s="669"/>
      <c r="V134" s="651">
        <f aca="true" t="shared" si="23" ref="V134:V197">IF(LEN($D134)=4,(J134-L134-N134-Q134-R134-S134),0)</f>
        <v>0</v>
      </c>
      <c r="W134" s="652">
        <f>IF(AND(P134&lt;'[1]koment'!$F$1,N134&gt;='[1]koment'!$F$2),"Komentovat","")</f>
      </c>
      <c r="X134" s="653" t="e">
        <f t="shared" si="22"/>
        <v>#REF!</v>
      </c>
      <c r="Y134" s="651" t="str">
        <f aca="true" t="shared" si="24" ref="Y134:Y197">IF($V134=0," ",IF(LEN($B134)=4,$B134*1,$B134))</f>
        <v> </v>
      </c>
      <c r="Z134" s="654">
        <f aca="true" t="shared" si="25" ref="Z134:Z197">IF($Y134=" ",0,"ORG "&amp;$D134&amp;" - "&amp;$G134)</f>
        <v>0</v>
      </c>
      <c r="AA134" s="655" t="str">
        <f aca="true" t="shared" si="26" ref="AA134:AA197">$B134&amp;LEFT($C134,4)&amp;$D134&amp;$E134&amp;$F134</f>
        <v>560023212865612149</v>
      </c>
      <c r="AB134" s="638"/>
      <c r="AC134" s="638"/>
      <c r="AD134" s="638"/>
      <c r="AE134" s="638"/>
      <c r="AF134" s="638"/>
    </row>
    <row r="135" spans="1:32" ht="12.75" outlineLevel="2">
      <c r="A135" s="639">
        <f t="shared" si="20"/>
        <v>133</v>
      </c>
      <c r="B135" s="658" t="s">
        <v>606</v>
      </c>
      <c r="C135" s="641" t="s">
        <v>715</v>
      </c>
      <c r="D135" s="641">
        <v>2866</v>
      </c>
      <c r="E135" s="641">
        <v>6121</v>
      </c>
      <c r="F135" s="649">
        <v>49</v>
      </c>
      <c r="G135" s="642" t="s">
        <v>753</v>
      </c>
      <c r="H135" s="641">
        <v>2013</v>
      </c>
      <c r="I135" s="665">
        <v>2018</v>
      </c>
      <c r="J135" s="660">
        <v>63856</v>
      </c>
      <c r="K135" s="660"/>
      <c r="L135" s="660"/>
      <c r="M135" s="661">
        <v>2600</v>
      </c>
      <c r="N135" s="661"/>
      <c r="O135" s="660"/>
      <c r="P135" s="647" t="str">
        <f t="shared" si="21"/>
        <v> </v>
      </c>
      <c r="Q135" s="661">
        <v>2100</v>
      </c>
      <c r="R135" s="661">
        <v>200</v>
      </c>
      <c r="S135" s="662">
        <v>61556</v>
      </c>
      <c r="T135" s="649" t="s">
        <v>682</v>
      </c>
      <c r="U135" s="669"/>
      <c r="V135" s="651">
        <f t="shared" si="23"/>
        <v>0</v>
      </c>
      <c r="W135" s="652">
        <f>IF(AND(P135&lt;'[1]koment'!$F$1,N135&gt;='[1]koment'!$F$2),"Komentovat","")</f>
      </c>
      <c r="X135" s="653" t="e">
        <f t="shared" si="22"/>
        <v>#REF!</v>
      </c>
      <c r="Y135" s="651" t="str">
        <f t="shared" si="24"/>
        <v> </v>
      </c>
      <c r="Z135" s="654">
        <f t="shared" si="25"/>
        <v>0</v>
      </c>
      <c r="AA135" s="655" t="str">
        <f t="shared" si="26"/>
        <v>560023212866612149</v>
      </c>
      <c r="AB135" s="638"/>
      <c r="AC135" s="638"/>
      <c r="AD135" s="638"/>
      <c r="AE135" s="638"/>
      <c r="AF135" s="638"/>
    </row>
    <row r="136" spans="1:32" ht="12.75" outlineLevel="2">
      <c r="A136" s="639">
        <f t="shared" si="20"/>
        <v>134</v>
      </c>
      <c r="B136" s="658" t="s">
        <v>606</v>
      </c>
      <c r="C136" s="641" t="s">
        <v>715</v>
      </c>
      <c r="D136" s="641">
        <v>2867</v>
      </c>
      <c r="E136" s="641">
        <v>6121</v>
      </c>
      <c r="F136" s="649">
        <v>49</v>
      </c>
      <c r="G136" s="642" t="s">
        <v>754</v>
      </c>
      <c r="H136" s="641">
        <v>2013</v>
      </c>
      <c r="I136" s="665">
        <v>2018</v>
      </c>
      <c r="J136" s="660">
        <v>86800</v>
      </c>
      <c r="K136" s="660"/>
      <c r="L136" s="660"/>
      <c r="M136" s="661">
        <v>3000</v>
      </c>
      <c r="N136" s="661"/>
      <c r="O136" s="660"/>
      <c r="P136" s="647" t="str">
        <f t="shared" si="21"/>
        <v> </v>
      </c>
      <c r="Q136" s="661"/>
      <c r="R136" s="661"/>
      <c r="S136" s="662">
        <v>86800</v>
      </c>
      <c r="T136" s="649" t="s">
        <v>682</v>
      </c>
      <c r="U136" s="669"/>
      <c r="V136" s="651">
        <f t="shared" si="23"/>
        <v>0</v>
      </c>
      <c r="W136" s="652">
        <f>IF(AND(P136&lt;'[1]koment'!$F$1,N136&gt;='[1]koment'!$F$2),"Komentovat","")</f>
      </c>
      <c r="X136" s="653" t="e">
        <f t="shared" si="22"/>
        <v>#REF!</v>
      </c>
      <c r="Y136" s="651" t="str">
        <f t="shared" si="24"/>
        <v> </v>
      </c>
      <c r="Z136" s="654">
        <f t="shared" si="25"/>
        <v>0</v>
      </c>
      <c r="AA136" s="655" t="str">
        <f t="shared" si="26"/>
        <v>560023212867612149</v>
      </c>
      <c r="AB136" s="638"/>
      <c r="AC136" s="638"/>
      <c r="AD136" s="638"/>
      <c r="AE136" s="638"/>
      <c r="AF136" s="638"/>
    </row>
    <row r="137" spans="1:32" ht="12.75" outlineLevel="2">
      <c r="A137" s="639">
        <f t="shared" si="20"/>
        <v>135</v>
      </c>
      <c r="B137" s="658" t="s">
        <v>606</v>
      </c>
      <c r="C137" s="641" t="s">
        <v>715</v>
      </c>
      <c r="D137" s="641">
        <v>2868</v>
      </c>
      <c r="E137" s="641">
        <v>6121</v>
      </c>
      <c r="F137" s="649">
        <v>49</v>
      </c>
      <c r="G137" s="642" t="s">
        <v>755</v>
      </c>
      <c r="H137" s="641">
        <v>2013</v>
      </c>
      <c r="I137" s="665">
        <v>2017</v>
      </c>
      <c r="J137" s="660">
        <v>15775</v>
      </c>
      <c r="K137" s="660"/>
      <c r="L137" s="660"/>
      <c r="M137" s="661">
        <v>800</v>
      </c>
      <c r="N137" s="661">
        <v>953</v>
      </c>
      <c r="O137" s="660">
        <v>933</v>
      </c>
      <c r="P137" s="647">
        <f t="shared" si="21"/>
        <v>0.9790136411332634</v>
      </c>
      <c r="Q137" s="661">
        <v>1000</v>
      </c>
      <c r="R137" s="661">
        <v>200</v>
      </c>
      <c r="S137" s="662">
        <v>13622</v>
      </c>
      <c r="T137" s="649" t="s">
        <v>682</v>
      </c>
      <c r="U137" s="669"/>
      <c r="V137" s="651">
        <f t="shared" si="23"/>
        <v>0</v>
      </c>
      <c r="W137" s="652">
        <f>IF(AND(P137&lt;'[1]koment'!$F$1,N137&gt;='[1]koment'!$F$2),"Komentovat","")</f>
      </c>
      <c r="X137" s="653" t="e">
        <f t="shared" si="22"/>
        <v>#REF!</v>
      </c>
      <c r="Y137" s="651" t="str">
        <f t="shared" si="24"/>
        <v> </v>
      </c>
      <c r="Z137" s="654">
        <f t="shared" si="25"/>
        <v>0</v>
      </c>
      <c r="AA137" s="655" t="str">
        <f t="shared" si="26"/>
        <v>560023212868612149</v>
      </c>
      <c r="AB137" s="638"/>
      <c r="AC137" s="638"/>
      <c r="AD137" s="638"/>
      <c r="AE137" s="638"/>
      <c r="AF137" s="638"/>
    </row>
    <row r="138" spans="1:32" ht="12.75" outlineLevel="2">
      <c r="A138" s="639">
        <f t="shared" si="20"/>
        <v>136</v>
      </c>
      <c r="B138" s="658" t="s">
        <v>606</v>
      </c>
      <c r="C138" s="641" t="s">
        <v>715</v>
      </c>
      <c r="D138" s="641">
        <v>2869</v>
      </c>
      <c r="E138" s="641">
        <v>6121</v>
      </c>
      <c r="F138" s="649">
        <v>49</v>
      </c>
      <c r="G138" s="642" t="s">
        <v>756</v>
      </c>
      <c r="H138" s="641">
        <v>2013</v>
      </c>
      <c r="I138" s="665">
        <v>2016</v>
      </c>
      <c r="J138" s="660">
        <v>11958</v>
      </c>
      <c r="K138" s="660"/>
      <c r="L138" s="660"/>
      <c r="M138" s="661">
        <v>800</v>
      </c>
      <c r="N138" s="661">
        <v>900</v>
      </c>
      <c r="O138" s="660">
        <v>881</v>
      </c>
      <c r="P138" s="647">
        <f t="shared" si="21"/>
        <v>0.9788888888888889</v>
      </c>
      <c r="Q138" s="661">
        <v>1000</v>
      </c>
      <c r="R138" s="661">
        <v>10058</v>
      </c>
      <c r="S138" s="662"/>
      <c r="T138" s="649" t="s">
        <v>682</v>
      </c>
      <c r="U138" s="669"/>
      <c r="V138" s="651">
        <f t="shared" si="23"/>
        <v>0</v>
      </c>
      <c r="W138" s="652">
        <f>IF(AND(P138&lt;'[1]koment'!$F$1,N138&gt;='[1]koment'!$F$2),"Komentovat","")</f>
      </c>
      <c r="X138" s="653" t="e">
        <f t="shared" si="22"/>
        <v>#REF!</v>
      </c>
      <c r="Y138" s="651" t="str">
        <f t="shared" si="24"/>
        <v> </v>
      </c>
      <c r="Z138" s="654">
        <f t="shared" si="25"/>
        <v>0</v>
      </c>
      <c r="AA138" s="655" t="str">
        <f t="shared" si="26"/>
        <v>560023212869612149</v>
      </c>
      <c r="AB138" s="638"/>
      <c r="AC138" s="638"/>
      <c r="AD138" s="638"/>
      <c r="AE138" s="638"/>
      <c r="AF138" s="638"/>
    </row>
    <row r="139" spans="1:32" ht="12.75" outlineLevel="2">
      <c r="A139" s="639">
        <f t="shared" si="20"/>
        <v>137</v>
      </c>
      <c r="B139" s="658" t="s">
        <v>606</v>
      </c>
      <c r="C139" s="641" t="s">
        <v>715</v>
      </c>
      <c r="D139" s="641">
        <v>2870</v>
      </c>
      <c r="E139" s="641">
        <v>6121</v>
      </c>
      <c r="F139" s="649">
        <v>49</v>
      </c>
      <c r="G139" s="642" t="s">
        <v>757</v>
      </c>
      <c r="H139" s="641">
        <v>2013</v>
      </c>
      <c r="I139" s="665">
        <v>2018</v>
      </c>
      <c r="J139" s="660">
        <v>65200</v>
      </c>
      <c r="K139" s="660"/>
      <c r="L139" s="660"/>
      <c r="M139" s="661">
        <v>2000</v>
      </c>
      <c r="N139" s="661"/>
      <c r="O139" s="660"/>
      <c r="P139" s="647" t="str">
        <f t="shared" si="21"/>
        <v> </v>
      </c>
      <c r="Q139" s="661"/>
      <c r="R139" s="661"/>
      <c r="S139" s="662">
        <v>65200</v>
      </c>
      <c r="T139" s="649" t="s">
        <v>682</v>
      </c>
      <c r="U139" s="669"/>
      <c r="V139" s="651">
        <f t="shared" si="23"/>
        <v>0</v>
      </c>
      <c r="W139" s="652">
        <f>IF(AND(P139&lt;'[1]koment'!$F$1,N139&gt;='[1]koment'!$F$2),"Komentovat","")</f>
      </c>
      <c r="X139" s="653" t="e">
        <f t="shared" si="22"/>
        <v>#REF!</v>
      </c>
      <c r="Y139" s="651" t="str">
        <f t="shared" si="24"/>
        <v> </v>
      </c>
      <c r="Z139" s="654">
        <f t="shared" si="25"/>
        <v>0</v>
      </c>
      <c r="AA139" s="655" t="str">
        <f t="shared" si="26"/>
        <v>560023212870612149</v>
      </c>
      <c r="AB139" s="638"/>
      <c r="AC139" s="638"/>
      <c r="AD139" s="638"/>
      <c r="AE139" s="638"/>
      <c r="AF139" s="638"/>
    </row>
    <row r="140" spans="1:32" ht="12.75" outlineLevel="2">
      <c r="A140" s="639">
        <f t="shared" si="20"/>
        <v>138</v>
      </c>
      <c r="B140" s="658" t="s">
        <v>606</v>
      </c>
      <c r="C140" s="641" t="s">
        <v>715</v>
      </c>
      <c r="D140" s="641">
        <v>2871</v>
      </c>
      <c r="E140" s="641">
        <v>6121</v>
      </c>
      <c r="F140" s="649">
        <v>49</v>
      </c>
      <c r="G140" s="642" t="s">
        <v>758</v>
      </c>
      <c r="H140" s="641">
        <v>2013</v>
      </c>
      <c r="I140" s="665">
        <v>2016</v>
      </c>
      <c r="J140" s="660">
        <v>8500</v>
      </c>
      <c r="K140" s="660"/>
      <c r="L140" s="660"/>
      <c r="M140" s="661">
        <v>1500</v>
      </c>
      <c r="N140" s="661">
        <v>500</v>
      </c>
      <c r="O140" s="660">
        <v>404</v>
      </c>
      <c r="P140" s="647">
        <f t="shared" si="21"/>
        <v>0.808</v>
      </c>
      <c r="Q140" s="661">
        <v>2000</v>
      </c>
      <c r="R140" s="661">
        <v>6000</v>
      </c>
      <c r="S140" s="662"/>
      <c r="T140" s="649" t="s">
        <v>682</v>
      </c>
      <c r="U140" s="669"/>
      <c r="V140" s="651">
        <f t="shared" si="23"/>
        <v>0</v>
      </c>
      <c r="W140" s="652">
        <f>IF(AND(P140&lt;'[1]koment'!$F$1,N140&gt;='[1]koment'!$F$2),"Komentovat","")</f>
      </c>
      <c r="X140" s="653" t="e">
        <f t="shared" si="22"/>
        <v>#REF!</v>
      </c>
      <c r="Y140" s="651" t="str">
        <f t="shared" si="24"/>
        <v> </v>
      </c>
      <c r="Z140" s="654">
        <f t="shared" si="25"/>
        <v>0</v>
      </c>
      <c r="AA140" s="655" t="str">
        <f t="shared" si="26"/>
        <v>560023212871612149</v>
      </c>
      <c r="AB140" s="638"/>
      <c r="AC140" s="638"/>
      <c r="AD140" s="638"/>
      <c r="AE140" s="638"/>
      <c r="AF140" s="638"/>
    </row>
    <row r="141" spans="1:32" ht="12.75" outlineLevel="2">
      <c r="A141" s="639">
        <f t="shared" si="20"/>
        <v>139</v>
      </c>
      <c r="B141" s="658" t="s">
        <v>606</v>
      </c>
      <c r="C141" s="641" t="s">
        <v>715</v>
      </c>
      <c r="D141" s="641">
        <v>2872</v>
      </c>
      <c r="E141" s="641">
        <v>6121</v>
      </c>
      <c r="F141" s="649">
        <v>49</v>
      </c>
      <c r="G141" s="642" t="s">
        <v>759</v>
      </c>
      <c r="H141" s="641">
        <v>2013</v>
      </c>
      <c r="I141" s="665">
        <v>2018</v>
      </c>
      <c r="J141" s="660">
        <v>36500</v>
      </c>
      <c r="K141" s="660"/>
      <c r="L141" s="660"/>
      <c r="M141" s="661">
        <v>2000</v>
      </c>
      <c r="N141" s="661">
        <v>1000</v>
      </c>
      <c r="O141" s="660">
        <v>950</v>
      </c>
      <c r="P141" s="647">
        <f t="shared" si="21"/>
        <v>0.95</v>
      </c>
      <c r="Q141" s="661">
        <v>1000</v>
      </c>
      <c r="R141" s="661">
        <v>100</v>
      </c>
      <c r="S141" s="662">
        <v>34400</v>
      </c>
      <c r="T141" s="649" t="s">
        <v>682</v>
      </c>
      <c r="U141" s="669"/>
      <c r="V141" s="651">
        <f t="shared" si="23"/>
        <v>0</v>
      </c>
      <c r="W141" s="652">
        <f>IF(AND(P141&lt;'[1]koment'!$F$1,N141&gt;='[1]koment'!$F$2),"Komentovat","")</f>
      </c>
      <c r="X141" s="653" t="e">
        <f t="shared" si="22"/>
        <v>#REF!</v>
      </c>
      <c r="Y141" s="651" t="str">
        <f t="shared" si="24"/>
        <v> </v>
      </c>
      <c r="Z141" s="654">
        <f t="shared" si="25"/>
        <v>0</v>
      </c>
      <c r="AA141" s="655" t="str">
        <f t="shared" si="26"/>
        <v>560023212872612149</v>
      </c>
      <c r="AB141" s="638"/>
      <c r="AC141" s="638"/>
      <c r="AD141" s="638"/>
      <c r="AE141" s="638"/>
      <c r="AF141" s="638"/>
    </row>
    <row r="142" spans="1:32" ht="12.75" outlineLevel="2">
      <c r="A142" s="639">
        <f t="shared" si="20"/>
        <v>140</v>
      </c>
      <c r="B142" s="658" t="s">
        <v>606</v>
      </c>
      <c r="C142" s="641" t="s">
        <v>715</v>
      </c>
      <c r="D142" s="641">
        <v>2873</v>
      </c>
      <c r="E142" s="641">
        <v>6121</v>
      </c>
      <c r="F142" s="649">
        <v>49</v>
      </c>
      <c r="G142" s="642" t="s">
        <v>760</v>
      </c>
      <c r="H142" s="641">
        <v>2013</v>
      </c>
      <c r="I142" s="665">
        <v>2016</v>
      </c>
      <c r="J142" s="660">
        <v>23718</v>
      </c>
      <c r="K142" s="660"/>
      <c r="L142" s="660"/>
      <c r="M142" s="661">
        <v>1200</v>
      </c>
      <c r="N142" s="661">
        <v>1200</v>
      </c>
      <c r="O142" s="660">
        <v>933</v>
      </c>
      <c r="P142" s="647">
        <f t="shared" si="21"/>
        <v>0.7775</v>
      </c>
      <c r="Q142" s="661">
        <v>100</v>
      </c>
      <c r="R142" s="661">
        <v>22418</v>
      </c>
      <c r="S142" s="662"/>
      <c r="T142" s="649" t="s">
        <v>682</v>
      </c>
      <c r="U142" s="669"/>
      <c r="V142" s="651">
        <f t="shared" si="23"/>
        <v>0</v>
      </c>
      <c r="W142" s="652">
        <f>IF(AND(P142&lt;'[1]koment'!$F$1,N142&gt;='[1]koment'!$F$2),"Komentovat","")</f>
      </c>
      <c r="X142" s="653" t="e">
        <f t="shared" si="22"/>
        <v>#REF!</v>
      </c>
      <c r="Y142" s="651" t="str">
        <f t="shared" si="24"/>
        <v> </v>
      </c>
      <c r="Z142" s="654">
        <f t="shared" si="25"/>
        <v>0</v>
      </c>
      <c r="AA142" s="655" t="str">
        <f t="shared" si="26"/>
        <v>560023212873612149</v>
      </c>
      <c r="AB142" s="638"/>
      <c r="AC142" s="638"/>
      <c r="AD142" s="638"/>
      <c r="AE142" s="638"/>
      <c r="AF142" s="638"/>
    </row>
    <row r="143" spans="1:32" ht="12.75" outlineLevel="2">
      <c r="A143" s="639">
        <f t="shared" si="20"/>
        <v>141</v>
      </c>
      <c r="B143" s="658" t="s">
        <v>606</v>
      </c>
      <c r="C143" s="641" t="s">
        <v>715</v>
      </c>
      <c r="D143" s="641">
        <v>2880</v>
      </c>
      <c r="E143" s="641">
        <v>6121</v>
      </c>
      <c r="F143" s="649">
        <v>49</v>
      </c>
      <c r="G143" s="642" t="s">
        <v>761</v>
      </c>
      <c r="H143" s="641">
        <v>2013</v>
      </c>
      <c r="I143" s="665">
        <v>2018</v>
      </c>
      <c r="J143" s="660">
        <v>24247</v>
      </c>
      <c r="K143" s="660"/>
      <c r="L143" s="660"/>
      <c r="M143" s="661">
        <v>1000</v>
      </c>
      <c r="N143" s="661">
        <v>1000</v>
      </c>
      <c r="O143" s="660">
        <v>976</v>
      </c>
      <c r="P143" s="647">
        <f t="shared" si="21"/>
        <v>0.976</v>
      </c>
      <c r="Q143" s="661">
        <v>100</v>
      </c>
      <c r="R143" s="661">
        <v>100</v>
      </c>
      <c r="S143" s="662">
        <v>23047</v>
      </c>
      <c r="T143" s="649" t="s">
        <v>682</v>
      </c>
      <c r="U143" s="669"/>
      <c r="V143" s="651">
        <f t="shared" si="23"/>
        <v>0</v>
      </c>
      <c r="W143" s="652">
        <f>IF(AND(P143&lt;'[1]koment'!$F$1,N143&gt;='[1]koment'!$F$2),"Komentovat","")</f>
      </c>
      <c r="X143" s="653" t="e">
        <f t="shared" si="22"/>
        <v>#REF!</v>
      </c>
      <c r="Y143" s="651" t="str">
        <f t="shared" si="24"/>
        <v> </v>
      </c>
      <c r="Z143" s="654">
        <f t="shared" si="25"/>
        <v>0</v>
      </c>
      <c r="AA143" s="655" t="str">
        <f t="shared" si="26"/>
        <v>560023212880612149</v>
      </c>
      <c r="AB143" s="638"/>
      <c r="AC143" s="638"/>
      <c r="AD143" s="638"/>
      <c r="AE143" s="638"/>
      <c r="AF143" s="638"/>
    </row>
    <row r="144" spans="1:32" ht="12.75" outlineLevel="2">
      <c r="A144" s="639">
        <f t="shared" si="20"/>
        <v>142</v>
      </c>
      <c r="B144" s="665">
        <v>5600</v>
      </c>
      <c r="C144" s="641" t="s">
        <v>715</v>
      </c>
      <c r="D144" s="641">
        <v>2881</v>
      </c>
      <c r="E144" s="641">
        <v>6121</v>
      </c>
      <c r="F144" s="649">
        <v>49</v>
      </c>
      <c r="G144" s="642" t="s">
        <v>762</v>
      </c>
      <c r="H144" s="641">
        <v>2013</v>
      </c>
      <c r="I144" s="665">
        <v>2017</v>
      </c>
      <c r="J144" s="660">
        <v>46600</v>
      </c>
      <c r="K144" s="660"/>
      <c r="L144" s="660"/>
      <c r="M144" s="661">
        <v>2000</v>
      </c>
      <c r="N144" s="661">
        <v>1000</v>
      </c>
      <c r="O144" s="660">
        <v>525</v>
      </c>
      <c r="P144" s="647">
        <f t="shared" si="21"/>
        <v>0.525</v>
      </c>
      <c r="Q144" s="661">
        <v>2600</v>
      </c>
      <c r="R144" s="661">
        <v>2000</v>
      </c>
      <c r="S144" s="662">
        <v>41000</v>
      </c>
      <c r="T144" s="649" t="s">
        <v>682</v>
      </c>
      <c r="U144" s="669"/>
      <c r="V144" s="651">
        <f t="shared" si="23"/>
        <v>0</v>
      </c>
      <c r="W144" s="652">
        <f>IF(AND(P144&lt;'[1]koment'!$F$1,N144&gt;='[1]koment'!$F$2),"Komentovat","")</f>
      </c>
      <c r="X144" s="653" t="e">
        <f t="shared" si="22"/>
        <v>#REF!</v>
      </c>
      <c r="Y144" s="651" t="str">
        <f t="shared" si="24"/>
        <v> </v>
      </c>
      <c r="Z144" s="654">
        <f t="shared" si="25"/>
        <v>0</v>
      </c>
      <c r="AA144" s="655" t="str">
        <f t="shared" si="26"/>
        <v>560023212881612149</v>
      </c>
      <c r="AB144" s="638"/>
      <c r="AC144" s="638"/>
      <c r="AD144" s="638"/>
      <c r="AE144" s="638"/>
      <c r="AF144" s="638"/>
    </row>
    <row r="145" spans="1:32" ht="12.75" outlineLevel="2">
      <c r="A145" s="639">
        <f t="shared" si="20"/>
        <v>143</v>
      </c>
      <c r="B145" s="641">
        <v>5600</v>
      </c>
      <c r="C145" s="641" t="s">
        <v>715</v>
      </c>
      <c r="D145" s="641">
        <v>2889</v>
      </c>
      <c r="E145" s="641">
        <v>6121</v>
      </c>
      <c r="F145" s="649">
        <v>49</v>
      </c>
      <c r="G145" s="642" t="s">
        <v>763</v>
      </c>
      <c r="H145" s="641">
        <v>2012</v>
      </c>
      <c r="I145" s="665">
        <v>2018</v>
      </c>
      <c r="J145" s="660">
        <v>47100</v>
      </c>
      <c r="K145" s="660"/>
      <c r="L145" s="660"/>
      <c r="M145" s="661">
        <v>2000</v>
      </c>
      <c r="N145" s="661">
        <v>100</v>
      </c>
      <c r="O145" s="660"/>
      <c r="P145" s="647">
        <f t="shared" si="21"/>
        <v>0</v>
      </c>
      <c r="Q145" s="661">
        <v>2200</v>
      </c>
      <c r="R145" s="661">
        <v>44300</v>
      </c>
      <c r="S145" s="662"/>
      <c r="T145" s="649" t="s">
        <v>682</v>
      </c>
      <c r="U145" s="669"/>
      <c r="V145" s="651">
        <f t="shared" si="23"/>
        <v>500</v>
      </c>
      <c r="W145" s="652">
        <f>IF(AND(P145&lt;'[1]koment'!$F$1,N145&gt;='[1]koment'!$F$2),"Komentovat","")</f>
      </c>
      <c r="X145" s="653" t="e">
        <f t="shared" si="22"/>
        <v>#REF!</v>
      </c>
      <c r="Y145" s="651">
        <f t="shared" si="24"/>
        <v>5600</v>
      </c>
      <c r="Z145" s="654" t="str">
        <f t="shared" si="25"/>
        <v>ORG 2889 - Koliště- rekonstrukce kanalizace a vodovodu</v>
      </c>
      <c r="AA145" s="655" t="str">
        <f t="shared" si="26"/>
        <v>560023212889612149</v>
      </c>
      <c r="AB145" s="638"/>
      <c r="AC145" s="638"/>
      <c r="AD145" s="638"/>
      <c r="AE145" s="638"/>
      <c r="AF145" s="638"/>
    </row>
    <row r="146" spans="1:32" ht="12.75" outlineLevel="2">
      <c r="A146" s="639">
        <f t="shared" si="20"/>
        <v>144</v>
      </c>
      <c r="B146" s="663" t="s">
        <v>606</v>
      </c>
      <c r="C146" s="641" t="s">
        <v>715</v>
      </c>
      <c r="D146" s="641">
        <v>2890</v>
      </c>
      <c r="E146" s="641">
        <v>6121</v>
      </c>
      <c r="F146" s="649">
        <v>49</v>
      </c>
      <c r="G146" s="642" t="s">
        <v>764</v>
      </c>
      <c r="H146" s="641">
        <v>2012</v>
      </c>
      <c r="I146" s="665">
        <v>2013</v>
      </c>
      <c r="J146" s="660">
        <v>650</v>
      </c>
      <c r="K146" s="660"/>
      <c r="L146" s="660">
        <f>529</f>
        <v>529</v>
      </c>
      <c r="M146" s="661"/>
      <c r="N146" s="661"/>
      <c r="O146" s="660"/>
      <c r="P146" s="647" t="str">
        <f t="shared" si="21"/>
        <v> </v>
      </c>
      <c r="Q146" s="661"/>
      <c r="R146" s="661"/>
      <c r="S146" s="662"/>
      <c r="T146" s="649" t="s">
        <v>682</v>
      </c>
      <c r="U146" s="669"/>
      <c r="V146" s="651">
        <f t="shared" si="23"/>
        <v>121</v>
      </c>
      <c r="W146" s="652">
        <f>IF(AND(P146&lt;'[1]koment'!$F$1,N146&gt;='[1]koment'!$F$2),"Komentovat","")</f>
      </c>
      <c r="X146" s="653" t="e">
        <f t="shared" si="22"/>
        <v>#REF!</v>
      </c>
      <c r="Y146" s="651">
        <f t="shared" si="24"/>
        <v>5600</v>
      </c>
      <c r="Z146" s="654" t="str">
        <f t="shared" si="25"/>
        <v>ORG 2890 - Kučerova- rekonstrukce kanalizace a vodovodu</v>
      </c>
      <c r="AA146" s="655" t="str">
        <f t="shared" si="26"/>
        <v>560023212890612149</v>
      </c>
      <c r="AB146" s="638"/>
      <c r="AC146" s="638"/>
      <c r="AD146" s="638"/>
      <c r="AE146" s="638"/>
      <c r="AF146" s="638"/>
    </row>
    <row r="147" spans="1:32" ht="12.75" outlineLevel="2">
      <c r="A147" s="639">
        <f t="shared" si="20"/>
        <v>145</v>
      </c>
      <c r="B147" s="641">
        <v>5600</v>
      </c>
      <c r="C147" s="641" t="s">
        <v>715</v>
      </c>
      <c r="D147" s="641">
        <v>2891</v>
      </c>
      <c r="E147" s="641">
        <v>6121</v>
      </c>
      <c r="F147" s="649">
        <v>49</v>
      </c>
      <c r="G147" s="642" t="s">
        <v>765</v>
      </c>
      <c r="H147" s="641">
        <v>2012</v>
      </c>
      <c r="I147" s="665">
        <v>2018</v>
      </c>
      <c r="J147" s="660">
        <v>70152</v>
      </c>
      <c r="K147" s="660"/>
      <c r="L147" s="660"/>
      <c r="M147" s="661">
        <v>3000</v>
      </c>
      <c r="N147" s="661">
        <v>1100</v>
      </c>
      <c r="O147" s="660">
        <v>1001</v>
      </c>
      <c r="P147" s="647">
        <f t="shared" si="21"/>
        <v>0.91</v>
      </c>
      <c r="Q147" s="661">
        <v>1100</v>
      </c>
      <c r="R147" s="661">
        <v>200</v>
      </c>
      <c r="S147" s="662">
        <v>67752</v>
      </c>
      <c r="T147" s="649" t="s">
        <v>682</v>
      </c>
      <c r="U147" s="669"/>
      <c r="V147" s="651">
        <f t="shared" si="23"/>
        <v>0</v>
      </c>
      <c r="W147" s="652">
        <f>IF(AND(P147&lt;'[1]koment'!$F$1,N147&gt;='[1]koment'!$F$2),"Komentovat","")</f>
      </c>
      <c r="X147" s="653" t="e">
        <f t="shared" si="22"/>
        <v>#REF!</v>
      </c>
      <c r="Y147" s="651" t="str">
        <f t="shared" si="24"/>
        <v> </v>
      </c>
      <c r="Z147" s="654">
        <f t="shared" si="25"/>
        <v>0</v>
      </c>
      <c r="AA147" s="655" t="str">
        <f t="shared" si="26"/>
        <v>560023212891612149</v>
      </c>
      <c r="AB147" s="638"/>
      <c r="AC147" s="638"/>
      <c r="AD147" s="638"/>
      <c r="AE147" s="638"/>
      <c r="AF147" s="638"/>
    </row>
    <row r="148" spans="1:32" ht="12.75" outlineLevel="2">
      <c r="A148" s="639">
        <f t="shared" si="20"/>
        <v>146</v>
      </c>
      <c r="B148" s="641">
        <v>5600</v>
      </c>
      <c r="C148" s="641" t="s">
        <v>715</v>
      </c>
      <c r="D148" s="641">
        <v>2892</v>
      </c>
      <c r="E148" s="641">
        <v>6121</v>
      </c>
      <c r="F148" s="649">
        <v>49</v>
      </c>
      <c r="G148" s="642" t="s">
        <v>766</v>
      </c>
      <c r="H148" s="641">
        <v>2012</v>
      </c>
      <c r="I148" s="665">
        <v>2016</v>
      </c>
      <c r="J148" s="660">
        <v>25260</v>
      </c>
      <c r="K148" s="660"/>
      <c r="L148" s="660">
        <f>967</f>
        <v>967</v>
      </c>
      <c r="M148" s="661">
        <v>1000</v>
      </c>
      <c r="N148" s="661">
        <v>100</v>
      </c>
      <c r="O148" s="660">
        <v>1</v>
      </c>
      <c r="P148" s="647">
        <f t="shared" si="21"/>
        <v>0.01</v>
      </c>
      <c r="Q148" s="661">
        <v>7000</v>
      </c>
      <c r="R148" s="661"/>
      <c r="S148" s="662">
        <v>17193</v>
      </c>
      <c r="T148" s="649" t="s">
        <v>682</v>
      </c>
      <c r="U148" s="669"/>
      <c r="V148" s="651">
        <f t="shared" si="23"/>
        <v>0</v>
      </c>
      <c r="W148" s="652">
        <f>IF(AND(P148&lt;'[1]koment'!$F$1,N148&gt;='[1]koment'!$F$2),"Komentovat","")</f>
      </c>
      <c r="X148" s="653" t="e">
        <f t="shared" si="22"/>
        <v>#REF!</v>
      </c>
      <c r="Y148" s="651" t="str">
        <f t="shared" si="24"/>
        <v> </v>
      </c>
      <c r="Z148" s="654">
        <f t="shared" si="25"/>
        <v>0</v>
      </c>
      <c r="AA148" s="655" t="str">
        <f t="shared" si="26"/>
        <v>560023212892612149</v>
      </c>
      <c r="AB148" s="638"/>
      <c r="AC148" s="638"/>
      <c r="AD148" s="638"/>
      <c r="AE148" s="638"/>
      <c r="AF148" s="638"/>
    </row>
    <row r="149" spans="1:32" ht="12.75" outlineLevel="2">
      <c r="A149" s="639">
        <f t="shared" si="20"/>
        <v>147</v>
      </c>
      <c r="B149" s="641">
        <v>5600</v>
      </c>
      <c r="C149" s="641" t="s">
        <v>715</v>
      </c>
      <c r="D149" s="641">
        <v>2893</v>
      </c>
      <c r="E149" s="641">
        <v>6121</v>
      </c>
      <c r="F149" s="649">
        <v>49</v>
      </c>
      <c r="G149" s="642" t="s">
        <v>767</v>
      </c>
      <c r="H149" s="641">
        <v>2012</v>
      </c>
      <c r="I149" s="665">
        <v>2015</v>
      </c>
      <c r="J149" s="660">
        <v>12852</v>
      </c>
      <c r="K149" s="660"/>
      <c r="L149" s="660">
        <f>547</f>
        <v>547</v>
      </c>
      <c r="M149" s="661">
        <v>10453</v>
      </c>
      <c r="N149" s="661">
        <v>2506</v>
      </c>
      <c r="O149" s="660">
        <v>2302</v>
      </c>
      <c r="P149" s="647">
        <f t="shared" si="21"/>
        <v>0.9185953711093376</v>
      </c>
      <c r="Q149" s="661">
        <v>3000</v>
      </c>
      <c r="R149" s="661"/>
      <c r="S149" s="662"/>
      <c r="T149" s="649" t="s">
        <v>682</v>
      </c>
      <c r="U149" s="669"/>
      <c r="V149" s="651">
        <f t="shared" si="23"/>
        <v>6799</v>
      </c>
      <c r="W149" s="652">
        <f>IF(AND(P149&lt;'[1]koment'!$F$1,N149&gt;='[1]koment'!$F$2),"Komentovat","")</f>
      </c>
      <c r="X149" s="653" t="e">
        <f t="shared" si="22"/>
        <v>#REF!</v>
      </c>
      <c r="Y149" s="651">
        <f t="shared" si="24"/>
        <v>5600</v>
      </c>
      <c r="Z149" s="654" t="str">
        <f t="shared" si="25"/>
        <v>ORG 2893 - Elišky Krásnohorské-rekonstrukce kanalizace </v>
      </c>
      <c r="AA149" s="655" t="str">
        <f t="shared" si="26"/>
        <v>560023212893612149</v>
      </c>
      <c r="AB149" s="638"/>
      <c r="AC149" s="638"/>
      <c r="AD149" s="638"/>
      <c r="AE149" s="638"/>
      <c r="AF149" s="638"/>
    </row>
    <row r="150" spans="1:32" ht="12.75" outlineLevel="2">
      <c r="A150" s="639">
        <f t="shared" si="20"/>
        <v>148</v>
      </c>
      <c r="B150" s="641">
        <v>5600</v>
      </c>
      <c r="C150" s="641" t="s">
        <v>715</v>
      </c>
      <c r="D150" s="641">
        <v>2894</v>
      </c>
      <c r="E150" s="641">
        <v>6121</v>
      </c>
      <c r="F150" s="649">
        <v>49</v>
      </c>
      <c r="G150" s="642" t="s">
        <v>768</v>
      </c>
      <c r="H150" s="641">
        <v>2012</v>
      </c>
      <c r="I150" s="665">
        <v>2016</v>
      </c>
      <c r="J150" s="660">
        <v>74910</v>
      </c>
      <c r="K150" s="660"/>
      <c r="L150" s="660">
        <f>159</f>
        <v>159</v>
      </c>
      <c r="M150" s="661">
        <v>4000</v>
      </c>
      <c r="N150" s="661">
        <v>1100</v>
      </c>
      <c r="O150" s="660">
        <v>969</v>
      </c>
      <c r="P150" s="647">
        <f t="shared" si="21"/>
        <v>0.8809090909090909</v>
      </c>
      <c r="Q150" s="661">
        <v>8820</v>
      </c>
      <c r="R150" s="661">
        <v>64831</v>
      </c>
      <c r="S150" s="662"/>
      <c r="T150" s="649" t="s">
        <v>682</v>
      </c>
      <c r="U150" s="669"/>
      <c r="V150" s="651">
        <f t="shared" si="23"/>
        <v>0</v>
      </c>
      <c r="W150" s="652">
        <f>IF(AND(P150&lt;'[1]koment'!$F$1,N150&gt;='[1]koment'!$F$2),"Komentovat","")</f>
      </c>
      <c r="X150" s="653" t="e">
        <f t="shared" si="22"/>
        <v>#REF!</v>
      </c>
      <c r="Y150" s="651" t="str">
        <f t="shared" si="24"/>
        <v> </v>
      </c>
      <c r="Z150" s="654">
        <f t="shared" si="25"/>
        <v>0</v>
      </c>
      <c r="AA150" s="655" t="str">
        <f t="shared" si="26"/>
        <v>560023212894612149</v>
      </c>
      <c r="AB150" s="638"/>
      <c r="AC150" s="638"/>
      <c r="AD150" s="638"/>
      <c r="AE150" s="638"/>
      <c r="AF150" s="638"/>
    </row>
    <row r="151" spans="1:32" ht="12.75" outlineLevel="2">
      <c r="A151" s="639">
        <f t="shared" si="20"/>
        <v>149</v>
      </c>
      <c r="B151" s="641">
        <v>5600</v>
      </c>
      <c r="C151" s="641" t="s">
        <v>715</v>
      </c>
      <c r="D151" s="641">
        <v>2895</v>
      </c>
      <c r="E151" s="641">
        <v>6121</v>
      </c>
      <c r="F151" s="649">
        <v>49</v>
      </c>
      <c r="G151" s="642" t="s">
        <v>769</v>
      </c>
      <c r="H151" s="641">
        <v>2012</v>
      </c>
      <c r="I151" s="665">
        <v>2017</v>
      </c>
      <c r="J151" s="660">
        <v>78564</v>
      </c>
      <c r="K151" s="660"/>
      <c r="L151" s="660"/>
      <c r="M151" s="661">
        <v>1500</v>
      </c>
      <c r="N151" s="661"/>
      <c r="O151" s="660"/>
      <c r="P151" s="647" t="str">
        <f t="shared" si="21"/>
        <v> </v>
      </c>
      <c r="Q151" s="661">
        <v>2500</v>
      </c>
      <c r="R151" s="661">
        <v>76064</v>
      </c>
      <c r="S151" s="662"/>
      <c r="T151" s="649" t="s">
        <v>682</v>
      </c>
      <c r="U151" s="669"/>
      <c r="V151" s="651">
        <f t="shared" si="23"/>
        <v>0</v>
      </c>
      <c r="W151" s="652">
        <f>IF(AND(P151&lt;'[1]koment'!$F$1,N151&gt;='[1]koment'!$F$2),"Komentovat","")</f>
      </c>
      <c r="X151" s="653" t="e">
        <f t="shared" si="22"/>
        <v>#REF!</v>
      </c>
      <c r="Y151" s="651" t="str">
        <f t="shared" si="24"/>
        <v> </v>
      </c>
      <c r="Z151" s="654">
        <f t="shared" si="25"/>
        <v>0</v>
      </c>
      <c r="AA151" s="655" t="str">
        <f t="shared" si="26"/>
        <v>560023212895612149</v>
      </c>
      <c r="AB151" s="638"/>
      <c r="AC151" s="638"/>
      <c r="AD151" s="638"/>
      <c r="AE151" s="638"/>
      <c r="AF151" s="638"/>
    </row>
    <row r="152" spans="1:32" ht="12.75" outlineLevel="2">
      <c r="A152" s="639">
        <f t="shared" si="20"/>
        <v>150</v>
      </c>
      <c r="B152" s="641">
        <v>5600</v>
      </c>
      <c r="C152" s="641" t="s">
        <v>715</v>
      </c>
      <c r="D152" s="641">
        <v>2896</v>
      </c>
      <c r="E152" s="641">
        <v>6121</v>
      </c>
      <c r="F152" s="649">
        <v>49</v>
      </c>
      <c r="G152" s="642" t="s">
        <v>770</v>
      </c>
      <c r="H152" s="641">
        <v>2012</v>
      </c>
      <c r="I152" s="665">
        <v>2016</v>
      </c>
      <c r="J152" s="660">
        <v>49000</v>
      </c>
      <c r="K152" s="660"/>
      <c r="L152" s="660"/>
      <c r="M152" s="661">
        <v>1500</v>
      </c>
      <c r="N152" s="661">
        <v>1000</v>
      </c>
      <c r="O152" s="660">
        <v>941</v>
      </c>
      <c r="P152" s="647">
        <f t="shared" si="21"/>
        <v>0.941</v>
      </c>
      <c r="Q152" s="661">
        <v>2500</v>
      </c>
      <c r="R152" s="661">
        <v>45500</v>
      </c>
      <c r="S152" s="662"/>
      <c r="T152" s="649" t="s">
        <v>682</v>
      </c>
      <c r="U152" s="669"/>
      <c r="V152" s="651">
        <f t="shared" si="23"/>
        <v>0</v>
      </c>
      <c r="W152" s="652">
        <f>IF(AND(P152&lt;'[1]koment'!$F$1,N152&gt;='[1]koment'!$F$2),"Komentovat","")</f>
      </c>
      <c r="X152" s="653" t="e">
        <f t="shared" si="22"/>
        <v>#REF!</v>
      </c>
      <c r="Y152" s="651" t="str">
        <f t="shared" si="24"/>
        <v> </v>
      </c>
      <c r="Z152" s="654">
        <f t="shared" si="25"/>
        <v>0</v>
      </c>
      <c r="AA152" s="655" t="str">
        <f t="shared" si="26"/>
        <v>560023212896612149</v>
      </c>
      <c r="AB152" s="638"/>
      <c r="AC152" s="638"/>
      <c r="AD152" s="638"/>
      <c r="AE152" s="638"/>
      <c r="AF152" s="638"/>
    </row>
    <row r="153" spans="1:32" ht="12.75" outlineLevel="2">
      <c r="A153" s="639">
        <f t="shared" si="20"/>
        <v>151</v>
      </c>
      <c r="B153" s="641">
        <v>5600</v>
      </c>
      <c r="C153" s="641" t="s">
        <v>715</v>
      </c>
      <c r="D153" s="641">
        <v>2897</v>
      </c>
      <c r="E153" s="641">
        <v>6121</v>
      </c>
      <c r="F153" s="649">
        <v>49</v>
      </c>
      <c r="G153" s="642" t="s">
        <v>771</v>
      </c>
      <c r="H153" s="641">
        <v>2012</v>
      </c>
      <c r="I153" s="665">
        <v>2016</v>
      </c>
      <c r="J153" s="660">
        <v>10500</v>
      </c>
      <c r="K153" s="660"/>
      <c r="L153" s="660"/>
      <c r="M153" s="661">
        <v>1000</v>
      </c>
      <c r="N153" s="661">
        <v>1000</v>
      </c>
      <c r="O153" s="660">
        <v>767</v>
      </c>
      <c r="P153" s="647">
        <f t="shared" si="21"/>
        <v>0.767</v>
      </c>
      <c r="Q153" s="661">
        <v>2000</v>
      </c>
      <c r="R153" s="661">
        <v>7500</v>
      </c>
      <c r="S153" s="662"/>
      <c r="T153" s="649" t="s">
        <v>682</v>
      </c>
      <c r="U153" s="669"/>
      <c r="V153" s="651">
        <f t="shared" si="23"/>
        <v>0</v>
      </c>
      <c r="W153" s="652">
        <f>IF(AND(P153&lt;'[1]koment'!$F$1,N153&gt;='[1]koment'!$F$2),"Komentovat","")</f>
      </c>
      <c r="X153" s="653" t="e">
        <f t="shared" si="22"/>
        <v>#REF!</v>
      </c>
      <c r="Y153" s="651" t="str">
        <f t="shared" si="24"/>
        <v> </v>
      </c>
      <c r="Z153" s="654">
        <f t="shared" si="25"/>
        <v>0</v>
      </c>
      <c r="AA153" s="655" t="str">
        <f t="shared" si="26"/>
        <v>560023212897612149</v>
      </c>
      <c r="AB153" s="638"/>
      <c r="AC153" s="638"/>
      <c r="AD153" s="638"/>
      <c r="AE153" s="638"/>
      <c r="AF153" s="638"/>
    </row>
    <row r="154" spans="1:32" ht="12.75" outlineLevel="2">
      <c r="A154" s="639">
        <f t="shared" si="20"/>
        <v>152</v>
      </c>
      <c r="B154" s="641">
        <v>5600</v>
      </c>
      <c r="C154" s="641" t="s">
        <v>715</v>
      </c>
      <c r="D154" s="641">
        <v>2898</v>
      </c>
      <c r="E154" s="641">
        <v>6121</v>
      </c>
      <c r="F154" s="649">
        <v>49</v>
      </c>
      <c r="G154" s="642" t="s">
        <v>772</v>
      </c>
      <c r="H154" s="641">
        <v>2012</v>
      </c>
      <c r="I154" s="665">
        <v>2017</v>
      </c>
      <c r="J154" s="660">
        <v>19863</v>
      </c>
      <c r="K154" s="660"/>
      <c r="L154" s="660">
        <f>995</f>
        <v>995</v>
      </c>
      <c r="M154" s="661">
        <v>1200</v>
      </c>
      <c r="N154" s="661">
        <v>100</v>
      </c>
      <c r="O154" s="660"/>
      <c r="P154" s="647">
        <f t="shared" si="21"/>
        <v>0</v>
      </c>
      <c r="Q154" s="661"/>
      <c r="R154" s="661">
        <v>100</v>
      </c>
      <c r="S154" s="662">
        <v>18668</v>
      </c>
      <c r="T154" s="649" t="s">
        <v>682</v>
      </c>
      <c r="U154" s="669"/>
      <c r="V154" s="651">
        <f t="shared" si="23"/>
        <v>0</v>
      </c>
      <c r="W154" s="652">
        <f>IF(AND(P154&lt;'[1]koment'!$F$1,N154&gt;='[1]koment'!$F$2),"Komentovat","")</f>
      </c>
      <c r="X154" s="653" t="e">
        <f t="shared" si="22"/>
        <v>#REF!</v>
      </c>
      <c r="Y154" s="651" t="str">
        <f t="shared" si="24"/>
        <v> </v>
      </c>
      <c r="Z154" s="654">
        <f t="shared" si="25"/>
        <v>0</v>
      </c>
      <c r="AA154" s="655" t="str">
        <f t="shared" si="26"/>
        <v>560023212898612149</v>
      </c>
      <c r="AB154" s="638"/>
      <c r="AC154" s="638"/>
      <c r="AD154" s="638"/>
      <c r="AE154" s="638"/>
      <c r="AF154" s="638"/>
    </row>
    <row r="155" spans="1:32" ht="12.75" outlineLevel="2">
      <c r="A155" s="639">
        <f t="shared" si="20"/>
        <v>153</v>
      </c>
      <c r="B155" s="658" t="s">
        <v>606</v>
      </c>
      <c r="C155" s="641" t="s">
        <v>715</v>
      </c>
      <c r="D155" s="641">
        <v>2910</v>
      </c>
      <c r="E155" s="641">
        <v>6121</v>
      </c>
      <c r="F155" s="649">
        <v>49</v>
      </c>
      <c r="G155" s="642" t="s">
        <v>773</v>
      </c>
      <c r="H155" s="641">
        <v>2012</v>
      </c>
      <c r="I155" s="665">
        <v>2017</v>
      </c>
      <c r="J155" s="660">
        <v>50100</v>
      </c>
      <c r="K155" s="660"/>
      <c r="L155" s="660">
        <f>946</f>
        <v>946</v>
      </c>
      <c r="M155" s="661">
        <v>1000</v>
      </c>
      <c r="N155" s="661">
        <v>100</v>
      </c>
      <c r="O155" s="660"/>
      <c r="P155" s="647">
        <f t="shared" si="21"/>
        <v>0</v>
      </c>
      <c r="Q155" s="661">
        <v>200</v>
      </c>
      <c r="R155" s="661">
        <v>400</v>
      </c>
      <c r="S155" s="662">
        <v>48454</v>
      </c>
      <c r="T155" s="649" t="s">
        <v>682</v>
      </c>
      <c r="U155" s="669"/>
      <c r="V155" s="651">
        <f t="shared" si="23"/>
        <v>0</v>
      </c>
      <c r="W155" s="652">
        <f>IF(AND(P155&lt;'[1]koment'!$F$1,N155&gt;='[1]koment'!$F$2),"Komentovat","")</f>
      </c>
      <c r="X155" s="653" t="e">
        <f t="shared" si="22"/>
        <v>#REF!</v>
      </c>
      <c r="Y155" s="651" t="str">
        <f t="shared" si="24"/>
        <v> </v>
      </c>
      <c r="Z155" s="654">
        <f t="shared" si="25"/>
        <v>0</v>
      </c>
      <c r="AA155" s="655" t="str">
        <f t="shared" si="26"/>
        <v>560023212910612149</v>
      </c>
      <c r="AB155" s="638"/>
      <c r="AC155" s="638"/>
      <c r="AD155" s="638"/>
      <c r="AE155" s="638"/>
      <c r="AF155" s="638"/>
    </row>
    <row r="156" spans="1:32" ht="12.75" outlineLevel="2">
      <c r="A156" s="639">
        <f t="shared" si="20"/>
        <v>154</v>
      </c>
      <c r="B156" s="658" t="s">
        <v>606</v>
      </c>
      <c r="C156" s="641" t="s">
        <v>715</v>
      </c>
      <c r="D156" s="641">
        <v>2914</v>
      </c>
      <c r="E156" s="641">
        <v>6121</v>
      </c>
      <c r="F156" s="649">
        <v>49</v>
      </c>
      <c r="G156" s="642" t="s">
        <v>774</v>
      </c>
      <c r="H156" s="641">
        <v>2012</v>
      </c>
      <c r="I156" s="665">
        <v>2018</v>
      </c>
      <c r="J156" s="660"/>
      <c r="K156" s="660"/>
      <c r="L156" s="660"/>
      <c r="M156" s="661"/>
      <c r="N156" s="661"/>
      <c r="O156" s="660"/>
      <c r="P156" s="647" t="str">
        <f t="shared" si="21"/>
        <v> </v>
      </c>
      <c r="Q156" s="661"/>
      <c r="R156" s="661"/>
      <c r="S156" s="662"/>
      <c r="T156" s="649" t="s">
        <v>682</v>
      </c>
      <c r="U156" s="669"/>
      <c r="V156" s="651">
        <f t="shared" si="23"/>
        <v>0</v>
      </c>
      <c r="W156" s="652">
        <f>IF(AND(P156&lt;'[1]koment'!$F$1,N156&gt;='[1]koment'!$F$2),"Komentovat","")</f>
      </c>
      <c r="X156" s="653" t="e">
        <f t="shared" si="22"/>
        <v>#REF!</v>
      </c>
      <c r="Y156" s="651" t="str">
        <f t="shared" si="24"/>
        <v> </v>
      </c>
      <c r="Z156" s="654">
        <f t="shared" si="25"/>
        <v>0</v>
      </c>
      <c r="AA156" s="655" t="str">
        <f t="shared" si="26"/>
        <v>560023212914612149</v>
      </c>
      <c r="AB156" s="638"/>
      <c r="AC156" s="638"/>
      <c r="AD156" s="638"/>
      <c r="AE156" s="638"/>
      <c r="AF156" s="638"/>
    </row>
    <row r="157" spans="1:32" ht="12.75" outlineLevel="2">
      <c r="A157" s="639">
        <f t="shared" si="20"/>
        <v>155</v>
      </c>
      <c r="B157" s="658" t="s">
        <v>606</v>
      </c>
      <c r="C157" s="641" t="s">
        <v>715</v>
      </c>
      <c r="D157" s="641">
        <v>2915</v>
      </c>
      <c r="E157" s="641">
        <v>6121</v>
      </c>
      <c r="F157" s="649">
        <v>49</v>
      </c>
      <c r="G157" s="642" t="s">
        <v>775</v>
      </c>
      <c r="H157" s="641">
        <v>2012</v>
      </c>
      <c r="I157" s="665">
        <v>2017</v>
      </c>
      <c r="J157" s="660">
        <v>26550</v>
      </c>
      <c r="K157" s="660"/>
      <c r="L157" s="660">
        <f>1921</f>
        <v>1921</v>
      </c>
      <c r="M157" s="661">
        <v>2000</v>
      </c>
      <c r="N157" s="661">
        <v>200</v>
      </c>
      <c r="O157" s="660">
        <v>192</v>
      </c>
      <c r="P157" s="647">
        <f t="shared" si="21"/>
        <v>0.96</v>
      </c>
      <c r="Q157" s="661"/>
      <c r="R157" s="661">
        <v>200</v>
      </c>
      <c r="S157" s="662">
        <v>24229</v>
      </c>
      <c r="T157" s="649" t="s">
        <v>682</v>
      </c>
      <c r="U157" s="669"/>
      <c r="V157" s="651">
        <f t="shared" si="23"/>
        <v>0</v>
      </c>
      <c r="W157" s="652">
        <f>IF(AND(P157&lt;'[1]koment'!$F$1,N157&gt;='[1]koment'!$F$2),"Komentovat","")</f>
      </c>
      <c r="X157" s="653" t="e">
        <f t="shared" si="22"/>
        <v>#REF!</v>
      </c>
      <c r="Y157" s="651" t="str">
        <f t="shared" si="24"/>
        <v> </v>
      </c>
      <c r="Z157" s="654">
        <f t="shared" si="25"/>
        <v>0</v>
      </c>
      <c r="AA157" s="655" t="str">
        <f t="shared" si="26"/>
        <v>560023212915612149</v>
      </c>
      <c r="AB157" s="638"/>
      <c r="AC157" s="638"/>
      <c r="AD157" s="638"/>
      <c r="AE157" s="638"/>
      <c r="AF157" s="638"/>
    </row>
    <row r="158" spans="1:32" ht="12.75" outlineLevel="2">
      <c r="A158" s="639">
        <f t="shared" si="20"/>
        <v>156</v>
      </c>
      <c r="B158" s="663">
        <v>5600</v>
      </c>
      <c r="C158" s="641" t="s">
        <v>715</v>
      </c>
      <c r="D158" s="641">
        <v>2927</v>
      </c>
      <c r="E158" s="641">
        <v>6121</v>
      </c>
      <c r="F158" s="649">
        <v>49</v>
      </c>
      <c r="G158" s="642" t="s">
        <v>776</v>
      </c>
      <c r="H158" s="641">
        <v>2011</v>
      </c>
      <c r="I158" s="641">
        <v>2016</v>
      </c>
      <c r="J158" s="660">
        <v>61900</v>
      </c>
      <c r="K158" s="660"/>
      <c r="L158" s="660">
        <f>949</f>
        <v>949</v>
      </c>
      <c r="M158" s="661">
        <v>1000</v>
      </c>
      <c r="N158" s="661">
        <v>100</v>
      </c>
      <c r="O158" s="660">
        <v>1</v>
      </c>
      <c r="P158" s="647">
        <f t="shared" si="21"/>
        <v>0.01</v>
      </c>
      <c r="Q158" s="661">
        <v>41551</v>
      </c>
      <c r="R158" s="661">
        <v>18400</v>
      </c>
      <c r="S158" s="662"/>
      <c r="T158" s="649" t="s">
        <v>682</v>
      </c>
      <c r="U158" s="669"/>
      <c r="V158" s="651">
        <f t="shared" si="23"/>
        <v>900</v>
      </c>
      <c r="W158" s="652">
        <f>IF(AND(P158&lt;'[1]koment'!$F$1,N158&gt;='[1]koment'!$F$2),"Komentovat","")</f>
      </c>
      <c r="X158" s="653" t="e">
        <f t="shared" si="22"/>
        <v>#REF!</v>
      </c>
      <c r="Y158" s="651">
        <f t="shared" si="24"/>
        <v>5600</v>
      </c>
      <c r="Z158" s="654" t="str">
        <f t="shared" si="25"/>
        <v>ORG 2927 - Staňkova I, Skřivanova II - rek. kan. a vod.</v>
      </c>
      <c r="AA158" s="655" t="str">
        <f t="shared" si="26"/>
        <v>560023212927612149</v>
      </c>
      <c r="AB158" s="638"/>
      <c r="AC158" s="638"/>
      <c r="AD158" s="638"/>
      <c r="AE158" s="638"/>
      <c r="AF158" s="638"/>
    </row>
    <row r="159" spans="1:32" ht="12.75" outlineLevel="2">
      <c r="A159" s="639">
        <f t="shared" si="20"/>
        <v>157</v>
      </c>
      <c r="B159" s="663">
        <v>5600</v>
      </c>
      <c r="C159" s="641" t="s">
        <v>715</v>
      </c>
      <c r="D159" s="641">
        <v>2928</v>
      </c>
      <c r="E159" s="641">
        <v>6121</v>
      </c>
      <c r="F159" s="649">
        <v>49</v>
      </c>
      <c r="G159" s="642" t="s">
        <v>777</v>
      </c>
      <c r="H159" s="641">
        <v>2011</v>
      </c>
      <c r="I159" s="641">
        <v>2017</v>
      </c>
      <c r="J159" s="660">
        <v>81534</v>
      </c>
      <c r="K159" s="660"/>
      <c r="L159" s="660"/>
      <c r="M159" s="661">
        <v>1200</v>
      </c>
      <c r="N159" s="661">
        <v>100</v>
      </c>
      <c r="O159" s="660"/>
      <c r="P159" s="647">
        <f t="shared" si="21"/>
        <v>0</v>
      </c>
      <c r="Q159" s="661">
        <v>2000</v>
      </c>
      <c r="R159" s="661">
        <v>3000</v>
      </c>
      <c r="S159" s="662">
        <v>75334</v>
      </c>
      <c r="T159" s="649" t="s">
        <v>682</v>
      </c>
      <c r="U159" s="669"/>
      <c r="V159" s="651">
        <f t="shared" si="23"/>
        <v>1100</v>
      </c>
      <c r="W159" s="652">
        <f>IF(AND(P159&lt;'[1]koment'!$F$1,N159&gt;='[1]koment'!$F$2),"Komentovat","")</f>
      </c>
      <c r="X159" s="653" t="e">
        <f t="shared" si="22"/>
        <v>#REF!</v>
      </c>
      <c r="Y159" s="651">
        <f t="shared" si="24"/>
        <v>5600</v>
      </c>
      <c r="Z159" s="654" t="str">
        <f t="shared" si="25"/>
        <v>ORG 2928 - Krkoškova, Zátiší, Fügnerova I - rek. kanalizace a vod.</v>
      </c>
      <c r="AA159" s="655" t="str">
        <f t="shared" si="26"/>
        <v>560023212928612149</v>
      </c>
      <c r="AB159" s="638"/>
      <c r="AC159" s="638"/>
      <c r="AD159" s="638"/>
      <c r="AE159" s="638"/>
      <c r="AF159" s="638"/>
    </row>
    <row r="160" spans="1:32" ht="12.75" outlineLevel="2">
      <c r="A160" s="639">
        <f t="shared" si="20"/>
        <v>158</v>
      </c>
      <c r="B160" s="663">
        <v>5600</v>
      </c>
      <c r="C160" s="641" t="s">
        <v>715</v>
      </c>
      <c r="D160" s="641">
        <v>2929</v>
      </c>
      <c r="E160" s="641">
        <v>6121</v>
      </c>
      <c r="F160" s="649">
        <v>49</v>
      </c>
      <c r="G160" s="642" t="s">
        <v>778</v>
      </c>
      <c r="H160" s="641">
        <v>2011</v>
      </c>
      <c r="I160" s="641">
        <v>2017</v>
      </c>
      <c r="J160" s="660">
        <v>64425</v>
      </c>
      <c r="K160" s="660"/>
      <c r="L160" s="660"/>
      <c r="M160" s="661">
        <v>2500</v>
      </c>
      <c r="N160" s="661">
        <v>20</v>
      </c>
      <c r="O160" s="660"/>
      <c r="P160" s="647">
        <f t="shared" si="21"/>
        <v>0</v>
      </c>
      <c r="Q160" s="661">
        <v>2500</v>
      </c>
      <c r="R160" s="661">
        <v>2000</v>
      </c>
      <c r="S160" s="662">
        <v>59905</v>
      </c>
      <c r="T160" s="649" t="s">
        <v>682</v>
      </c>
      <c r="U160" s="669"/>
      <c r="V160" s="651">
        <f t="shared" si="23"/>
        <v>0</v>
      </c>
      <c r="W160" s="652">
        <f>IF(AND(P160&lt;'[1]koment'!$F$1,N160&gt;='[1]koment'!$F$2),"Komentovat","")</f>
      </c>
      <c r="X160" s="653" t="e">
        <f t="shared" si="22"/>
        <v>#REF!</v>
      </c>
      <c r="Y160" s="651" t="str">
        <f t="shared" si="24"/>
        <v> </v>
      </c>
      <c r="Z160" s="654">
        <f t="shared" si="25"/>
        <v>0</v>
      </c>
      <c r="AA160" s="655" t="str">
        <f t="shared" si="26"/>
        <v>560023212929612149</v>
      </c>
      <c r="AB160" s="638"/>
      <c r="AC160" s="638"/>
      <c r="AD160" s="638"/>
      <c r="AE160" s="638"/>
      <c r="AF160" s="638"/>
    </row>
    <row r="161" spans="1:32" ht="12.75" outlineLevel="2">
      <c r="A161" s="639">
        <f t="shared" si="20"/>
        <v>159</v>
      </c>
      <c r="B161" s="663">
        <v>5600</v>
      </c>
      <c r="C161" s="641" t="s">
        <v>715</v>
      </c>
      <c r="D161" s="641">
        <v>2949</v>
      </c>
      <c r="E161" s="641">
        <v>6121</v>
      </c>
      <c r="F161" s="649">
        <v>49</v>
      </c>
      <c r="G161" s="642" t="s">
        <v>779</v>
      </c>
      <c r="H161" s="641">
        <v>2011</v>
      </c>
      <c r="I161" s="641">
        <v>2013</v>
      </c>
      <c r="J161" s="660">
        <v>6564</v>
      </c>
      <c r="K161" s="660"/>
      <c r="L161" s="660">
        <f>670+5884</f>
        <v>6554</v>
      </c>
      <c r="M161" s="661"/>
      <c r="N161" s="661"/>
      <c r="O161" s="660"/>
      <c r="P161" s="647" t="str">
        <f t="shared" si="21"/>
        <v> </v>
      </c>
      <c r="Q161" s="661"/>
      <c r="R161" s="661"/>
      <c r="S161" s="662"/>
      <c r="T161" s="649" t="s">
        <v>682</v>
      </c>
      <c r="U161" s="669"/>
      <c r="V161" s="651">
        <f t="shared" si="23"/>
        <v>10</v>
      </c>
      <c r="W161" s="652">
        <f>IF(AND(P161&lt;'[1]koment'!$F$1,N161&gt;='[1]koment'!$F$2),"Komentovat","")</f>
      </c>
      <c r="X161" s="653" t="e">
        <f t="shared" si="22"/>
        <v>#REF!</v>
      </c>
      <c r="Y161" s="651">
        <f t="shared" si="24"/>
        <v>5600</v>
      </c>
      <c r="Z161" s="654" t="str">
        <f t="shared" si="25"/>
        <v>ORG 2949 - Chelčického - rekonstrukce kanalizace a vodovodu</v>
      </c>
      <c r="AA161" s="655" t="str">
        <f t="shared" si="26"/>
        <v>560023212949612149</v>
      </c>
      <c r="AB161" s="638"/>
      <c r="AC161" s="638"/>
      <c r="AD161" s="638"/>
      <c r="AE161" s="638"/>
      <c r="AF161" s="638"/>
    </row>
    <row r="162" spans="1:32" ht="12.75" outlineLevel="2">
      <c r="A162" s="639">
        <f t="shared" si="20"/>
        <v>160</v>
      </c>
      <c r="B162" s="663">
        <v>5600</v>
      </c>
      <c r="C162" s="641" t="s">
        <v>715</v>
      </c>
      <c r="D162" s="641">
        <v>2951</v>
      </c>
      <c r="E162" s="641">
        <v>6121</v>
      </c>
      <c r="F162" s="649">
        <v>49</v>
      </c>
      <c r="G162" s="650" t="s">
        <v>780</v>
      </c>
      <c r="H162" s="641">
        <v>2011</v>
      </c>
      <c r="I162" s="641">
        <v>2018</v>
      </c>
      <c r="J162" s="660">
        <v>27000</v>
      </c>
      <c r="K162" s="660"/>
      <c r="L162" s="660"/>
      <c r="M162" s="661">
        <v>1200</v>
      </c>
      <c r="N162" s="661"/>
      <c r="O162" s="660"/>
      <c r="P162" s="647" t="str">
        <f t="shared" si="21"/>
        <v> </v>
      </c>
      <c r="Q162" s="661"/>
      <c r="R162" s="661"/>
      <c r="S162" s="662">
        <v>27000</v>
      </c>
      <c r="T162" s="649" t="s">
        <v>682</v>
      </c>
      <c r="U162" s="669"/>
      <c r="V162" s="651">
        <f t="shared" si="23"/>
        <v>0</v>
      </c>
      <c r="W162" s="652">
        <f>IF(AND(P162&lt;'[1]koment'!$F$1,N162&gt;='[1]koment'!$F$2),"Komentovat","")</f>
      </c>
      <c r="X162" s="653" t="e">
        <f t="shared" si="22"/>
        <v>#REF!</v>
      </c>
      <c r="Y162" s="651" t="str">
        <f t="shared" si="24"/>
        <v> </v>
      </c>
      <c r="Z162" s="654">
        <f t="shared" si="25"/>
        <v>0</v>
      </c>
      <c r="AA162" s="655" t="str">
        <f t="shared" si="26"/>
        <v>560023212951612149</v>
      </c>
      <c r="AB162" s="638"/>
      <c r="AC162" s="638"/>
      <c r="AD162" s="638"/>
      <c r="AE162" s="638"/>
      <c r="AF162" s="638"/>
    </row>
    <row r="163" spans="1:32" ht="12.75" outlineLevel="2">
      <c r="A163" s="639">
        <f t="shared" si="20"/>
        <v>161</v>
      </c>
      <c r="B163" s="663">
        <v>5600</v>
      </c>
      <c r="C163" s="641" t="s">
        <v>715</v>
      </c>
      <c r="D163" s="641">
        <v>2952</v>
      </c>
      <c r="E163" s="641">
        <v>6121</v>
      </c>
      <c r="F163" s="649">
        <v>49</v>
      </c>
      <c r="G163" s="642" t="s">
        <v>781</v>
      </c>
      <c r="H163" s="641">
        <v>2011</v>
      </c>
      <c r="I163" s="641">
        <v>2016</v>
      </c>
      <c r="J163" s="660">
        <v>71100</v>
      </c>
      <c r="K163" s="660"/>
      <c r="L163" s="660">
        <f>1783+14</f>
        <v>1797</v>
      </c>
      <c r="M163" s="661">
        <v>100</v>
      </c>
      <c r="N163" s="661">
        <v>100</v>
      </c>
      <c r="O163" s="660">
        <v>13</v>
      </c>
      <c r="P163" s="647">
        <f t="shared" si="21"/>
        <v>0.13</v>
      </c>
      <c r="Q163" s="661">
        <v>32000</v>
      </c>
      <c r="R163" s="661">
        <v>37203</v>
      </c>
      <c r="S163" s="662"/>
      <c r="T163" s="649" t="s">
        <v>682</v>
      </c>
      <c r="U163" s="669"/>
      <c r="V163" s="651">
        <f t="shared" si="23"/>
        <v>0</v>
      </c>
      <c r="W163" s="652">
        <f>IF(AND(P163&lt;'[1]koment'!$F$1,N163&gt;='[1]koment'!$F$2),"Komentovat","")</f>
      </c>
      <c r="X163" s="653" t="e">
        <f t="shared" si="22"/>
        <v>#REF!</v>
      </c>
      <c r="Y163" s="651" t="str">
        <f t="shared" si="24"/>
        <v> </v>
      </c>
      <c r="Z163" s="654">
        <f t="shared" si="25"/>
        <v>0</v>
      </c>
      <c r="AA163" s="655" t="str">
        <f t="shared" si="26"/>
        <v>560023212952612149</v>
      </c>
      <c r="AB163" s="638"/>
      <c r="AC163" s="638"/>
      <c r="AD163" s="638"/>
      <c r="AE163" s="638"/>
      <c r="AF163" s="638"/>
    </row>
    <row r="164" spans="1:32" ht="12.75" outlineLevel="2">
      <c r="A164" s="639">
        <f t="shared" si="20"/>
        <v>162</v>
      </c>
      <c r="B164" s="658" t="s">
        <v>606</v>
      </c>
      <c r="C164" s="641" t="s">
        <v>715</v>
      </c>
      <c r="D164" s="641">
        <v>2956</v>
      </c>
      <c r="E164" s="641">
        <v>6121</v>
      </c>
      <c r="F164" s="649"/>
      <c r="G164" s="642" t="s">
        <v>782</v>
      </c>
      <c r="H164" s="665">
        <v>2010</v>
      </c>
      <c r="I164" s="665">
        <v>2014</v>
      </c>
      <c r="J164" s="660">
        <v>655000</v>
      </c>
      <c r="K164" s="660"/>
      <c r="L164" s="660">
        <f>2908+127978+215796+154241</f>
        <v>500923</v>
      </c>
      <c r="M164" s="661">
        <v>300</v>
      </c>
      <c r="N164" s="661">
        <v>300</v>
      </c>
      <c r="O164" s="660">
        <v>180</v>
      </c>
      <c r="P164" s="647">
        <f t="shared" si="21"/>
        <v>0.6</v>
      </c>
      <c r="Q164" s="661"/>
      <c r="R164" s="661"/>
      <c r="S164" s="662"/>
      <c r="T164" s="649" t="s">
        <v>609</v>
      </c>
      <c r="U164" s="669"/>
      <c r="V164" s="651">
        <f t="shared" si="23"/>
        <v>153777</v>
      </c>
      <c r="W164" s="652">
        <f>IF(AND(P164&lt;'[1]koment'!$F$1,N164&gt;='[1]koment'!$F$2),"Komentovat","")</f>
      </c>
      <c r="X164" s="653" t="e">
        <f t="shared" si="22"/>
        <v>#REF!</v>
      </c>
      <c r="Y164" s="651">
        <f t="shared" si="24"/>
        <v>5600</v>
      </c>
      <c r="Z164" s="654" t="str">
        <f t="shared" si="25"/>
        <v>ORG 2956 - RN Jeneweinova a vodovod Komárov</v>
      </c>
      <c r="AA164" s="655" t="str">
        <f t="shared" si="26"/>
        <v>5600232129566121</v>
      </c>
      <c r="AB164" s="638"/>
      <c r="AC164" s="638"/>
      <c r="AD164" s="638"/>
      <c r="AE164" s="638"/>
      <c r="AF164" s="638"/>
    </row>
    <row r="165" spans="1:32" ht="12.75" outlineLevel="2">
      <c r="A165" s="639">
        <f t="shared" si="20"/>
        <v>163</v>
      </c>
      <c r="B165" s="658" t="s">
        <v>606</v>
      </c>
      <c r="C165" s="641" t="s">
        <v>715</v>
      </c>
      <c r="D165" s="641">
        <v>2969</v>
      </c>
      <c r="E165" s="641">
        <v>6121</v>
      </c>
      <c r="F165" s="649">
        <v>49</v>
      </c>
      <c r="G165" s="642" t="s">
        <v>783</v>
      </c>
      <c r="H165" s="665">
        <v>2010</v>
      </c>
      <c r="I165" s="665">
        <v>2015</v>
      </c>
      <c r="J165" s="660">
        <v>53250</v>
      </c>
      <c r="K165" s="660"/>
      <c r="L165" s="660">
        <f>1946+254</f>
        <v>2200</v>
      </c>
      <c r="M165" s="661">
        <v>48199</v>
      </c>
      <c r="N165" s="661">
        <v>24000</v>
      </c>
      <c r="O165" s="660">
        <v>7738</v>
      </c>
      <c r="P165" s="647">
        <f t="shared" si="21"/>
        <v>0.3224166666666667</v>
      </c>
      <c r="Q165" s="661">
        <v>11056</v>
      </c>
      <c r="R165" s="661"/>
      <c r="S165" s="662"/>
      <c r="T165" s="649" t="s">
        <v>682</v>
      </c>
      <c r="U165" s="669"/>
      <c r="V165" s="651">
        <f t="shared" si="23"/>
        <v>15994</v>
      </c>
      <c r="W165" s="652" t="str">
        <f>IF(AND(P165&lt;'[1]koment'!$F$1,N165&gt;='[1]koment'!$F$2),"Komentovat","")</f>
        <v>Komentovat</v>
      </c>
      <c r="X165" s="653" t="e">
        <f t="shared" si="22"/>
        <v>#REF!</v>
      </c>
      <c r="Y165" s="651">
        <f t="shared" si="24"/>
        <v>5600</v>
      </c>
      <c r="Z165" s="654" t="str">
        <f t="shared" si="25"/>
        <v>ORG 2969 - Vránova - rekonstrukce kanalizace a vodovodu</v>
      </c>
      <c r="AA165" s="655" t="str">
        <f t="shared" si="26"/>
        <v>560023212969612149</v>
      </c>
      <c r="AB165" s="638"/>
      <c r="AC165" s="638"/>
      <c r="AD165" s="638"/>
      <c r="AE165" s="638"/>
      <c r="AF165" s="638"/>
    </row>
    <row r="166" spans="1:32" ht="12.75" outlineLevel="2">
      <c r="A166" s="639">
        <f t="shared" si="20"/>
        <v>164</v>
      </c>
      <c r="B166" s="658" t="s">
        <v>606</v>
      </c>
      <c r="C166" s="641" t="s">
        <v>715</v>
      </c>
      <c r="D166" s="641">
        <v>2970</v>
      </c>
      <c r="E166" s="641">
        <v>6121</v>
      </c>
      <c r="F166" s="649">
        <v>49</v>
      </c>
      <c r="G166" s="642" t="s">
        <v>784</v>
      </c>
      <c r="H166" s="665">
        <v>2010</v>
      </c>
      <c r="I166" s="641">
        <v>2015</v>
      </c>
      <c r="J166" s="660">
        <v>12200</v>
      </c>
      <c r="K166" s="660"/>
      <c r="L166" s="660">
        <f>456+139</f>
        <v>595</v>
      </c>
      <c r="M166" s="661">
        <v>2000</v>
      </c>
      <c r="N166" s="661">
        <v>2000</v>
      </c>
      <c r="O166" s="660">
        <v>971</v>
      </c>
      <c r="P166" s="647">
        <f t="shared" si="21"/>
        <v>0.4855</v>
      </c>
      <c r="Q166" s="661">
        <v>9605</v>
      </c>
      <c r="R166" s="661"/>
      <c r="S166" s="662"/>
      <c r="T166" s="649" t="s">
        <v>682</v>
      </c>
      <c r="U166" s="669"/>
      <c r="V166" s="651">
        <f t="shared" si="23"/>
        <v>0</v>
      </c>
      <c r="W166" s="652">
        <f>IF(AND(P166&lt;'[1]koment'!$F$1,N166&gt;='[1]koment'!$F$2),"Komentovat","")</f>
      </c>
      <c r="X166" s="653" t="e">
        <f t="shared" si="22"/>
        <v>#REF!</v>
      </c>
      <c r="Y166" s="651" t="str">
        <f t="shared" si="24"/>
        <v> </v>
      </c>
      <c r="Z166" s="654">
        <f t="shared" si="25"/>
        <v>0</v>
      </c>
      <c r="AA166" s="655" t="str">
        <f t="shared" si="26"/>
        <v>560023212970612149</v>
      </c>
      <c r="AB166" s="638"/>
      <c r="AC166" s="638"/>
      <c r="AD166" s="638"/>
      <c r="AE166" s="638"/>
      <c r="AF166" s="638"/>
    </row>
    <row r="167" spans="1:32" ht="12.75" outlineLevel="2">
      <c r="A167" s="639">
        <f t="shared" si="20"/>
        <v>165</v>
      </c>
      <c r="B167" s="658" t="s">
        <v>606</v>
      </c>
      <c r="C167" s="641" t="s">
        <v>715</v>
      </c>
      <c r="D167" s="641">
        <v>2971</v>
      </c>
      <c r="E167" s="641">
        <v>6121</v>
      </c>
      <c r="F167" s="649">
        <v>49</v>
      </c>
      <c r="G167" s="642" t="s">
        <v>785</v>
      </c>
      <c r="H167" s="665">
        <v>2010</v>
      </c>
      <c r="I167" s="641">
        <v>2013</v>
      </c>
      <c r="J167" s="660">
        <v>600</v>
      </c>
      <c r="K167" s="660"/>
      <c r="L167" s="660">
        <f>582</f>
        <v>582</v>
      </c>
      <c r="M167" s="661"/>
      <c r="N167" s="661"/>
      <c r="O167" s="660"/>
      <c r="P167" s="647" t="str">
        <f t="shared" si="21"/>
        <v> </v>
      </c>
      <c r="Q167" s="661"/>
      <c r="R167" s="661"/>
      <c r="S167" s="662">
        <v>6400</v>
      </c>
      <c r="T167" s="649" t="s">
        <v>682</v>
      </c>
      <c r="U167" s="669"/>
      <c r="V167" s="651">
        <f t="shared" si="23"/>
        <v>-6382</v>
      </c>
      <c r="W167" s="652">
        <f>IF(AND(P167&lt;'[1]koment'!$F$1,N167&gt;='[1]koment'!$F$2),"Komentovat","")</f>
      </c>
      <c r="X167" s="653" t="e">
        <f t="shared" si="22"/>
        <v>#REF!</v>
      </c>
      <c r="Y167" s="651">
        <f t="shared" si="24"/>
        <v>5600</v>
      </c>
      <c r="Z167" s="654" t="str">
        <f t="shared" si="25"/>
        <v>ORG 2971 - Lužánky - rekonstrukce kanalizace</v>
      </c>
      <c r="AA167" s="655" t="str">
        <f t="shared" si="26"/>
        <v>560023212971612149</v>
      </c>
      <c r="AB167" s="638"/>
      <c r="AC167" s="638"/>
      <c r="AD167" s="638"/>
      <c r="AE167" s="638"/>
      <c r="AF167" s="638"/>
    </row>
    <row r="168" spans="1:32" ht="12.75" outlineLevel="2">
      <c r="A168" s="639">
        <f t="shared" si="20"/>
        <v>166</v>
      </c>
      <c r="B168" s="658" t="s">
        <v>606</v>
      </c>
      <c r="C168" s="641" t="s">
        <v>715</v>
      </c>
      <c r="D168" s="641">
        <v>2972</v>
      </c>
      <c r="E168" s="641">
        <v>6121</v>
      </c>
      <c r="F168" s="649">
        <v>49</v>
      </c>
      <c r="G168" s="642" t="s">
        <v>786</v>
      </c>
      <c r="H168" s="665">
        <v>2010</v>
      </c>
      <c r="I168" s="641">
        <v>2016</v>
      </c>
      <c r="J168" s="660">
        <v>60850</v>
      </c>
      <c r="K168" s="660"/>
      <c r="L168" s="660">
        <f>232</f>
        <v>232</v>
      </c>
      <c r="M168" s="661">
        <v>7600</v>
      </c>
      <c r="N168" s="661">
        <v>1000</v>
      </c>
      <c r="O168" s="660">
        <v>248</v>
      </c>
      <c r="P168" s="647">
        <f t="shared" si="21"/>
        <v>0.248</v>
      </c>
      <c r="Q168" s="661">
        <v>2200</v>
      </c>
      <c r="R168" s="661">
        <v>57418</v>
      </c>
      <c r="S168" s="662"/>
      <c r="T168" s="649" t="s">
        <v>682</v>
      </c>
      <c r="U168" s="669"/>
      <c r="V168" s="651">
        <f t="shared" si="23"/>
        <v>0</v>
      </c>
      <c r="W168" s="652">
        <f>IF(AND(P168&lt;'[1]koment'!$F$1,N168&gt;='[1]koment'!$F$2),"Komentovat","")</f>
      </c>
      <c r="X168" s="653" t="e">
        <f t="shared" si="22"/>
        <v>#REF!</v>
      </c>
      <c r="Y168" s="651" t="str">
        <f t="shared" si="24"/>
        <v> </v>
      </c>
      <c r="Z168" s="654">
        <f t="shared" si="25"/>
        <v>0</v>
      </c>
      <c r="AA168" s="655" t="str">
        <f t="shared" si="26"/>
        <v>560023212972612149</v>
      </c>
      <c r="AB168" s="638"/>
      <c r="AC168" s="638"/>
      <c r="AD168" s="638"/>
      <c r="AE168" s="638"/>
      <c r="AF168" s="638"/>
    </row>
    <row r="169" spans="1:32" ht="12.75" outlineLevel="2">
      <c r="A169" s="639">
        <f t="shared" si="20"/>
        <v>167</v>
      </c>
      <c r="B169" s="658" t="s">
        <v>606</v>
      </c>
      <c r="C169" s="641" t="s">
        <v>715</v>
      </c>
      <c r="D169" s="641">
        <v>2973</v>
      </c>
      <c r="E169" s="641">
        <v>6121</v>
      </c>
      <c r="F169" s="649">
        <v>49</v>
      </c>
      <c r="G169" s="642" t="s">
        <v>787</v>
      </c>
      <c r="H169" s="641">
        <v>2010</v>
      </c>
      <c r="I169" s="641">
        <v>2014</v>
      </c>
      <c r="J169" s="660">
        <v>20800</v>
      </c>
      <c r="K169" s="660"/>
      <c r="L169" s="660">
        <f>954+200+118</f>
        <v>1272</v>
      </c>
      <c r="M169" s="661">
        <v>14766</v>
      </c>
      <c r="N169" s="661">
        <v>19528</v>
      </c>
      <c r="O169" s="660">
        <v>19024</v>
      </c>
      <c r="P169" s="647">
        <f t="shared" si="21"/>
        <v>0.974190905366653</v>
      </c>
      <c r="Q169" s="661"/>
      <c r="R169" s="661"/>
      <c r="S169" s="662"/>
      <c r="T169" s="649" t="s">
        <v>682</v>
      </c>
      <c r="U169" s="669"/>
      <c r="V169" s="651">
        <f t="shared" si="23"/>
        <v>0</v>
      </c>
      <c r="W169" s="652">
        <f>IF(AND(P169&lt;'[1]koment'!$F$1,N169&gt;='[1]koment'!$F$2),"Komentovat","")</f>
      </c>
      <c r="X169" s="653" t="e">
        <f t="shared" si="22"/>
        <v>#REF!</v>
      </c>
      <c r="Y169" s="651" t="str">
        <f t="shared" si="24"/>
        <v> </v>
      </c>
      <c r="Z169" s="654">
        <f t="shared" si="25"/>
        <v>0</v>
      </c>
      <c r="AA169" s="655" t="str">
        <f t="shared" si="26"/>
        <v>560023212973612149</v>
      </c>
      <c r="AB169" s="638"/>
      <c r="AC169" s="638"/>
      <c r="AD169" s="638"/>
      <c r="AE169" s="638"/>
      <c r="AF169" s="638"/>
    </row>
    <row r="170" spans="1:32" ht="12.75" outlineLevel="2">
      <c r="A170" s="639">
        <f t="shared" si="20"/>
        <v>168</v>
      </c>
      <c r="B170" s="658" t="s">
        <v>606</v>
      </c>
      <c r="C170" s="641" t="s">
        <v>715</v>
      </c>
      <c r="D170" s="641">
        <v>2974</v>
      </c>
      <c r="E170" s="641">
        <v>6121</v>
      </c>
      <c r="F170" s="649">
        <v>49</v>
      </c>
      <c r="G170" s="642" t="s">
        <v>788</v>
      </c>
      <c r="H170" s="665">
        <v>2010</v>
      </c>
      <c r="I170" s="641">
        <v>2014</v>
      </c>
      <c r="J170" s="660">
        <v>28220</v>
      </c>
      <c r="K170" s="660"/>
      <c r="L170" s="660">
        <f>1138+203</f>
        <v>1341</v>
      </c>
      <c r="M170" s="661">
        <v>22007</v>
      </c>
      <c r="N170" s="661">
        <v>26879</v>
      </c>
      <c r="O170" s="660">
        <v>26389</v>
      </c>
      <c r="P170" s="647">
        <f t="shared" si="21"/>
        <v>0.9817701551397001</v>
      </c>
      <c r="Q170" s="661"/>
      <c r="R170" s="661"/>
      <c r="S170" s="662"/>
      <c r="T170" s="649" t="s">
        <v>682</v>
      </c>
      <c r="U170" s="669"/>
      <c r="V170" s="651">
        <f t="shared" si="23"/>
        <v>0</v>
      </c>
      <c r="W170" s="652">
        <f>IF(AND(P170&lt;'[1]koment'!$F$1,N170&gt;='[1]koment'!$F$2),"Komentovat","")</f>
      </c>
      <c r="X170" s="653" t="e">
        <f t="shared" si="22"/>
        <v>#REF!</v>
      </c>
      <c r="Y170" s="651" t="str">
        <f t="shared" si="24"/>
        <v> </v>
      </c>
      <c r="Z170" s="654">
        <f t="shared" si="25"/>
        <v>0</v>
      </c>
      <c r="AA170" s="655" t="str">
        <f t="shared" si="26"/>
        <v>560023212974612149</v>
      </c>
      <c r="AB170" s="638"/>
      <c r="AC170" s="638"/>
      <c r="AD170" s="638"/>
      <c r="AE170" s="638"/>
      <c r="AF170" s="638"/>
    </row>
    <row r="171" spans="1:32" ht="12.75" outlineLevel="2">
      <c r="A171" s="639">
        <f t="shared" si="20"/>
        <v>169</v>
      </c>
      <c r="B171" s="658" t="s">
        <v>606</v>
      </c>
      <c r="C171" s="641" t="s">
        <v>715</v>
      </c>
      <c r="D171" s="641">
        <v>2984</v>
      </c>
      <c r="E171" s="641">
        <v>6121</v>
      </c>
      <c r="F171" s="649">
        <v>49</v>
      </c>
      <c r="G171" s="642" t="s">
        <v>789</v>
      </c>
      <c r="H171" s="665">
        <v>2010</v>
      </c>
      <c r="I171" s="641">
        <v>2016</v>
      </c>
      <c r="J171" s="660">
        <v>25605</v>
      </c>
      <c r="K171" s="660"/>
      <c r="L171" s="660"/>
      <c r="M171" s="661">
        <v>2500</v>
      </c>
      <c r="N171" s="661">
        <v>600</v>
      </c>
      <c r="O171" s="660">
        <v>409</v>
      </c>
      <c r="P171" s="647">
        <f t="shared" si="21"/>
        <v>0.6816666666666666</v>
      </c>
      <c r="Q171" s="661">
        <v>2430</v>
      </c>
      <c r="R171" s="661">
        <v>20875</v>
      </c>
      <c r="S171" s="662"/>
      <c r="T171" s="649" t="s">
        <v>682</v>
      </c>
      <c r="U171" s="669"/>
      <c r="V171" s="651">
        <f t="shared" si="23"/>
        <v>1700</v>
      </c>
      <c r="W171" s="652">
        <f>IF(AND(P171&lt;'[1]koment'!$F$1,N171&gt;='[1]koment'!$F$2),"Komentovat","")</f>
      </c>
      <c r="X171" s="653" t="e">
        <f t="shared" si="22"/>
        <v>#REF!</v>
      </c>
      <c r="Y171" s="651">
        <f t="shared" si="24"/>
        <v>5600</v>
      </c>
      <c r="Z171" s="654" t="str">
        <f t="shared" si="25"/>
        <v>ORG 2984 - Králova - rekonstrukce kanalizace</v>
      </c>
      <c r="AA171" s="655" t="str">
        <f t="shared" si="26"/>
        <v>560023212984612149</v>
      </c>
      <c r="AB171" s="638"/>
      <c r="AC171" s="638"/>
      <c r="AD171" s="638"/>
      <c r="AE171" s="638"/>
      <c r="AF171" s="638"/>
    </row>
    <row r="172" spans="1:32" ht="12.75" outlineLevel="2">
      <c r="A172" s="639">
        <f t="shared" si="20"/>
        <v>170</v>
      </c>
      <c r="B172" s="658" t="s">
        <v>606</v>
      </c>
      <c r="C172" s="641" t="s">
        <v>715</v>
      </c>
      <c r="D172" s="641">
        <v>2986</v>
      </c>
      <c r="E172" s="641">
        <v>6121</v>
      </c>
      <c r="F172" s="649">
        <v>49</v>
      </c>
      <c r="G172" s="642" t="s">
        <v>790</v>
      </c>
      <c r="H172" s="665">
        <v>2010</v>
      </c>
      <c r="I172" s="641">
        <v>2013</v>
      </c>
      <c r="J172" s="660">
        <v>23522</v>
      </c>
      <c r="K172" s="660"/>
      <c r="L172" s="660">
        <f>979+71+22250</f>
        <v>23300</v>
      </c>
      <c r="M172" s="661"/>
      <c r="N172" s="661"/>
      <c r="O172" s="660"/>
      <c r="P172" s="647" t="str">
        <f t="shared" si="21"/>
        <v> </v>
      </c>
      <c r="Q172" s="661"/>
      <c r="R172" s="661"/>
      <c r="S172" s="662"/>
      <c r="T172" s="649" t="s">
        <v>682</v>
      </c>
      <c r="U172" s="669"/>
      <c r="V172" s="651">
        <f t="shared" si="23"/>
        <v>222</v>
      </c>
      <c r="W172" s="652">
        <f>IF(AND(P172&lt;'[1]koment'!$F$1,N172&gt;='[1]koment'!$F$2),"Komentovat","")</f>
      </c>
      <c r="X172" s="653" t="e">
        <f t="shared" si="22"/>
        <v>#REF!</v>
      </c>
      <c r="Y172" s="651">
        <f t="shared" si="24"/>
        <v>5600</v>
      </c>
      <c r="Z172" s="654" t="str">
        <f t="shared" si="25"/>
        <v>ORG 2986 - Vážného II - rekonstrukce kanalizace</v>
      </c>
      <c r="AA172" s="655" t="str">
        <f t="shared" si="26"/>
        <v>560023212986612149</v>
      </c>
      <c r="AB172" s="638"/>
      <c r="AC172" s="638"/>
      <c r="AD172" s="638"/>
      <c r="AE172" s="638"/>
      <c r="AF172" s="638"/>
    </row>
    <row r="173" spans="1:32" ht="12.75" outlineLevel="2">
      <c r="A173" s="639">
        <f t="shared" si="20"/>
        <v>171</v>
      </c>
      <c r="B173" s="658" t="s">
        <v>606</v>
      </c>
      <c r="C173" s="641" t="s">
        <v>715</v>
      </c>
      <c r="D173" s="641">
        <v>2987</v>
      </c>
      <c r="E173" s="641">
        <v>6121</v>
      </c>
      <c r="F173" s="649">
        <v>49</v>
      </c>
      <c r="G173" s="642" t="s">
        <v>791</v>
      </c>
      <c r="H173" s="665">
        <v>2010</v>
      </c>
      <c r="I173" s="641">
        <v>2014</v>
      </c>
      <c r="J173" s="660">
        <v>41204</v>
      </c>
      <c r="K173" s="660"/>
      <c r="L173" s="660">
        <f>1944+220</f>
        <v>2164</v>
      </c>
      <c r="M173" s="661">
        <v>36656</v>
      </c>
      <c r="N173" s="661">
        <v>39040</v>
      </c>
      <c r="O173" s="660">
        <v>38776</v>
      </c>
      <c r="P173" s="647">
        <f t="shared" si="21"/>
        <v>0.9932377049180328</v>
      </c>
      <c r="Q173" s="661"/>
      <c r="R173" s="661"/>
      <c r="S173" s="662"/>
      <c r="T173" s="649" t="s">
        <v>682</v>
      </c>
      <c r="U173" s="669"/>
      <c r="V173" s="651">
        <f t="shared" si="23"/>
        <v>0</v>
      </c>
      <c r="W173" s="652">
        <f>IF(AND(P173&lt;'[1]koment'!$F$1,N173&gt;='[1]koment'!$F$2),"Komentovat","")</f>
      </c>
      <c r="X173" s="653" t="e">
        <f t="shared" si="22"/>
        <v>#REF!</v>
      </c>
      <c r="Y173" s="651" t="str">
        <f t="shared" si="24"/>
        <v> </v>
      </c>
      <c r="Z173" s="654">
        <f t="shared" si="25"/>
        <v>0</v>
      </c>
      <c r="AA173" s="655" t="str">
        <f t="shared" si="26"/>
        <v>560023212987612149</v>
      </c>
      <c r="AB173" s="638"/>
      <c r="AC173" s="638"/>
      <c r="AD173" s="638"/>
      <c r="AE173" s="638"/>
      <c r="AF173" s="638"/>
    </row>
    <row r="174" spans="1:32" ht="12.75" outlineLevel="2">
      <c r="A174" s="639">
        <f t="shared" si="20"/>
        <v>172</v>
      </c>
      <c r="B174" s="658" t="s">
        <v>606</v>
      </c>
      <c r="C174" s="641" t="s">
        <v>715</v>
      </c>
      <c r="D174" s="641">
        <v>2989</v>
      </c>
      <c r="E174" s="641">
        <v>6121</v>
      </c>
      <c r="F174" s="649">
        <v>49</v>
      </c>
      <c r="G174" s="642" t="s">
        <v>792</v>
      </c>
      <c r="H174" s="665">
        <v>2010</v>
      </c>
      <c r="I174" s="641">
        <v>2018</v>
      </c>
      <c r="J174" s="660">
        <v>20000</v>
      </c>
      <c r="K174" s="660"/>
      <c r="L174" s="660">
        <f>537+4231+343+390</f>
        <v>5501</v>
      </c>
      <c r="M174" s="661">
        <v>6000</v>
      </c>
      <c r="N174" s="661">
        <v>6600</v>
      </c>
      <c r="O174" s="660">
        <v>3611</v>
      </c>
      <c r="P174" s="647">
        <f t="shared" si="21"/>
        <v>0.5471212121212121</v>
      </c>
      <c r="Q174" s="661">
        <v>3500</v>
      </c>
      <c r="R174" s="661">
        <v>2000</v>
      </c>
      <c r="S174" s="662">
        <v>2399</v>
      </c>
      <c r="T174" s="649" t="s">
        <v>682</v>
      </c>
      <c r="U174" s="669"/>
      <c r="V174" s="651">
        <f t="shared" si="23"/>
        <v>0</v>
      </c>
      <c r="W174" s="652" t="str">
        <f>IF(AND(P174&lt;'[1]koment'!$F$1,N174&gt;='[1]koment'!$F$2),"Komentovat","")</f>
        <v>Komentovat</v>
      </c>
      <c r="X174" s="653" t="e">
        <f t="shared" si="22"/>
        <v>#REF!</v>
      </c>
      <c r="Y174" s="651" t="str">
        <f t="shared" si="24"/>
        <v> </v>
      </c>
      <c r="Z174" s="654">
        <f t="shared" si="25"/>
        <v>0</v>
      </c>
      <c r="AA174" s="655" t="str">
        <f t="shared" si="26"/>
        <v>560023212989612149</v>
      </c>
      <c r="AB174" s="638"/>
      <c r="AC174" s="638"/>
      <c r="AD174" s="638"/>
      <c r="AE174" s="638"/>
      <c r="AF174" s="638"/>
    </row>
    <row r="175" spans="1:32" ht="12.75" outlineLevel="2">
      <c r="A175" s="639">
        <f t="shared" si="20"/>
        <v>173</v>
      </c>
      <c r="B175" s="658" t="s">
        <v>606</v>
      </c>
      <c r="C175" s="641" t="s">
        <v>715</v>
      </c>
      <c r="D175" s="641">
        <v>2990</v>
      </c>
      <c r="E175" s="641">
        <v>6121</v>
      </c>
      <c r="F175" s="649">
        <v>49</v>
      </c>
      <c r="G175" s="642" t="s">
        <v>793</v>
      </c>
      <c r="H175" s="665">
        <v>2010</v>
      </c>
      <c r="I175" s="641">
        <v>2013</v>
      </c>
      <c r="J175" s="660">
        <v>28564</v>
      </c>
      <c r="K175" s="660"/>
      <c r="L175" s="660">
        <f>1354+78+27096</f>
        <v>28528</v>
      </c>
      <c r="M175" s="661">
        <v>36</v>
      </c>
      <c r="N175" s="661">
        <v>36</v>
      </c>
      <c r="O175" s="660"/>
      <c r="P175" s="647">
        <f t="shared" si="21"/>
        <v>0</v>
      </c>
      <c r="Q175" s="661"/>
      <c r="R175" s="661"/>
      <c r="S175" s="662"/>
      <c r="T175" s="649" t="s">
        <v>682</v>
      </c>
      <c r="U175" s="669"/>
      <c r="V175" s="651">
        <f t="shared" si="23"/>
        <v>0</v>
      </c>
      <c r="W175" s="652">
        <f>IF(AND(P175&lt;'[1]koment'!$F$1,N175&gt;='[1]koment'!$F$2),"Komentovat","")</f>
      </c>
      <c r="X175" s="653" t="e">
        <f t="shared" si="22"/>
        <v>#REF!</v>
      </c>
      <c r="Y175" s="651" t="str">
        <f t="shared" si="24"/>
        <v> </v>
      </c>
      <c r="Z175" s="654">
        <f t="shared" si="25"/>
        <v>0</v>
      </c>
      <c r="AA175" s="655" t="str">
        <f t="shared" si="26"/>
        <v>560023212990612149</v>
      </c>
      <c r="AB175" s="638"/>
      <c r="AC175" s="638"/>
      <c r="AD175" s="638"/>
      <c r="AE175" s="638"/>
      <c r="AF175" s="638"/>
    </row>
    <row r="176" spans="1:32" ht="12.75" outlineLevel="2">
      <c r="A176" s="639">
        <f t="shared" si="20"/>
        <v>174</v>
      </c>
      <c r="B176" s="658" t="s">
        <v>606</v>
      </c>
      <c r="C176" s="641" t="s">
        <v>715</v>
      </c>
      <c r="D176" s="641">
        <v>3023</v>
      </c>
      <c r="E176" s="641">
        <v>6121</v>
      </c>
      <c r="F176" s="649">
        <v>49</v>
      </c>
      <c r="G176" s="642" t="s">
        <v>794</v>
      </c>
      <c r="H176" s="665">
        <v>2010</v>
      </c>
      <c r="I176" s="641">
        <v>2015</v>
      </c>
      <c r="J176" s="660">
        <v>22300</v>
      </c>
      <c r="K176" s="660"/>
      <c r="L176" s="660">
        <f>669+943</f>
        <v>1612</v>
      </c>
      <c r="M176" s="661">
        <v>8000</v>
      </c>
      <c r="N176" s="661">
        <v>8000</v>
      </c>
      <c r="O176" s="660"/>
      <c r="P176" s="647">
        <f t="shared" si="21"/>
        <v>0</v>
      </c>
      <c r="Q176" s="661">
        <v>12688</v>
      </c>
      <c r="R176" s="661"/>
      <c r="S176" s="662"/>
      <c r="T176" s="649" t="s">
        <v>682</v>
      </c>
      <c r="U176" s="669"/>
      <c r="V176" s="651">
        <f t="shared" si="23"/>
        <v>0</v>
      </c>
      <c r="W176" s="652" t="str">
        <f>IF(AND(P176&lt;'[1]koment'!$F$1,N176&gt;='[1]koment'!$F$2),"Komentovat","")</f>
        <v>Komentovat</v>
      </c>
      <c r="X176" s="653" t="e">
        <f t="shared" si="22"/>
        <v>#REF!</v>
      </c>
      <c r="Y176" s="651" t="str">
        <f t="shared" si="24"/>
        <v> </v>
      </c>
      <c r="Z176" s="654">
        <f t="shared" si="25"/>
        <v>0</v>
      </c>
      <c r="AA176" s="655" t="str">
        <f t="shared" si="26"/>
        <v>560023213023612149</v>
      </c>
      <c r="AB176" s="638"/>
      <c r="AC176" s="638"/>
      <c r="AD176" s="638"/>
      <c r="AE176" s="638"/>
      <c r="AF176" s="638"/>
    </row>
    <row r="177" spans="1:32" ht="12.75" outlineLevel="2">
      <c r="A177" s="639">
        <f t="shared" si="20"/>
        <v>175</v>
      </c>
      <c r="B177" s="658" t="s">
        <v>606</v>
      </c>
      <c r="C177" s="641" t="s">
        <v>715</v>
      </c>
      <c r="D177" s="641">
        <v>3024</v>
      </c>
      <c r="E177" s="641">
        <v>6121</v>
      </c>
      <c r="F177" s="649">
        <v>49</v>
      </c>
      <c r="G177" s="642" t="s">
        <v>795</v>
      </c>
      <c r="H177" s="665">
        <v>2010</v>
      </c>
      <c r="I177" s="641">
        <v>2015</v>
      </c>
      <c r="J177" s="660">
        <v>65000</v>
      </c>
      <c r="K177" s="660"/>
      <c r="L177" s="660">
        <f>2030+1+4687</f>
        <v>6718</v>
      </c>
      <c r="M177" s="661">
        <v>15000</v>
      </c>
      <c r="N177" s="661">
        <v>15000</v>
      </c>
      <c r="O177" s="660">
        <v>218</v>
      </c>
      <c r="P177" s="647">
        <f t="shared" si="21"/>
        <v>0.014533333333333334</v>
      </c>
      <c r="Q177" s="661">
        <v>43282</v>
      </c>
      <c r="R177" s="661"/>
      <c r="S177" s="662"/>
      <c r="T177" s="649" t="s">
        <v>682</v>
      </c>
      <c r="U177" s="669"/>
      <c r="V177" s="651">
        <f t="shared" si="23"/>
        <v>0</v>
      </c>
      <c r="W177" s="652" t="str">
        <f>IF(AND(P177&lt;'[1]koment'!$F$1,N177&gt;='[1]koment'!$F$2),"Komentovat","")</f>
        <v>Komentovat</v>
      </c>
      <c r="X177" s="653" t="e">
        <f t="shared" si="22"/>
        <v>#REF!</v>
      </c>
      <c r="Y177" s="651" t="str">
        <f t="shared" si="24"/>
        <v> </v>
      </c>
      <c r="Z177" s="654">
        <f t="shared" si="25"/>
        <v>0</v>
      </c>
      <c r="AA177" s="655" t="str">
        <f t="shared" si="26"/>
        <v>560023213024612149</v>
      </c>
      <c r="AB177" s="638"/>
      <c r="AC177" s="638"/>
      <c r="AD177" s="638"/>
      <c r="AE177" s="638"/>
      <c r="AF177" s="638"/>
    </row>
    <row r="178" spans="1:32" ht="12.75" outlineLevel="2">
      <c r="A178" s="639">
        <f t="shared" si="20"/>
        <v>176</v>
      </c>
      <c r="B178" s="658" t="s">
        <v>606</v>
      </c>
      <c r="C178" s="641" t="s">
        <v>715</v>
      </c>
      <c r="D178" s="641">
        <v>3025</v>
      </c>
      <c r="E178" s="641">
        <v>6121</v>
      </c>
      <c r="F178" s="649">
        <v>49</v>
      </c>
      <c r="G178" s="642" t="s">
        <v>796</v>
      </c>
      <c r="H178" s="665">
        <v>2010</v>
      </c>
      <c r="I178" s="641">
        <v>2013</v>
      </c>
      <c r="J178" s="660">
        <v>19500</v>
      </c>
      <c r="K178" s="660"/>
      <c r="L178" s="660">
        <f>1445+87+17933+6</f>
        <v>19471</v>
      </c>
      <c r="M178" s="661"/>
      <c r="N178" s="661"/>
      <c r="O178" s="660"/>
      <c r="P178" s="647" t="str">
        <f t="shared" si="21"/>
        <v> </v>
      </c>
      <c r="Q178" s="661"/>
      <c r="R178" s="661"/>
      <c r="S178" s="662"/>
      <c r="T178" s="649" t="s">
        <v>682</v>
      </c>
      <c r="U178" s="669"/>
      <c r="V178" s="651">
        <f t="shared" si="23"/>
        <v>29</v>
      </c>
      <c r="W178" s="652">
        <f>IF(AND(P178&lt;'[1]koment'!$F$1,N178&gt;='[1]koment'!$F$2),"Komentovat","")</f>
      </c>
      <c r="X178" s="653" t="e">
        <f t="shared" si="22"/>
        <v>#REF!</v>
      </c>
      <c r="Y178" s="651">
        <f t="shared" si="24"/>
        <v>5600</v>
      </c>
      <c r="Z178" s="654" t="str">
        <f t="shared" si="25"/>
        <v>ORG 3025 - Stará - rekonstrukce kanalizace a vodovodu</v>
      </c>
      <c r="AA178" s="655" t="str">
        <f t="shared" si="26"/>
        <v>560023213025612149</v>
      </c>
      <c r="AB178" s="638"/>
      <c r="AC178" s="638"/>
      <c r="AD178" s="638"/>
      <c r="AE178" s="638"/>
      <c r="AF178" s="638"/>
    </row>
    <row r="179" spans="1:32" ht="12.75" outlineLevel="2">
      <c r="A179" s="639">
        <f t="shared" si="20"/>
        <v>177</v>
      </c>
      <c r="B179" s="658" t="s">
        <v>606</v>
      </c>
      <c r="C179" s="641" t="s">
        <v>715</v>
      </c>
      <c r="D179" s="641">
        <v>3043</v>
      </c>
      <c r="E179" s="641">
        <v>6121</v>
      </c>
      <c r="F179" s="649">
        <v>49</v>
      </c>
      <c r="G179" s="642" t="s">
        <v>797</v>
      </c>
      <c r="H179" s="665">
        <v>2009</v>
      </c>
      <c r="I179" s="641">
        <v>2018</v>
      </c>
      <c r="J179" s="660">
        <v>158000</v>
      </c>
      <c r="K179" s="660"/>
      <c r="L179" s="660"/>
      <c r="M179" s="661">
        <v>4000</v>
      </c>
      <c r="N179" s="661"/>
      <c r="O179" s="660"/>
      <c r="P179" s="647" t="str">
        <f t="shared" si="21"/>
        <v> </v>
      </c>
      <c r="Q179" s="661">
        <v>2000</v>
      </c>
      <c r="R179" s="661">
        <v>200</v>
      </c>
      <c r="S179" s="662">
        <v>155800</v>
      </c>
      <c r="T179" s="649" t="s">
        <v>682</v>
      </c>
      <c r="U179" s="669"/>
      <c r="V179" s="651">
        <f t="shared" si="23"/>
        <v>0</v>
      </c>
      <c r="W179" s="652">
        <f>IF(AND(P179&lt;'[1]koment'!$F$1,N179&gt;='[1]koment'!$F$2),"Komentovat","")</f>
      </c>
      <c r="X179" s="653" t="e">
        <f t="shared" si="22"/>
        <v>#REF!</v>
      </c>
      <c r="Y179" s="651" t="str">
        <f t="shared" si="24"/>
        <v> </v>
      </c>
      <c r="Z179" s="654">
        <f t="shared" si="25"/>
        <v>0</v>
      </c>
      <c r="AA179" s="655" t="str">
        <f t="shared" si="26"/>
        <v>560023213043612149</v>
      </c>
      <c r="AB179" s="638"/>
      <c r="AC179" s="638"/>
      <c r="AD179" s="638"/>
      <c r="AE179" s="638"/>
      <c r="AF179" s="638"/>
    </row>
    <row r="180" spans="1:32" ht="12.75" outlineLevel="2">
      <c r="A180" s="639">
        <f t="shared" si="20"/>
        <v>178</v>
      </c>
      <c r="B180" s="658" t="s">
        <v>606</v>
      </c>
      <c r="C180" s="641" t="s">
        <v>715</v>
      </c>
      <c r="D180" s="641">
        <v>3045</v>
      </c>
      <c r="E180" s="641">
        <v>6121</v>
      </c>
      <c r="F180" s="649">
        <v>49</v>
      </c>
      <c r="G180" s="642" t="s">
        <v>798</v>
      </c>
      <c r="H180" s="665">
        <v>2009</v>
      </c>
      <c r="I180" s="665">
        <v>2013</v>
      </c>
      <c r="J180" s="660">
        <v>32500</v>
      </c>
      <c r="K180" s="660"/>
      <c r="L180" s="660">
        <f>1703+80+23529+7181</f>
        <v>32493</v>
      </c>
      <c r="M180" s="661"/>
      <c r="N180" s="661"/>
      <c r="O180" s="660"/>
      <c r="P180" s="647" t="str">
        <f t="shared" si="21"/>
        <v> </v>
      </c>
      <c r="Q180" s="661"/>
      <c r="R180" s="661"/>
      <c r="S180" s="662"/>
      <c r="T180" s="649" t="s">
        <v>682</v>
      </c>
      <c r="U180" s="669"/>
      <c r="V180" s="651">
        <f t="shared" si="23"/>
        <v>7</v>
      </c>
      <c r="W180" s="652">
        <f>IF(AND(P180&lt;'[1]koment'!$F$1,N180&gt;='[1]koment'!$F$2),"Komentovat","")</f>
      </c>
      <c r="X180" s="653" t="e">
        <f t="shared" si="22"/>
        <v>#REF!</v>
      </c>
      <c r="Y180" s="651">
        <f t="shared" si="24"/>
        <v>5600</v>
      </c>
      <c r="Z180" s="654" t="str">
        <f t="shared" si="25"/>
        <v>ORG 3045 - Rybářská I - rekonstrukce kanalizace a vodovodu</v>
      </c>
      <c r="AA180" s="655" t="str">
        <f t="shared" si="26"/>
        <v>560023213045612149</v>
      </c>
      <c r="AB180" s="638"/>
      <c r="AC180" s="638"/>
      <c r="AD180" s="638"/>
      <c r="AE180" s="638"/>
      <c r="AF180" s="638"/>
    </row>
    <row r="181" spans="1:32" ht="12.75" outlineLevel="2">
      <c r="A181" s="639">
        <f t="shared" si="20"/>
        <v>179</v>
      </c>
      <c r="B181" s="658" t="s">
        <v>606</v>
      </c>
      <c r="C181" s="641" t="s">
        <v>715</v>
      </c>
      <c r="D181" s="641">
        <v>3055</v>
      </c>
      <c r="E181" s="641">
        <v>6121</v>
      </c>
      <c r="F181" s="649">
        <v>49</v>
      </c>
      <c r="G181" s="642" t="s">
        <v>799</v>
      </c>
      <c r="H181" s="665">
        <v>2009</v>
      </c>
      <c r="I181" s="641">
        <v>2013</v>
      </c>
      <c r="J181" s="660">
        <v>21505</v>
      </c>
      <c r="K181" s="660"/>
      <c r="L181" s="660">
        <f>1724+98+19407</f>
        <v>21229</v>
      </c>
      <c r="M181" s="661"/>
      <c r="N181" s="661"/>
      <c r="O181" s="660"/>
      <c r="P181" s="647" t="str">
        <f t="shared" si="21"/>
        <v> </v>
      </c>
      <c r="Q181" s="661"/>
      <c r="R181" s="661"/>
      <c r="S181" s="662"/>
      <c r="T181" s="649" t="s">
        <v>682</v>
      </c>
      <c r="U181" s="669"/>
      <c r="V181" s="651">
        <f t="shared" si="23"/>
        <v>276</v>
      </c>
      <c r="W181" s="652">
        <f>IF(AND(P181&lt;'[1]koment'!$F$1,N181&gt;='[1]koment'!$F$2),"Komentovat","")</f>
      </c>
      <c r="X181" s="653" t="e">
        <f t="shared" si="22"/>
        <v>#REF!</v>
      </c>
      <c r="Y181" s="651">
        <f t="shared" si="24"/>
        <v>5600</v>
      </c>
      <c r="Z181" s="654" t="str">
        <f t="shared" si="25"/>
        <v>ORG 3055 - Schodová - rekonstrukce kanalizace a vodovodu</v>
      </c>
      <c r="AA181" s="655" t="str">
        <f t="shared" si="26"/>
        <v>560023213055612149</v>
      </c>
      <c r="AB181" s="638"/>
      <c r="AC181" s="638"/>
      <c r="AD181" s="638"/>
      <c r="AE181" s="638"/>
      <c r="AF181" s="638"/>
    </row>
    <row r="182" spans="1:32" ht="12.75" outlineLevel="2">
      <c r="A182" s="639">
        <f t="shared" si="20"/>
        <v>180</v>
      </c>
      <c r="B182" s="658" t="s">
        <v>606</v>
      </c>
      <c r="C182" s="641" t="s">
        <v>715</v>
      </c>
      <c r="D182" s="641">
        <v>3082</v>
      </c>
      <c r="E182" s="641">
        <v>6121</v>
      </c>
      <c r="F182" s="649">
        <v>49</v>
      </c>
      <c r="G182" s="642" t="s">
        <v>800</v>
      </c>
      <c r="H182" s="665">
        <v>2009</v>
      </c>
      <c r="I182" s="641">
        <v>2015</v>
      </c>
      <c r="J182" s="660">
        <v>17750</v>
      </c>
      <c r="K182" s="660"/>
      <c r="L182" s="660">
        <f>915+101</f>
        <v>1016</v>
      </c>
      <c r="M182" s="661">
        <v>11590</v>
      </c>
      <c r="N182" s="661">
        <v>1550</v>
      </c>
      <c r="O182" s="660">
        <v>1359</v>
      </c>
      <c r="P182" s="647">
        <f t="shared" si="21"/>
        <v>0.8767741935483871</v>
      </c>
      <c r="Q182" s="661">
        <v>12934</v>
      </c>
      <c r="R182" s="661"/>
      <c r="S182" s="662"/>
      <c r="T182" s="649" t="s">
        <v>682</v>
      </c>
      <c r="U182" s="669"/>
      <c r="V182" s="651">
        <f t="shared" si="23"/>
        <v>2250</v>
      </c>
      <c r="W182" s="652">
        <f>IF(AND(P182&lt;'[1]koment'!$F$1,N182&gt;='[1]koment'!$F$2),"Komentovat","")</f>
      </c>
      <c r="X182" s="653" t="e">
        <f t="shared" si="22"/>
        <v>#REF!</v>
      </c>
      <c r="Y182" s="651">
        <f t="shared" si="24"/>
        <v>5600</v>
      </c>
      <c r="Z182" s="654" t="str">
        <f t="shared" si="25"/>
        <v>ORG 3082 - Malátova - rekonstrukce kanalizace a vodovodu</v>
      </c>
      <c r="AA182" s="655" t="str">
        <f t="shared" si="26"/>
        <v>560023213082612149</v>
      </c>
      <c r="AB182" s="638"/>
      <c r="AC182" s="638"/>
      <c r="AD182" s="638"/>
      <c r="AE182" s="638"/>
      <c r="AF182" s="638"/>
    </row>
    <row r="183" spans="1:32" ht="12.75" outlineLevel="2">
      <c r="A183" s="639">
        <f t="shared" si="20"/>
        <v>181</v>
      </c>
      <c r="B183" s="658" t="s">
        <v>606</v>
      </c>
      <c r="C183" s="641" t="s">
        <v>715</v>
      </c>
      <c r="D183" s="641">
        <v>3083</v>
      </c>
      <c r="E183" s="641">
        <v>6121</v>
      </c>
      <c r="F183" s="649">
        <v>49</v>
      </c>
      <c r="G183" s="642" t="s">
        <v>801</v>
      </c>
      <c r="H183" s="665">
        <v>2009</v>
      </c>
      <c r="I183" s="641">
        <v>2015</v>
      </c>
      <c r="J183" s="660">
        <v>17990</v>
      </c>
      <c r="K183" s="660"/>
      <c r="L183" s="660">
        <f>942+61</f>
        <v>1003</v>
      </c>
      <c r="M183" s="661">
        <v>10000</v>
      </c>
      <c r="N183" s="661">
        <v>6325</v>
      </c>
      <c r="O183" s="660">
        <v>6182</v>
      </c>
      <c r="P183" s="647">
        <f t="shared" si="21"/>
        <v>0.9773913043478261</v>
      </c>
      <c r="Q183" s="661">
        <v>12247</v>
      </c>
      <c r="R183" s="661"/>
      <c r="S183" s="662"/>
      <c r="T183" s="649" t="s">
        <v>682</v>
      </c>
      <c r="U183" s="669"/>
      <c r="V183" s="651">
        <f t="shared" si="23"/>
        <v>-1585</v>
      </c>
      <c r="W183" s="652">
        <f>IF(AND(P183&lt;'[1]koment'!$F$1,N183&gt;='[1]koment'!$F$2),"Komentovat","")</f>
      </c>
      <c r="X183" s="653" t="e">
        <f t="shared" si="22"/>
        <v>#REF!</v>
      </c>
      <c r="Y183" s="651">
        <f t="shared" si="24"/>
        <v>5600</v>
      </c>
      <c r="Z183" s="654" t="str">
        <f t="shared" si="25"/>
        <v>ORG 3083 - Barvičova -  rek. kanal. (úsek Lipová - Kampelíkova)</v>
      </c>
      <c r="AA183" s="655" t="str">
        <f t="shared" si="26"/>
        <v>560023213083612149</v>
      </c>
      <c r="AB183" s="638"/>
      <c r="AC183" s="638"/>
      <c r="AD183" s="638"/>
      <c r="AE183" s="638"/>
      <c r="AF183" s="638"/>
    </row>
    <row r="184" spans="1:32" ht="12.75" outlineLevel="2">
      <c r="A184" s="639">
        <f t="shared" si="20"/>
        <v>182</v>
      </c>
      <c r="B184" s="658" t="s">
        <v>606</v>
      </c>
      <c r="C184" s="641" t="s">
        <v>715</v>
      </c>
      <c r="D184" s="641">
        <v>3105</v>
      </c>
      <c r="E184" s="641">
        <v>6121</v>
      </c>
      <c r="F184" s="649">
        <v>49</v>
      </c>
      <c r="G184" s="642" t="s">
        <v>802</v>
      </c>
      <c r="H184" s="665">
        <v>2008</v>
      </c>
      <c r="I184" s="641">
        <v>2017</v>
      </c>
      <c r="J184" s="660">
        <v>14200</v>
      </c>
      <c r="K184" s="660"/>
      <c r="L184" s="660">
        <v>530</v>
      </c>
      <c r="M184" s="661"/>
      <c r="N184" s="661"/>
      <c r="O184" s="660"/>
      <c r="P184" s="647" t="str">
        <f t="shared" si="21"/>
        <v> </v>
      </c>
      <c r="Q184" s="661">
        <v>200</v>
      </c>
      <c r="R184" s="661">
        <v>200</v>
      </c>
      <c r="S184" s="662">
        <v>13270</v>
      </c>
      <c r="T184" s="649" t="s">
        <v>682</v>
      </c>
      <c r="U184" s="669"/>
      <c r="V184" s="651">
        <f t="shared" si="23"/>
        <v>0</v>
      </c>
      <c r="W184" s="652">
        <f>IF(AND(P184&lt;'[1]koment'!$F$1,N184&gt;='[1]koment'!$F$2),"Komentovat","")</f>
      </c>
      <c r="X184" s="653" t="e">
        <f t="shared" si="22"/>
        <v>#REF!</v>
      </c>
      <c r="Y184" s="651" t="str">
        <f t="shared" si="24"/>
        <v> </v>
      </c>
      <c r="Z184" s="654">
        <f t="shared" si="25"/>
        <v>0</v>
      </c>
      <c r="AA184" s="655" t="str">
        <f t="shared" si="26"/>
        <v>560023213105612149</v>
      </c>
      <c r="AB184" s="638"/>
      <c r="AC184" s="638"/>
      <c r="AD184" s="638"/>
      <c r="AE184" s="638"/>
      <c r="AF184" s="638"/>
    </row>
    <row r="185" spans="1:32" ht="12.75" outlineLevel="2">
      <c r="A185" s="639">
        <f t="shared" si="20"/>
        <v>183</v>
      </c>
      <c r="B185" s="658" t="s">
        <v>606</v>
      </c>
      <c r="C185" s="641" t="s">
        <v>715</v>
      </c>
      <c r="D185" s="641">
        <v>3126</v>
      </c>
      <c r="E185" s="641">
        <v>6121</v>
      </c>
      <c r="F185" s="649">
        <v>49</v>
      </c>
      <c r="G185" s="642" t="s">
        <v>803</v>
      </c>
      <c r="H185" s="665">
        <v>2008</v>
      </c>
      <c r="I185" s="641">
        <v>2018</v>
      </c>
      <c r="J185" s="660">
        <v>28000</v>
      </c>
      <c r="K185" s="660"/>
      <c r="L185" s="660">
        <f>3692+3209+2566+4907</f>
        <v>14374</v>
      </c>
      <c r="M185" s="661">
        <v>3300</v>
      </c>
      <c r="N185" s="661">
        <v>3300</v>
      </c>
      <c r="O185" s="660">
        <v>1992</v>
      </c>
      <c r="P185" s="647">
        <f t="shared" si="21"/>
        <v>0.6036363636363636</v>
      </c>
      <c r="Q185" s="661">
        <v>7000</v>
      </c>
      <c r="R185" s="661">
        <v>3000</v>
      </c>
      <c r="S185" s="662">
        <v>326</v>
      </c>
      <c r="T185" s="649" t="s">
        <v>682</v>
      </c>
      <c r="U185" s="669"/>
      <c r="V185" s="651">
        <f t="shared" si="23"/>
        <v>0</v>
      </c>
      <c r="W185" s="652" t="str">
        <f>IF(AND(P185&lt;'[1]koment'!$F$1,N185&gt;='[1]koment'!$F$2),"Komentovat","")</f>
        <v>Komentovat</v>
      </c>
      <c r="X185" s="653" t="e">
        <f t="shared" si="22"/>
        <v>#REF!</v>
      </c>
      <c r="Y185" s="651" t="str">
        <f t="shared" si="24"/>
        <v> </v>
      </c>
      <c r="Z185" s="654">
        <f t="shared" si="25"/>
        <v>0</v>
      </c>
      <c r="AA185" s="655" t="str">
        <f t="shared" si="26"/>
        <v>560023213126612149</v>
      </c>
      <c r="AB185" s="638"/>
      <c r="AC185" s="638"/>
      <c r="AD185" s="638"/>
      <c r="AE185" s="638"/>
      <c r="AF185" s="638"/>
    </row>
    <row r="186" spans="1:32" ht="12.75" outlineLevel="2">
      <c r="A186" s="639">
        <f t="shared" si="20"/>
        <v>184</v>
      </c>
      <c r="B186" s="658" t="s">
        <v>606</v>
      </c>
      <c r="C186" s="641" t="s">
        <v>715</v>
      </c>
      <c r="D186" s="641">
        <v>3140</v>
      </c>
      <c r="E186" s="641">
        <v>6121</v>
      </c>
      <c r="F186" s="649">
        <v>49</v>
      </c>
      <c r="G186" s="642" t="s">
        <v>804</v>
      </c>
      <c r="H186" s="665">
        <v>2008</v>
      </c>
      <c r="I186" s="641">
        <v>2013</v>
      </c>
      <c r="J186" s="660">
        <v>42998</v>
      </c>
      <c r="K186" s="660"/>
      <c r="L186" s="660">
        <f>1782+228+29303+11420</f>
        <v>42733</v>
      </c>
      <c r="M186" s="661"/>
      <c r="N186" s="661"/>
      <c r="O186" s="660"/>
      <c r="P186" s="647" t="str">
        <f t="shared" si="21"/>
        <v> </v>
      </c>
      <c r="Q186" s="661"/>
      <c r="R186" s="661"/>
      <c r="S186" s="662"/>
      <c r="T186" s="649" t="s">
        <v>682</v>
      </c>
      <c r="U186" s="669"/>
      <c r="V186" s="651">
        <f t="shared" si="23"/>
        <v>265</v>
      </c>
      <c r="W186" s="652">
        <f>IF(AND(P186&lt;'[1]koment'!$F$1,N186&gt;='[1]koment'!$F$2),"Komentovat","")</f>
      </c>
      <c r="X186" s="653" t="e">
        <f t="shared" si="22"/>
        <v>#REF!</v>
      </c>
      <c r="Y186" s="651">
        <f t="shared" si="24"/>
        <v>5600</v>
      </c>
      <c r="Z186" s="654" t="str">
        <f t="shared" si="25"/>
        <v>ORG 3140 - Chaloupkova - rekonstrukce kanalizace a vodovodu</v>
      </c>
      <c r="AA186" s="655" t="str">
        <f t="shared" si="26"/>
        <v>560023213140612149</v>
      </c>
      <c r="AB186" s="638"/>
      <c r="AC186" s="638"/>
      <c r="AD186" s="638"/>
      <c r="AE186" s="638"/>
      <c r="AF186" s="638"/>
    </row>
    <row r="187" spans="1:32" ht="12.75" outlineLevel="2">
      <c r="A187" s="639">
        <f t="shared" si="20"/>
        <v>185</v>
      </c>
      <c r="B187" s="658" t="s">
        <v>606</v>
      </c>
      <c r="C187" s="641" t="s">
        <v>715</v>
      </c>
      <c r="D187" s="641">
        <v>3141</v>
      </c>
      <c r="E187" s="641">
        <v>6121</v>
      </c>
      <c r="F187" s="649">
        <v>49</v>
      </c>
      <c r="G187" s="642" t="s">
        <v>805</v>
      </c>
      <c r="H187" s="665">
        <v>2008</v>
      </c>
      <c r="I187" s="641">
        <v>2015</v>
      </c>
      <c r="J187" s="660">
        <v>1668</v>
      </c>
      <c r="K187" s="660"/>
      <c r="L187" s="660">
        <v>1667</v>
      </c>
      <c r="M187" s="661"/>
      <c r="N187" s="661"/>
      <c r="O187" s="660"/>
      <c r="P187" s="647" t="str">
        <f t="shared" si="21"/>
        <v> </v>
      </c>
      <c r="Q187" s="661"/>
      <c r="R187" s="661"/>
      <c r="S187" s="662"/>
      <c r="T187" s="649" t="s">
        <v>682</v>
      </c>
      <c r="U187" s="669"/>
      <c r="V187" s="651">
        <f t="shared" si="23"/>
        <v>1</v>
      </c>
      <c r="W187" s="652">
        <f>IF(AND(P187&lt;'[1]koment'!$F$1,N187&gt;='[1]koment'!$F$2),"Komentovat","")</f>
      </c>
      <c r="X187" s="653" t="e">
        <f t="shared" si="22"/>
        <v>#REF!</v>
      </c>
      <c r="Y187" s="651">
        <f t="shared" si="24"/>
        <v>5600</v>
      </c>
      <c r="Z187" s="654" t="str">
        <f t="shared" si="25"/>
        <v>ORG 3141 - Milady Horákové II. - rek. kan. a vod.(Příkop-Durďákova)</v>
      </c>
      <c r="AA187" s="655" t="str">
        <f t="shared" si="26"/>
        <v>560023213141612149</v>
      </c>
      <c r="AB187" s="638"/>
      <c r="AC187" s="638"/>
      <c r="AD187" s="638"/>
      <c r="AE187" s="638"/>
      <c r="AF187" s="638"/>
    </row>
    <row r="188" spans="1:32" ht="12.75" outlineLevel="2">
      <c r="A188" s="639">
        <f t="shared" si="20"/>
        <v>186</v>
      </c>
      <c r="B188" s="658" t="s">
        <v>606</v>
      </c>
      <c r="C188" s="641" t="s">
        <v>715</v>
      </c>
      <c r="D188" s="641">
        <v>3152</v>
      </c>
      <c r="E188" s="641">
        <v>6121</v>
      </c>
      <c r="F188" s="649"/>
      <c r="G188" s="642" t="s">
        <v>806</v>
      </c>
      <c r="H188" s="665">
        <v>2008</v>
      </c>
      <c r="I188" s="641">
        <v>2017</v>
      </c>
      <c r="J188" s="660">
        <v>61200</v>
      </c>
      <c r="K188" s="660"/>
      <c r="L188" s="660">
        <f>1096+217</f>
        <v>1313</v>
      </c>
      <c r="M188" s="661"/>
      <c r="N188" s="661"/>
      <c r="O188" s="660"/>
      <c r="P188" s="647" t="str">
        <f t="shared" si="21"/>
        <v> </v>
      </c>
      <c r="Q188" s="661">
        <v>59887</v>
      </c>
      <c r="R188" s="661"/>
      <c r="S188" s="662"/>
      <c r="T188" s="649" t="s">
        <v>609</v>
      </c>
      <c r="U188" s="669"/>
      <c r="V188" s="651">
        <f t="shared" si="23"/>
        <v>0</v>
      </c>
      <c r="W188" s="652">
        <f>IF(AND(P188&lt;'[1]koment'!$F$1,N188&gt;='[1]koment'!$F$2),"Komentovat","")</f>
      </c>
      <c r="X188" s="653" t="e">
        <f t="shared" si="22"/>
        <v>#REF!</v>
      </c>
      <c r="Y188" s="651" t="str">
        <f t="shared" si="24"/>
        <v> </v>
      </c>
      <c r="Z188" s="654">
        <f t="shared" si="25"/>
        <v>0</v>
      </c>
      <c r="AA188" s="655" t="str">
        <f t="shared" si="26"/>
        <v>5600232131526121</v>
      </c>
      <c r="AB188" s="638"/>
      <c r="AC188" s="638"/>
      <c r="AD188" s="638"/>
      <c r="AE188" s="638"/>
      <c r="AF188" s="638"/>
    </row>
    <row r="189" spans="1:32" ht="12.75" outlineLevel="2">
      <c r="A189" s="639">
        <f t="shared" si="20"/>
        <v>187</v>
      </c>
      <c r="B189" s="658" t="s">
        <v>606</v>
      </c>
      <c r="C189" s="641" t="s">
        <v>715</v>
      </c>
      <c r="D189" s="641">
        <v>3159</v>
      </c>
      <c r="E189" s="641">
        <v>6121</v>
      </c>
      <c r="F189" s="649">
        <v>49</v>
      </c>
      <c r="G189" s="642" t="s">
        <v>807</v>
      </c>
      <c r="H189" s="665">
        <v>2007</v>
      </c>
      <c r="I189" s="641">
        <v>2015</v>
      </c>
      <c r="J189" s="660">
        <v>17940</v>
      </c>
      <c r="K189" s="660"/>
      <c r="L189" s="660">
        <f>949</f>
        <v>949</v>
      </c>
      <c r="M189" s="661">
        <v>6000</v>
      </c>
      <c r="N189" s="661">
        <v>100</v>
      </c>
      <c r="O189" s="660">
        <v>1</v>
      </c>
      <c r="P189" s="647">
        <f t="shared" si="21"/>
        <v>0.01</v>
      </c>
      <c r="Q189" s="661">
        <v>14495</v>
      </c>
      <c r="R189" s="661"/>
      <c r="S189" s="662"/>
      <c r="T189" s="649" t="s">
        <v>682</v>
      </c>
      <c r="U189" s="669"/>
      <c r="V189" s="651">
        <f t="shared" si="23"/>
        <v>2396</v>
      </c>
      <c r="W189" s="652">
        <f>IF(AND(P189&lt;'[1]koment'!$F$1,N189&gt;='[1]koment'!$F$2),"Komentovat","")</f>
      </c>
      <c r="X189" s="653" t="e">
        <f t="shared" si="22"/>
        <v>#REF!</v>
      </c>
      <c r="Y189" s="651">
        <f t="shared" si="24"/>
        <v>5600</v>
      </c>
      <c r="Z189" s="654" t="str">
        <f t="shared" si="25"/>
        <v>ORG 3159 - Světlá, Dolnopolní I. - rek. kanalizace a vodovodu</v>
      </c>
      <c r="AA189" s="655" t="str">
        <f t="shared" si="26"/>
        <v>560023213159612149</v>
      </c>
      <c r="AB189" s="638"/>
      <c r="AC189" s="638"/>
      <c r="AD189" s="638"/>
      <c r="AE189" s="638"/>
      <c r="AF189" s="638"/>
    </row>
    <row r="190" spans="1:32" ht="12.75" outlineLevel="2">
      <c r="A190" s="639">
        <f t="shared" si="20"/>
        <v>188</v>
      </c>
      <c r="B190" s="658" t="s">
        <v>606</v>
      </c>
      <c r="C190" s="641" t="s">
        <v>715</v>
      </c>
      <c r="D190" s="641">
        <v>3172</v>
      </c>
      <c r="E190" s="641">
        <v>6121</v>
      </c>
      <c r="F190" s="649"/>
      <c r="G190" s="642" t="s">
        <v>808</v>
      </c>
      <c r="H190" s="641">
        <v>2005</v>
      </c>
      <c r="I190" s="641">
        <v>2017</v>
      </c>
      <c r="J190" s="660">
        <v>71214</v>
      </c>
      <c r="K190" s="660"/>
      <c r="L190" s="660"/>
      <c r="M190" s="661"/>
      <c r="N190" s="661"/>
      <c r="O190" s="660"/>
      <c r="P190" s="647" t="str">
        <f t="shared" si="21"/>
        <v> </v>
      </c>
      <c r="Q190" s="661">
        <v>71214</v>
      </c>
      <c r="R190" s="661"/>
      <c r="S190" s="662"/>
      <c r="T190" s="649" t="s">
        <v>609</v>
      </c>
      <c r="U190" s="669"/>
      <c r="V190" s="651">
        <f t="shared" si="23"/>
        <v>0</v>
      </c>
      <c r="W190" s="652">
        <f>IF(AND(P190&lt;'[1]koment'!$F$1,N190&gt;='[1]koment'!$F$2),"Komentovat","")</f>
      </c>
      <c r="X190" s="653" t="e">
        <f t="shared" si="22"/>
        <v>#REF!</v>
      </c>
      <c r="Y190" s="651" t="str">
        <f t="shared" si="24"/>
        <v> </v>
      </c>
      <c r="Z190" s="654">
        <f t="shared" si="25"/>
        <v>0</v>
      </c>
      <c r="AA190" s="655" t="str">
        <f t="shared" si="26"/>
        <v>5600232131726121</v>
      </c>
      <c r="AB190" s="638"/>
      <c r="AC190" s="638"/>
      <c r="AD190" s="638"/>
      <c r="AE190" s="638"/>
      <c r="AF190" s="638"/>
    </row>
    <row r="191" spans="1:32" ht="12.75" outlineLevel="2">
      <c r="A191" s="639">
        <f t="shared" si="20"/>
        <v>189</v>
      </c>
      <c r="B191" s="658" t="s">
        <v>606</v>
      </c>
      <c r="C191" s="641" t="s">
        <v>715</v>
      </c>
      <c r="D191" s="641">
        <v>3181</v>
      </c>
      <c r="E191" s="641">
        <v>6121</v>
      </c>
      <c r="F191" s="649">
        <v>49</v>
      </c>
      <c r="G191" s="642" t="s">
        <v>809</v>
      </c>
      <c r="H191" s="665">
        <v>2007</v>
      </c>
      <c r="I191" s="665">
        <v>2017</v>
      </c>
      <c r="J191" s="660">
        <v>16588</v>
      </c>
      <c r="K191" s="660"/>
      <c r="L191" s="660">
        <v>332</v>
      </c>
      <c r="M191" s="661"/>
      <c r="N191" s="661">
        <v>100</v>
      </c>
      <c r="O191" s="660"/>
      <c r="P191" s="647">
        <f t="shared" si="21"/>
        <v>0</v>
      </c>
      <c r="Q191" s="661">
        <v>1400</v>
      </c>
      <c r="R191" s="661">
        <v>200</v>
      </c>
      <c r="S191" s="662">
        <v>14556</v>
      </c>
      <c r="T191" s="649" t="s">
        <v>682</v>
      </c>
      <c r="U191" s="669"/>
      <c r="V191" s="651">
        <f t="shared" si="23"/>
        <v>0</v>
      </c>
      <c r="W191" s="652">
        <f>IF(AND(P191&lt;'[1]koment'!$F$1,N191&gt;='[1]koment'!$F$2),"Komentovat","")</f>
      </c>
      <c r="X191" s="653" t="e">
        <f t="shared" si="22"/>
        <v>#REF!</v>
      </c>
      <c r="Y191" s="651" t="str">
        <f t="shared" si="24"/>
        <v> </v>
      </c>
      <c r="Z191" s="654">
        <f t="shared" si="25"/>
        <v>0</v>
      </c>
      <c r="AA191" s="655" t="str">
        <f t="shared" si="26"/>
        <v>560023213181612149</v>
      </c>
      <c r="AB191" s="638"/>
      <c r="AC191" s="638"/>
      <c r="AD191" s="638"/>
      <c r="AE191" s="638"/>
      <c r="AF191" s="638"/>
    </row>
    <row r="192" spans="1:32" ht="12.75" outlineLevel="2">
      <c r="A192" s="639">
        <f t="shared" si="20"/>
        <v>190</v>
      </c>
      <c r="B192" s="658" t="s">
        <v>606</v>
      </c>
      <c r="C192" s="641" t="s">
        <v>715</v>
      </c>
      <c r="D192" s="641">
        <v>3185</v>
      </c>
      <c r="E192" s="641">
        <v>6121</v>
      </c>
      <c r="F192" s="649">
        <v>49</v>
      </c>
      <c r="G192" s="642" t="s">
        <v>810</v>
      </c>
      <c r="H192" s="665">
        <v>2007</v>
      </c>
      <c r="I192" s="641">
        <v>2015</v>
      </c>
      <c r="J192" s="660">
        <v>112000</v>
      </c>
      <c r="K192" s="660"/>
      <c r="L192" s="660">
        <f>3923+2975+202</f>
        <v>7100</v>
      </c>
      <c r="M192" s="661">
        <v>48880</v>
      </c>
      <c r="N192" s="661">
        <v>103097</v>
      </c>
      <c r="O192" s="660">
        <v>91148</v>
      </c>
      <c r="P192" s="647">
        <f t="shared" si="21"/>
        <v>0.8840994403328903</v>
      </c>
      <c r="Q192" s="661">
        <v>1803</v>
      </c>
      <c r="R192" s="661"/>
      <c r="S192" s="662"/>
      <c r="T192" s="649" t="s">
        <v>682</v>
      </c>
      <c r="U192" s="669"/>
      <c r="V192" s="651">
        <f t="shared" si="23"/>
        <v>0</v>
      </c>
      <c r="W192" s="652">
        <f>IF(AND(P192&lt;'[1]koment'!$F$1,N192&gt;='[1]koment'!$F$2),"Komentovat","")</f>
      </c>
      <c r="X192" s="653" t="e">
        <f t="shared" si="22"/>
        <v>#REF!</v>
      </c>
      <c r="Y192" s="651" t="str">
        <f t="shared" si="24"/>
        <v> </v>
      </c>
      <c r="Z192" s="654">
        <f t="shared" si="25"/>
        <v>0</v>
      </c>
      <c r="AA192" s="655" t="str">
        <f t="shared" si="26"/>
        <v>560023213185612149</v>
      </c>
      <c r="AB192" s="638"/>
      <c r="AC192" s="638"/>
      <c r="AD192" s="638"/>
      <c r="AE192" s="638"/>
      <c r="AF192" s="638"/>
    </row>
    <row r="193" spans="1:32" ht="12.75" outlineLevel="2">
      <c r="A193" s="639">
        <f t="shared" si="20"/>
        <v>191</v>
      </c>
      <c r="B193" s="658">
        <v>5600</v>
      </c>
      <c r="C193" s="641" t="s">
        <v>715</v>
      </c>
      <c r="D193" s="665">
        <v>3347</v>
      </c>
      <c r="E193" s="641">
        <v>6121</v>
      </c>
      <c r="F193" s="649"/>
      <c r="G193" s="642" t="s">
        <v>811</v>
      </c>
      <c r="H193" s="663">
        <v>2005</v>
      </c>
      <c r="I193" s="665">
        <v>2017</v>
      </c>
      <c r="J193" s="660">
        <v>70000</v>
      </c>
      <c r="K193" s="660"/>
      <c r="L193" s="660">
        <f>52904+649+1118</f>
        <v>54671</v>
      </c>
      <c r="M193" s="661"/>
      <c r="N193" s="661"/>
      <c r="O193" s="660"/>
      <c r="P193" s="647" t="str">
        <f t="shared" si="21"/>
        <v> </v>
      </c>
      <c r="Q193" s="661"/>
      <c r="R193" s="661"/>
      <c r="S193" s="662"/>
      <c r="T193" s="649" t="s">
        <v>609</v>
      </c>
      <c r="U193" s="669"/>
      <c r="V193" s="651">
        <f t="shared" si="23"/>
        <v>15329</v>
      </c>
      <c r="W193" s="652">
        <f>IF(AND(P193&lt;'[1]koment'!$F$1,N193&gt;='[1]koment'!$F$2),"Komentovat","")</f>
      </c>
      <c r="X193" s="653" t="e">
        <f t="shared" si="22"/>
        <v>#REF!</v>
      </c>
      <c r="Y193" s="651">
        <f t="shared" si="24"/>
        <v>5600</v>
      </c>
      <c r="Z193" s="654" t="str">
        <f t="shared" si="25"/>
        <v>ORG 3347 - Rekonstrukce nevypořádané infrastruktury</v>
      </c>
      <c r="AA193" s="655" t="str">
        <f t="shared" si="26"/>
        <v>5600232133476121</v>
      </c>
      <c r="AB193" s="638"/>
      <c r="AC193" s="638"/>
      <c r="AD193" s="638"/>
      <c r="AE193" s="638"/>
      <c r="AF193" s="638"/>
    </row>
    <row r="194" spans="1:32" ht="12.75" outlineLevel="2">
      <c r="A194" s="639">
        <f t="shared" si="20"/>
        <v>192</v>
      </c>
      <c r="B194" s="658" t="s">
        <v>606</v>
      </c>
      <c r="C194" s="641" t="s">
        <v>715</v>
      </c>
      <c r="D194" s="641">
        <v>3350</v>
      </c>
      <c r="E194" s="641">
        <v>6121</v>
      </c>
      <c r="F194" s="649">
        <v>49</v>
      </c>
      <c r="G194" s="642" t="s">
        <v>812</v>
      </c>
      <c r="H194" s="665">
        <v>2005</v>
      </c>
      <c r="I194" s="641">
        <v>2017</v>
      </c>
      <c r="J194" s="660">
        <v>21529</v>
      </c>
      <c r="K194" s="660"/>
      <c r="L194" s="660">
        <f>202+840</f>
        <v>1042</v>
      </c>
      <c r="M194" s="661"/>
      <c r="N194" s="661"/>
      <c r="O194" s="660"/>
      <c r="P194" s="647" t="str">
        <f t="shared" si="21"/>
        <v> </v>
      </c>
      <c r="Q194" s="661">
        <v>200</v>
      </c>
      <c r="R194" s="661">
        <v>200</v>
      </c>
      <c r="S194" s="662">
        <v>20087</v>
      </c>
      <c r="T194" s="649" t="s">
        <v>682</v>
      </c>
      <c r="U194" s="669"/>
      <c r="V194" s="651">
        <f t="shared" si="23"/>
        <v>0</v>
      </c>
      <c r="W194" s="652">
        <f>IF(AND(P194&lt;'[1]koment'!$F$1,N194&gt;='[1]koment'!$F$2),"Komentovat","")</f>
      </c>
      <c r="X194" s="653" t="e">
        <f t="shared" si="22"/>
        <v>#REF!</v>
      </c>
      <c r="Y194" s="651" t="str">
        <f t="shared" si="24"/>
        <v> </v>
      </c>
      <c r="Z194" s="654">
        <f t="shared" si="25"/>
        <v>0</v>
      </c>
      <c r="AA194" s="655" t="str">
        <f t="shared" si="26"/>
        <v>560023213350612149</v>
      </c>
      <c r="AB194" s="638"/>
      <c r="AC194" s="638"/>
      <c r="AD194" s="638"/>
      <c r="AE194" s="638"/>
      <c r="AF194" s="638"/>
    </row>
    <row r="195" spans="1:32" ht="12.75" outlineLevel="2">
      <c r="A195" s="639">
        <f t="shared" si="20"/>
        <v>193</v>
      </c>
      <c r="B195" s="658" t="s">
        <v>606</v>
      </c>
      <c r="C195" s="641" t="s">
        <v>715</v>
      </c>
      <c r="D195" s="641">
        <v>3351</v>
      </c>
      <c r="E195" s="641">
        <v>6121</v>
      </c>
      <c r="F195" s="649">
        <v>49</v>
      </c>
      <c r="G195" s="642" t="s">
        <v>813</v>
      </c>
      <c r="H195" s="665">
        <v>2005</v>
      </c>
      <c r="I195" s="641">
        <v>2013</v>
      </c>
      <c r="J195" s="660">
        <v>49990</v>
      </c>
      <c r="K195" s="660"/>
      <c r="L195" s="660">
        <f>1798+68+37242+10836</f>
        <v>49944</v>
      </c>
      <c r="M195" s="661"/>
      <c r="N195" s="661"/>
      <c r="O195" s="660"/>
      <c r="P195" s="647" t="str">
        <f t="shared" si="21"/>
        <v> </v>
      </c>
      <c r="Q195" s="661"/>
      <c r="R195" s="661"/>
      <c r="S195" s="662"/>
      <c r="T195" s="649" t="s">
        <v>682</v>
      </c>
      <c r="U195" s="669"/>
      <c r="V195" s="651">
        <f t="shared" si="23"/>
        <v>46</v>
      </c>
      <c r="W195" s="652">
        <f>IF(AND(P195&lt;'[1]koment'!$F$1,N195&gt;='[1]koment'!$F$2),"Komentovat","")</f>
      </c>
      <c r="X195" s="653" t="e">
        <f t="shared" si="22"/>
        <v>#REF!</v>
      </c>
      <c r="Y195" s="651">
        <f t="shared" si="24"/>
        <v>5600</v>
      </c>
      <c r="Z195" s="654" t="str">
        <f t="shared" si="25"/>
        <v>ORG 3351 - Sládkova - rek. kanalizace a vodovodu</v>
      </c>
      <c r="AA195" s="655" t="str">
        <f t="shared" si="26"/>
        <v>560023213351612149</v>
      </c>
      <c r="AB195" s="638"/>
      <c r="AC195" s="638"/>
      <c r="AD195" s="638"/>
      <c r="AE195" s="638"/>
      <c r="AF195" s="638"/>
    </row>
    <row r="196" spans="1:32" ht="12.75" outlineLevel="2">
      <c r="A196" s="639">
        <f aca="true" t="shared" si="27" ref="A196:A259">ROW()-2</f>
        <v>194</v>
      </c>
      <c r="B196" s="658" t="s">
        <v>606</v>
      </c>
      <c r="C196" s="641" t="s">
        <v>715</v>
      </c>
      <c r="D196" s="641">
        <v>3353</v>
      </c>
      <c r="E196" s="641">
        <v>6121</v>
      </c>
      <c r="F196" s="649">
        <v>49</v>
      </c>
      <c r="G196" s="642" t="s">
        <v>814</v>
      </c>
      <c r="H196" s="665">
        <v>2005</v>
      </c>
      <c r="I196" s="641">
        <v>2016</v>
      </c>
      <c r="J196" s="660">
        <v>44699</v>
      </c>
      <c r="K196" s="660"/>
      <c r="L196" s="660"/>
      <c r="M196" s="661">
        <v>1500</v>
      </c>
      <c r="N196" s="661">
        <v>1000</v>
      </c>
      <c r="O196" s="660">
        <v>986</v>
      </c>
      <c r="P196" s="647">
        <f aca="true" t="shared" si="28" ref="P196:P259">IF(N196&lt;=0," ",O196/N196)</f>
        <v>0.986</v>
      </c>
      <c r="Q196" s="661">
        <v>12000</v>
      </c>
      <c r="R196" s="661">
        <v>31199</v>
      </c>
      <c r="S196" s="662"/>
      <c r="T196" s="649" t="s">
        <v>682</v>
      </c>
      <c r="U196" s="669"/>
      <c r="V196" s="651">
        <f t="shared" si="23"/>
        <v>500</v>
      </c>
      <c r="W196" s="652">
        <f>IF(AND(P196&lt;'[1]koment'!$F$1,N196&gt;='[1]koment'!$F$2),"Komentovat","")</f>
      </c>
      <c r="X196" s="653" t="e">
        <f aca="true" t="shared" si="29" ref="X196:X259">IF(W196="Komentovat",X195+1,X195)</f>
        <v>#REF!</v>
      </c>
      <c r="Y196" s="651">
        <f t="shared" si="24"/>
        <v>5600</v>
      </c>
      <c r="Z196" s="654" t="str">
        <f t="shared" si="25"/>
        <v>ORG 3353 - Cornovova - rek. kanalizace a vodovodu</v>
      </c>
      <c r="AA196" s="655" t="str">
        <f t="shared" si="26"/>
        <v>560023213353612149</v>
      </c>
      <c r="AB196" s="638"/>
      <c r="AC196" s="638"/>
      <c r="AD196" s="638"/>
      <c r="AE196" s="638"/>
      <c r="AF196" s="638"/>
    </row>
    <row r="197" spans="1:32" ht="12.75" outlineLevel="2">
      <c r="A197" s="639">
        <f t="shared" si="27"/>
        <v>195</v>
      </c>
      <c r="B197" s="658" t="s">
        <v>606</v>
      </c>
      <c r="C197" s="641" t="s">
        <v>715</v>
      </c>
      <c r="D197" s="641">
        <v>3375</v>
      </c>
      <c r="E197" s="641">
        <v>6121</v>
      </c>
      <c r="F197" s="659" t="s">
        <v>815</v>
      </c>
      <c r="G197" s="642" t="s">
        <v>816</v>
      </c>
      <c r="H197" s="641"/>
      <c r="I197" s="641"/>
      <c r="J197" s="660"/>
      <c r="K197" s="660"/>
      <c r="L197" s="660">
        <f>527992</f>
        <v>527992</v>
      </c>
      <c r="M197" s="661"/>
      <c r="N197" s="661">
        <f>233846-23810</f>
        <v>210036</v>
      </c>
      <c r="O197" s="660">
        <f>233846-23810</f>
        <v>210036</v>
      </c>
      <c r="P197" s="647">
        <f t="shared" si="28"/>
        <v>1</v>
      </c>
      <c r="Q197" s="661"/>
      <c r="R197" s="661"/>
      <c r="S197" s="662"/>
      <c r="T197" s="649" t="s">
        <v>609</v>
      </c>
      <c r="U197" s="669"/>
      <c r="V197" s="651">
        <f t="shared" si="23"/>
        <v>-738028</v>
      </c>
      <c r="W197" s="652">
        <f>IF(AND(P197&lt;'[1]koment'!$F$1,N197&gt;='[1]koment'!$F$2),"Komentovat","")</f>
      </c>
      <c r="X197" s="653" t="e">
        <f t="shared" si="29"/>
        <v>#REF!</v>
      </c>
      <c r="Y197" s="651">
        <f t="shared" si="24"/>
        <v>5600</v>
      </c>
      <c r="Z197" s="654" t="str">
        <f t="shared" si="25"/>
        <v>ORG 3375 - Rekonstrukce a dostavba kanalizace v Brně - dotace</v>
      </c>
      <c r="AA197" s="655" t="str">
        <f t="shared" si="26"/>
        <v>5600232133756121FS</v>
      </c>
      <c r="AB197" s="638"/>
      <c r="AC197" s="638"/>
      <c r="AD197" s="638"/>
      <c r="AE197" s="638"/>
      <c r="AF197" s="638"/>
    </row>
    <row r="198" spans="1:32" ht="12.75" outlineLevel="2">
      <c r="A198" s="639">
        <f t="shared" si="27"/>
        <v>196</v>
      </c>
      <c r="B198" s="658" t="s">
        <v>606</v>
      </c>
      <c r="C198" s="641" t="s">
        <v>715</v>
      </c>
      <c r="D198" s="641">
        <v>3375</v>
      </c>
      <c r="E198" s="641">
        <v>6121</v>
      </c>
      <c r="F198" s="649">
        <v>49</v>
      </c>
      <c r="G198" s="642" t="s">
        <v>817</v>
      </c>
      <c r="H198" s="641">
        <v>2012</v>
      </c>
      <c r="I198" s="641">
        <v>2014</v>
      </c>
      <c r="J198" s="660">
        <v>309000</v>
      </c>
      <c r="K198" s="660"/>
      <c r="L198" s="660">
        <f>100000+192000</f>
        <v>292000</v>
      </c>
      <c r="M198" s="661">
        <v>17000</v>
      </c>
      <c r="N198" s="661">
        <v>17000</v>
      </c>
      <c r="O198" s="660">
        <v>17000</v>
      </c>
      <c r="P198" s="647">
        <f t="shared" si="28"/>
        <v>1</v>
      </c>
      <c r="Q198" s="661"/>
      <c r="R198" s="661"/>
      <c r="S198" s="662"/>
      <c r="T198" s="649" t="s">
        <v>682</v>
      </c>
      <c r="U198" s="669"/>
      <c r="V198" s="651">
        <f aca="true" t="shared" si="30" ref="V198:V271">IF(LEN($D198)=4,(J198-L198-N198-Q198-R198-S198),0)</f>
        <v>0</v>
      </c>
      <c r="W198" s="652">
        <f>IF(AND(P198&lt;'[1]koment'!$F$1,N198&gt;='[1]koment'!$F$2),"Komentovat","")</f>
      </c>
      <c r="X198" s="653" t="e">
        <f t="shared" si="29"/>
        <v>#REF!</v>
      </c>
      <c r="Y198" s="651" t="str">
        <f aca="true" t="shared" si="31" ref="Y198:Y271">IF($V198=0," ",IF(LEN($B198)=4,$B198*1,$B198))</f>
        <v> </v>
      </c>
      <c r="Z198" s="654">
        <f aca="true" t="shared" si="32" ref="Z198:Z271">IF($Y198=" ",0,"ORG "&amp;$D198&amp;" - "&amp;$G198)</f>
        <v>0</v>
      </c>
      <c r="AA198" s="655" t="str">
        <f aca="true" t="shared" si="33" ref="AA198:AA271">$B198&amp;LEFT($C198,4)&amp;$D198&amp;$E198&amp;$F198</f>
        <v>560023213375612149</v>
      </c>
      <c r="AB198" s="638"/>
      <c r="AC198" s="638"/>
      <c r="AD198" s="638"/>
      <c r="AE198" s="638"/>
      <c r="AF198" s="638"/>
    </row>
    <row r="199" spans="1:32" ht="12.75" outlineLevel="2">
      <c r="A199" s="639">
        <f t="shared" si="27"/>
        <v>197</v>
      </c>
      <c r="B199" s="658" t="s">
        <v>606</v>
      </c>
      <c r="C199" s="641" t="s">
        <v>715</v>
      </c>
      <c r="D199" s="641">
        <v>3375</v>
      </c>
      <c r="E199" s="641">
        <v>6121</v>
      </c>
      <c r="F199" s="649"/>
      <c r="G199" s="642" t="s">
        <v>817</v>
      </c>
      <c r="H199" s="665">
        <v>2004</v>
      </c>
      <c r="I199" s="641">
        <v>2015</v>
      </c>
      <c r="J199" s="660">
        <v>1566301</v>
      </c>
      <c r="K199" s="660">
        <v>920789</v>
      </c>
      <c r="L199" s="660">
        <f>86985+209727+216262</f>
        <v>512974</v>
      </c>
      <c r="M199" s="661">
        <v>228116</v>
      </c>
      <c r="N199" s="661">
        <f>101995+82+23810</f>
        <v>125887</v>
      </c>
      <c r="O199" s="660">
        <f>98572+23810</f>
        <v>122382</v>
      </c>
      <c r="P199" s="647">
        <f t="shared" si="28"/>
        <v>0.9721575698841024</v>
      </c>
      <c r="Q199" s="661">
        <v>1254</v>
      </c>
      <c r="R199" s="661"/>
      <c r="S199" s="662"/>
      <c r="T199" s="649" t="s">
        <v>609</v>
      </c>
      <c r="U199" s="669"/>
      <c r="V199" s="651">
        <f t="shared" si="30"/>
        <v>926186</v>
      </c>
      <c r="W199" s="652">
        <f>IF(AND(P199&lt;'[1]koment'!$F$1,N199&gt;='[1]koment'!$F$2),"Komentovat","")</f>
      </c>
      <c r="X199" s="653" t="e">
        <f t="shared" si="29"/>
        <v>#REF!</v>
      </c>
      <c r="Y199" s="651">
        <f t="shared" si="31"/>
        <v>5600</v>
      </c>
      <c r="Z199" s="654" t="str">
        <f t="shared" si="32"/>
        <v>ORG 3375 - Rekonstrukce a dostavba kanalizace v Brně </v>
      </c>
      <c r="AA199" s="655" t="str">
        <f t="shared" si="33"/>
        <v>5600232133756121</v>
      </c>
      <c r="AB199" s="638"/>
      <c r="AC199" s="638"/>
      <c r="AD199" s="638"/>
      <c r="AE199" s="638"/>
      <c r="AF199" s="638"/>
    </row>
    <row r="200" spans="1:32" ht="12.75" outlineLevel="2">
      <c r="A200" s="639">
        <f t="shared" si="27"/>
        <v>198</v>
      </c>
      <c r="B200" s="658" t="s">
        <v>606</v>
      </c>
      <c r="C200" s="641" t="s">
        <v>715</v>
      </c>
      <c r="D200" s="641">
        <v>3375</v>
      </c>
      <c r="E200" s="641">
        <v>6121</v>
      </c>
      <c r="F200" s="649">
        <v>41</v>
      </c>
      <c r="G200" s="642" t="s">
        <v>817</v>
      </c>
      <c r="H200" s="665"/>
      <c r="I200" s="641"/>
      <c r="J200" s="660"/>
      <c r="K200" s="660"/>
      <c r="L200" s="660"/>
      <c r="M200" s="661">
        <v>54750</v>
      </c>
      <c r="N200" s="661">
        <v>54750</v>
      </c>
      <c r="O200" s="660">
        <v>54750</v>
      </c>
      <c r="P200" s="647">
        <f t="shared" si="28"/>
        <v>1</v>
      </c>
      <c r="Q200" s="661"/>
      <c r="R200" s="661"/>
      <c r="S200" s="662"/>
      <c r="T200" s="649" t="s">
        <v>609</v>
      </c>
      <c r="U200" s="669"/>
      <c r="V200" s="651">
        <f t="shared" si="30"/>
        <v>-54750</v>
      </c>
      <c r="W200" s="652">
        <f>IF(AND(P200&lt;'[1]koment'!$F$1,N200&gt;='[1]koment'!$F$2),"Komentovat","")</f>
      </c>
      <c r="X200" s="653" t="e">
        <f t="shared" si="29"/>
        <v>#REF!</v>
      </c>
      <c r="Y200" s="651">
        <f t="shared" si="31"/>
        <v>5600</v>
      </c>
      <c r="Z200" s="654" t="str">
        <f t="shared" si="32"/>
        <v>ORG 3375 - Rekonstrukce a dostavba kanalizace v Brně </v>
      </c>
      <c r="AA200" s="655" t="str">
        <f t="shared" si="33"/>
        <v>560023213375612141</v>
      </c>
      <c r="AB200" s="638"/>
      <c r="AC200" s="638"/>
      <c r="AD200" s="638"/>
      <c r="AE200" s="638"/>
      <c r="AF200" s="638"/>
    </row>
    <row r="201" spans="1:32" ht="12.75" outlineLevel="2">
      <c r="A201" s="639">
        <f t="shared" si="27"/>
        <v>199</v>
      </c>
      <c r="B201" s="658" t="s">
        <v>606</v>
      </c>
      <c r="C201" s="641" t="s">
        <v>715</v>
      </c>
      <c r="D201" s="641">
        <v>3393</v>
      </c>
      <c r="E201" s="641">
        <v>6121</v>
      </c>
      <c r="F201" s="649">
        <v>49</v>
      </c>
      <c r="G201" s="642" t="s">
        <v>818</v>
      </c>
      <c r="H201" s="665">
        <v>2004</v>
      </c>
      <c r="I201" s="641">
        <v>2018</v>
      </c>
      <c r="J201" s="660">
        <v>26393</v>
      </c>
      <c r="K201" s="660"/>
      <c r="L201" s="660">
        <v>730</v>
      </c>
      <c r="M201" s="661">
        <v>1000</v>
      </c>
      <c r="N201" s="661">
        <v>1000</v>
      </c>
      <c r="O201" s="660">
        <v>831</v>
      </c>
      <c r="P201" s="647">
        <f t="shared" si="28"/>
        <v>0.831</v>
      </c>
      <c r="Q201" s="661">
        <v>400</v>
      </c>
      <c r="R201" s="661">
        <v>200</v>
      </c>
      <c r="S201" s="662">
        <v>24063</v>
      </c>
      <c r="T201" s="649" t="s">
        <v>682</v>
      </c>
      <c r="U201" s="669"/>
      <c r="V201" s="651">
        <f t="shared" si="30"/>
        <v>0</v>
      </c>
      <c r="W201" s="652">
        <f>IF(AND(P201&lt;'[1]koment'!$F$1,N201&gt;='[1]koment'!$F$2),"Komentovat","")</f>
      </c>
      <c r="X201" s="653" t="e">
        <f t="shared" si="29"/>
        <v>#REF!</v>
      </c>
      <c r="Y201" s="651" t="str">
        <f t="shared" si="31"/>
        <v> </v>
      </c>
      <c r="Z201" s="654">
        <f t="shared" si="32"/>
        <v>0</v>
      </c>
      <c r="AA201" s="655" t="str">
        <f t="shared" si="33"/>
        <v>560023213393612149</v>
      </c>
      <c r="AB201" s="638"/>
      <c r="AC201" s="638"/>
      <c r="AD201" s="638"/>
      <c r="AE201" s="638"/>
      <c r="AF201" s="638"/>
    </row>
    <row r="202" spans="1:32" ht="12.75" outlineLevel="2">
      <c r="A202" s="639">
        <f t="shared" si="27"/>
        <v>200</v>
      </c>
      <c r="B202" s="658" t="s">
        <v>606</v>
      </c>
      <c r="C202" s="641" t="s">
        <v>715</v>
      </c>
      <c r="D202" s="641">
        <v>3399</v>
      </c>
      <c r="E202" s="641">
        <v>6121</v>
      </c>
      <c r="F202" s="649">
        <v>49</v>
      </c>
      <c r="G202" s="642" t="s">
        <v>819</v>
      </c>
      <c r="H202" s="665">
        <v>2004</v>
      </c>
      <c r="I202" s="665">
        <v>2015</v>
      </c>
      <c r="J202" s="660">
        <v>7733</v>
      </c>
      <c r="K202" s="660"/>
      <c r="L202" s="660">
        <v>2733</v>
      </c>
      <c r="M202" s="661">
        <v>3000</v>
      </c>
      <c r="N202" s="661">
        <v>100</v>
      </c>
      <c r="O202" s="660"/>
      <c r="P202" s="647">
        <f t="shared" si="28"/>
        <v>0</v>
      </c>
      <c r="Q202" s="661">
        <v>2000</v>
      </c>
      <c r="R202" s="661"/>
      <c r="S202" s="662"/>
      <c r="T202" s="649" t="s">
        <v>682</v>
      </c>
      <c r="U202" s="669"/>
      <c r="V202" s="651">
        <f t="shared" si="30"/>
        <v>2900</v>
      </c>
      <c r="W202" s="652">
        <f>IF(AND(P202&lt;'[1]koment'!$F$1,N202&gt;='[1]koment'!$F$2),"Komentovat","")</f>
      </c>
      <c r="X202" s="653" t="e">
        <f t="shared" si="29"/>
        <v>#REF!</v>
      </c>
      <c r="Y202" s="651">
        <f t="shared" si="31"/>
        <v>5600</v>
      </c>
      <c r="Z202" s="654" t="str">
        <f t="shared" si="32"/>
        <v>ORG 3399 - RKS EI - úsek Hájecká, Nezamyslova</v>
      </c>
      <c r="AA202" s="655" t="str">
        <f t="shared" si="33"/>
        <v>560023213399612149</v>
      </c>
      <c r="AB202" s="638"/>
      <c r="AC202" s="638"/>
      <c r="AD202" s="638"/>
      <c r="AE202" s="638"/>
      <c r="AF202" s="638"/>
    </row>
    <row r="203" spans="1:32" ht="12.75" outlineLevel="2">
      <c r="A203" s="639">
        <f t="shared" si="27"/>
        <v>201</v>
      </c>
      <c r="B203" s="658" t="s">
        <v>606</v>
      </c>
      <c r="C203" s="641" t="s">
        <v>715</v>
      </c>
      <c r="D203" s="641">
        <v>4033</v>
      </c>
      <c r="E203" s="641">
        <v>6121</v>
      </c>
      <c r="F203" s="649">
        <v>49</v>
      </c>
      <c r="G203" s="642" t="s">
        <v>820</v>
      </c>
      <c r="H203" s="665">
        <v>1996</v>
      </c>
      <c r="I203" s="641">
        <v>2017</v>
      </c>
      <c r="J203" s="660">
        <v>22012</v>
      </c>
      <c r="K203" s="660"/>
      <c r="L203" s="660">
        <v>6202</v>
      </c>
      <c r="M203" s="661"/>
      <c r="N203" s="661"/>
      <c r="O203" s="660"/>
      <c r="P203" s="647" t="str">
        <f t="shared" si="28"/>
        <v> </v>
      </c>
      <c r="Q203" s="661"/>
      <c r="R203" s="661"/>
      <c r="S203" s="662">
        <v>15810</v>
      </c>
      <c r="T203" s="649" t="s">
        <v>682</v>
      </c>
      <c r="U203" s="669"/>
      <c r="V203" s="651">
        <f t="shared" si="30"/>
        <v>0</v>
      </c>
      <c r="W203" s="652">
        <f>IF(AND(P203&lt;'[1]koment'!$F$1,N203&gt;='[1]koment'!$F$2),"Komentovat","")</f>
      </c>
      <c r="X203" s="653" t="e">
        <f t="shared" si="29"/>
        <v>#REF!</v>
      </c>
      <c r="Y203" s="651" t="str">
        <f t="shared" si="31"/>
        <v> </v>
      </c>
      <c r="Z203" s="654">
        <f t="shared" si="32"/>
        <v>0</v>
      </c>
      <c r="AA203" s="655" t="str">
        <f t="shared" si="33"/>
        <v>560023214033612149</v>
      </c>
      <c r="AB203" s="638"/>
      <c r="AC203" s="638"/>
      <c r="AD203" s="638"/>
      <c r="AE203" s="638"/>
      <c r="AF203" s="638"/>
    </row>
    <row r="204" spans="1:32" ht="12.75" outlineLevel="2">
      <c r="A204" s="639">
        <f t="shared" si="27"/>
        <v>202</v>
      </c>
      <c r="B204" s="658" t="s">
        <v>606</v>
      </c>
      <c r="C204" s="641" t="s">
        <v>715</v>
      </c>
      <c r="D204" s="641">
        <v>4130</v>
      </c>
      <c r="E204" s="641">
        <v>6121</v>
      </c>
      <c r="F204" s="649">
        <v>49</v>
      </c>
      <c r="G204" s="642" t="s">
        <v>821</v>
      </c>
      <c r="H204" s="665">
        <v>1998</v>
      </c>
      <c r="I204" s="641">
        <v>2018</v>
      </c>
      <c r="J204" s="660">
        <v>248000</v>
      </c>
      <c r="K204" s="660"/>
      <c r="L204" s="660">
        <f>109660+10369+9258+29436</f>
        <v>158723</v>
      </c>
      <c r="M204" s="661">
        <v>22000</v>
      </c>
      <c r="N204" s="661">
        <v>30000</v>
      </c>
      <c r="O204" s="660">
        <v>28791</v>
      </c>
      <c r="P204" s="647">
        <f t="shared" si="28"/>
        <v>0.9597</v>
      </c>
      <c r="Q204" s="661">
        <v>22000</v>
      </c>
      <c r="R204" s="661">
        <v>14000</v>
      </c>
      <c r="S204" s="662">
        <v>11277</v>
      </c>
      <c r="T204" s="649" t="s">
        <v>682</v>
      </c>
      <c r="U204" s="669"/>
      <c r="V204" s="651">
        <f t="shared" si="30"/>
        <v>12000</v>
      </c>
      <c r="W204" s="652">
        <f>IF(AND(P204&lt;'[1]koment'!$F$1,N204&gt;='[1]koment'!$F$2),"Komentovat","")</f>
      </c>
      <c r="X204" s="653" t="e">
        <f t="shared" si="29"/>
        <v>#REF!</v>
      </c>
      <c r="Y204" s="651">
        <f t="shared" si="31"/>
        <v>5600</v>
      </c>
      <c r="Z204" s="654" t="str">
        <f t="shared" si="32"/>
        <v>ORG 4130 - Rekonstrukce objektů - havarijní stav</v>
      </c>
      <c r="AA204" s="655" t="str">
        <f t="shared" si="33"/>
        <v>560023214130612149</v>
      </c>
      <c r="AB204" s="638"/>
      <c r="AC204" s="638"/>
      <c r="AD204" s="638"/>
      <c r="AE204" s="638"/>
      <c r="AF204" s="638"/>
    </row>
    <row r="205" spans="1:32" ht="12.75" outlineLevel="2">
      <c r="A205" s="639">
        <f t="shared" si="27"/>
        <v>203</v>
      </c>
      <c r="B205" s="658">
        <v>5600</v>
      </c>
      <c r="C205" s="641" t="s">
        <v>715</v>
      </c>
      <c r="D205" s="665">
        <v>4376</v>
      </c>
      <c r="E205" s="641">
        <v>6121</v>
      </c>
      <c r="F205" s="649"/>
      <c r="G205" s="642" t="s">
        <v>822</v>
      </c>
      <c r="H205" s="663">
        <v>2000</v>
      </c>
      <c r="I205" s="665">
        <v>2013</v>
      </c>
      <c r="J205" s="660">
        <v>61000</v>
      </c>
      <c r="K205" s="660"/>
      <c r="L205" s="660">
        <f>28143+407+15947+15240</f>
        <v>59737</v>
      </c>
      <c r="M205" s="661"/>
      <c r="N205" s="661"/>
      <c r="O205" s="660"/>
      <c r="P205" s="647" t="str">
        <f t="shared" si="28"/>
        <v> </v>
      </c>
      <c r="Q205" s="661"/>
      <c r="R205" s="661"/>
      <c r="S205" s="662">
        <v>353</v>
      </c>
      <c r="T205" s="649" t="s">
        <v>609</v>
      </c>
      <c r="U205" s="669"/>
      <c r="V205" s="651">
        <f t="shared" si="30"/>
        <v>910</v>
      </c>
      <c r="W205" s="652">
        <f>IF(AND(P205&lt;'[1]koment'!$F$1,N205&gt;='[1]koment'!$F$2),"Komentovat","")</f>
      </c>
      <c r="X205" s="653" t="e">
        <f t="shared" si="29"/>
        <v>#REF!</v>
      </c>
      <c r="Y205" s="651">
        <f t="shared" si="31"/>
        <v>5600</v>
      </c>
      <c r="Z205" s="654" t="str">
        <f t="shared" si="32"/>
        <v>ORG 4376 - Dešťová kanalizace Brno - Ořešín</v>
      </c>
      <c r="AA205" s="655" t="str">
        <f t="shared" si="33"/>
        <v>5600232143766121</v>
      </c>
      <c r="AB205" s="638"/>
      <c r="AC205" s="638"/>
      <c r="AD205" s="638"/>
      <c r="AE205" s="638"/>
      <c r="AF205" s="638"/>
    </row>
    <row r="206" spans="1:32" ht="12.75" outlineLevel="2">
      <c r="A206" s="639">
        <f t="shared" si="27"/>
        <v>204</v>
      </c>
      <c r="B206" s="658" t="s">
        <v>606</v>
      </c>
      <c r="C206" s="641" t="s">
        <v>715</v>
      </c>
      <c r="D206" s="641">
        <v>4455</v>
      </c>
      <c r="E206" s="641">
        <v>6121</v>
      </c>
      <c r="F206" s="649">
        <v>49</v>
      </c>
      <c r="G206" s="642" t="s">
        <v>823</v>
      </c>
      <c r="H206" s="665">
        <v>2001</v>
      </c>
      <c r="I206" s="641">
        <v>2018</v>
      </c>
      <c r="J206" s="660">
        <v>51093</v>
      </c>
      <c r="K206" s="660"/>
      <c r="L206" s="660">
        <v>505</v>
      </c>
      <c r="M206" s="661">
        <v>3000</v>
      </c>
      <c r="N206" s="661"/>
      <c r="O206" s="660"/>
      <c r="P206" s="647" t="str">
        <f t="shared" si="28"/>
        <v> </v>
      </c>
      <c r="Q206" s="661">
        <v>1000</v>
      </c>
      <c r="R206" s="661">
        <v>1000</v>
      </c>
      <c r="S206" s="662">
        <v>47598</v>
      </c>
      <c r="T206" s="649" t="s">
        <v>682</v>
      </c>
      <c r="U206" s="669"/>
      <c r="V206" s="651">
        <f t="shared" si="30"/>
        <v>990</v>
      </c>
      <c r="W206" s="652">
        <f>IF(AND(P206&lt;'[1]koment'!$F$1,N206&gt;='[1]koment'!$F$2),"Komentovat","")</f>
      </c>
      <c r="X206" s="653" t="e">
        <f t="shared" si="29"/>
        <v>#REF!</v>
      </c>
      <c r="Y206" s="651">
        <f t="shared" si="31"/>
        <v>5600</v>
      </c>
      <c r="Z206" s="654" t="str">
        <f t="shared" si="32"/>
        <v>ORG 4455 - Stránského, Haasova - rekonstrukce kanalizace</v>
      </c>
      <c r="AA206" s="655" t="str">
        <f t="shared" si="33"/>
        <v>560023214455612149</v>
      </c>
      <c r="AB206" s="638"/>
      <c r="AC206" s="638"/>
      <c r="AD206" s="638"/>
      <c r="AE206" s="638"/>
      <c r="AF206" s="638"/>
    </row>
    <row r="207" spans="1:32" ht="12.75" outlineLevel="2">
      <c r="A207" s="639">
        <f t="shared" si="27"/>
        <v>205</v>
      </c>
      <c r="B207" s="658" t="s">
        <v>606</v>
      </c>
      <c r="C207" s="641" t="s">
        <v>715</v>
      </c>
      <c r="D207" s="641">
        <v>4474</v>
      </c>
      <c r="E207" s="641">
        <v>6121</v>
      </c>
      <c r="F207" s="649">
        <v>49</v>
      </c>
      <c r="G207" s="642" t="s">
        <v>824</v>
      </c>
      <c r="H207" s="665">
        <v>2001</v>
      </c>
      <c r="I207" s="665">
        <v>2018</v>
      </c>
      <c r="J207" s="660">
        <v>47337</v>
      </c>
      <c r="K207" s="660"/>
      <c r="L207" s="660">
        <f>362+1473+53</f>
        <v>1888</v>
      </c>
      <c r="M207" s="661">
        <v>18897</v>
      </c>
      <c r="N207" s="661">
        <v>8000</v>
      </c>
      <c r="O207" s="660">
        <v>1</v>
      </c>
      <c r="P207" s="647">
        <f t="shared" si="28"/>
        <v>0.000125</v>
      </c>
      <c r="Q207" s="661">
        <v>36562</v>
      </c>
      <c r="R207" s="661"/>
      <c r="S207" s="662"/>
      <c r="T207" s="649" t="s">
        <v>682</v>
      </c>
      <c r="U207" s="669"/>
      <c r="V207" s="651">
        <f t="shared" si="30"/>
        <v>887</v>
      </c>
      <c r="W207" s="652" t="str">
        <f>IF(AND(P207&lt;'[1]koment'!$F$1,N207&gt;='[1]koment'!$F$2),"Komentovat","")</f>
        <v>Komentovat</v>
      </c>
      <c r="X207" s="653" t="e">
        <f t="shared" si="29"/>
        <v>#REF!</v>
      </c>
      <c r="Y207" s="651">
        <f t="shared" si="31"/>
        <v>5600</v>
      </c>
      <c r="Z207" s="654" t="str">
        <f t="shared" si="32"/>
        <v>ORG 4474 - Filipínského II, Bubeníčkova II, - rek. kanal. a vodov. (Bub. - Klíny)</v>
      </c>
      <c r="AA207" s="655" t="str">
        <f t="shared" si="33"/>
        <v>560023214474612149</v>
      </c>
      <c r="AB207" s="638"/>
      <c r="AC207" s="638"/>
      <c r="AD207" s="638"/>
      <c r="AE207" s="638"/>
      <c r="AF207" s="638"/>
    </row>
    <row r="208" spans="1:32" ht="12.75" outlineLevel="2">
      <c r="A208" s="639">
        <f t="shared" si="27"/>
        <v>206</v>
      </c>
      <c r="B208" s="658" t="s">
        <v>606</v>
      </c>
      <c r="C208" s="641" t="s">
        <v>715</v>
      </c>
      <c r="D208" s="641">
        <v>4500</v>
      </c>
      <c r="E208" s="641">
        <v>6121</v>
      </c>
      <c r="F208" s="649">
        <v>49</v>
      </c>
      <c r="G208" s="642" t="s">
        <v>825</v>
      </c>
      <c r="H208" s="665">
        <v>2010</v>
      </c>
      <c r="I208" s="641">
        <v>2015</v>
      </c>
      <c r="J208" s="660">
        <v>104330</v>
      </c>
      <c r="K208" s="660"/>
      <c r="L208" s="660">
        <f>1947+194+3337</f>
        <v>5478</v>
      </c>
      <c r="M208" s="661">
        <v>5700</v>
      </c>
      <c r="N208" s="661">
        <v>5700</v>
      </c>
      <c r="O208" s="660">
        <v>10</v>
      </c>
      <c r="P208" s="647">
        <f t="shared" si="28"/>
        <v>0.0017543859649122807</v>
      </c>
      <c r="Q208" s="661">
        <v>93152</v>
      </c>
      <c r="R208" s="661"/>
      <c r="S208" s="662"/>
      <c r="T208" s="649" t="s">
        <v>682</v>
      </c>
      <c r="U208" s="669"/>
      <c r="V208" s="651">
        <f t="shared" si="30"/>
        <v>0</v>
      </c>
      <c r="W208" s="652" t="str">
        <f>IF(AND(P208&lt;'[1]koment'!$F$1,N208&gt;='[1]koment'!$F$2),"Komentovat","")</f>
        <v>Komentovat</v>
      </c>
      <c r="X208" s="653" t="e">
        <f t="shared" si="29"/>
        <v>#REF!</v>
      </c>
      <c r="Y208" s="651" t="str">
        <f t="shared" si="31"/>
        <v> </v>
      </c>
      <c r="Z208" s="654">
        <f t="shared" si="32"/>
        <v>0</v>
      </c>
      <c r="AA208" s="655" t="str">
        <f t="shared" si="33"/>
        <v>560023214500612149</v>
      </c>
      <c r="AB208" s="638"/>
      <c r="AC208" s="638"/>
      <c r="AD208" s="638"/>
      <c r="AE208" s="638"/>
      <c r="AF208" s="638"/>
    </row>
    <row r="209" spans="1:32" ht="12.75" outlineLevel="2">
      <c r="A209" s="639">
        <f t="shared" si="27"/>
        <v>207</v>
      </c>
      <c r="B209" s="658" t="s">
        <v>606</v>
      </c>
      <c r="C209" s="641" t="s">
        <v>715</v>
      </c>
      <c r="D209" s="641">
        <v>4644</v>
      </c>
      <c r="E209" s="641">
        <v>6121</v>
      </c>
      <c r="F209" s="649"/>
      <c r="G209" s="642" t="s">
        <v>826</v>
      </c>
      <c r="H209" s="665">
        <v>2002</v>
      </c>
      <c r="I209" s="641">
        <v>2017</v>
      </c>
      <c r="J209" s="660">
        <v>89955</v>
      </c>
      <c r="K209" s="660"/>
      <c r="L209" s="660">
        <f>59379+3331</f>
        <v>62710</v>
      </c>
      <c r="M209" s="661"/>
      <c r="N209" s="661"/>
      <c r="O209" s="660"/>
      <c r="P209" s="647" t="str">
        <f t="shared" si="28"/>
        <v> </v>
      </c>
      <c r="Q209" s="661">
        <v>27245</v>
      </c>
      <c r="R209" s="661"/>
      <c r="S209" s="662"/>
      <c r="T209" s="649" t="s">
        <v>609</v>
      </c>
      <c r="U209" s="669"/>
      <c r="V209" s="651">
        <f t="shared" si="30"/>
        <v>0</v>
      </c>
      <c r="W209" s="652">
        <f>IF(AND(P209&lt;'[1]koment'!$F$1,N209&gt;='[1]koment'!$F$2),"Komentovat","")</f>
      </c>
      <c r="X209" s="653" t="e">
        <f t="shared" si="29"/>
        <v>#REF!</v>
      </c>
      <c r="Y209" s="651" t="str">
        <f t="shared" si="31"/>
        <v> </v>
      </c>
      <c r="Z209" s="654">
        <f t="shared" si="32"/>
        <v>0</v>
      </c>
      <c r="AA209" s="655" t="str">
        <f t="shared" si="33"/>
        <v>5600232146446121</v>
      </c>
      <c r="AB209" s="638"/>
      <c r="AC209" s="638"/>
      <c r="AD209" s="638"/>
      <c r="AE209" s="638"/>
      <c r="AF209" s="638"/>
    </row>
    <row r="210" spans="1:32" ht="12.75" outlineLevel="2">
      <c r="A210" s="639">
        <f t="shared" si="27"/>
        <v>208</v>
      </c>
      <c r="B210" s="658" t="s">
        <v>606</v>
      </c>
      <c r="C210" s="641" t="s">
        <v>715</v>
      </c>
      <c r="D210" s="641">
        <v>4649</v>
      </c>
      <c r="E210" s="641">
        <v>6121</v>
      </c>
      <c r="F210" s="649">
        <v>49</v>
      </c>
      <c r="G210" s="642" t="s">
        <v>827</v>
      </c>
      <c r="H210" s="665">
        <v>2002</v>
      </c>
      <c r="I210" s="641">
        <v>2018</v>
      </c>
      <c r="J210" s="660">
        <v>197026</v>
      </c>
      <c r="K210" s="660"/>
      <c r="L210" s="660">
        <v>767</v>
      </c>
      <c r="M210" s="661">
        <v>3000</v>
      </c>
      <c r="N210" s="661"/>
      <c r="O210" s="660"/>
      <c r="P210" s="647" t="str">
        <f t="shared" si="28"/>
        <v> </v>
      </c>
      <c r="Q210" s="661">
        <v>2400</v>
      </c>
      <c r="R210" s="661">
        <v>2000</v>
      </c>
      <c r="S210" s="662">
        <v>190859</v>
      </c>
      <c r="T210" s="649" t="s">
        <v>682</v>
      </c>
      <c r="U210" s="669"/>
      <c r="V210" s="651">
        <f t="shared" si="30"/>
        <v>1000</v>
      </c>
      <c r="W210" s="652">
        <f>IF(AND(P210&lt;'[1]koment'!$F$1,N210&gt;='[1]koment'!$F$2),"Komentovat","")</f>
      </c>
      <c r="X210" s="653" t="e">
        <f t="shared" si="29"/>
        <v>#REF!</v>
      </c>
      <c r="Y210" s="651">
        <f t="shared" si="31"/>
        <v>5600</v>
      </c>
      <c r="Z210" s="654" t="str">
        <f t="shared" si="32"/>
        <v>ORG 4649 - Údolní II, náměstí Míru - rek. kanal. a vodovodu</v>
      </c>
      <c r="AA210" s="655" t="str">
        <f t="shared" si="33"/>
        <v>560023214649612149</v>
      </c>
      <c r="AB210" s="638"/>
      <c r="AC210" s="638"/>
      <c r="AD210" s="638"/>
      <c r="AE210" s="638"/>
      <c r="AF210" s="638"/>
    </row>
    <row r="211" spans="1:32" ht="12.75" outlineLevel="2">
      <c r="A211" s="639">
        <f t="shared" si="27"/>
        <v>209</v>
      </c>
      <c r="B211" s="658" t="s">
        <v>606</v>
      </c>
      <c r="C211" s="641" t="s">
        <v>715</v>
      </c>
      <c r="D211" s="641">
        <v>4651</v>
      </c>
      <c r="E211" s="641">
        <v>6121</v>
      </c>
      <c r="F211" s="649">
        <v>49</v>
      </c>
      <c r="G211" s="642" t="s">
        <v>828</v>
      </c>
      <c r="H211" s="665">
        <v>2002</v>
      </c>
      <c r="I211" s="641">
        <v>2018</v>
      </c>
      <c r="J211" s="660">
        <v>13025</v>
      </c>
      <c r="K211" s="660"/>
      <c r="L211" s="660">
        <v>99</v>
      </c>
      <c r="M211" s="661"/>
      <c r="N211" s="661"/>
      <c r="O211" s="660"/>
      <c r="P211" s="647" t="str">
        <f t="shared" si="28"/>
        <v> </v>
      </c>
      <c r="Q211" s="661">
        <v>0</v>
      </c>
      <c r="R211" s="661">
        <v>970</v>
      </c>
      <c r="S211" s="662">
        <v>11956</v>
      </c>
      <c r="T211" s="649" t="s">
        <v>682</v>
      </c>
      <c r="U211" s="669"/>
      <c r="V211" s="651">
        <f t="shared" si="30"/>
        <v>0</v>
      </c>
      <c r="W211" s="652">
        <f>IF(AND(P211&lt;'[1]koment'!$F$1,N211&gt;='[1]koment'!$F$2),"Komentovat","")</f>
      </c>
      <c r="X211" s="653" t="e">
        <f t="shared" si="29"/>
        <v>#REF!</v>
      </c>
      <c r="Y211" s="651" t="str">
        <f t="shared" si="31"/>
        <v> </v>
      </c>
      <c r="Z211" s="654">
        <f t="shared" si="32"/>
        <v>0</v>
      </c>
      <c r="AA211" s="655" t="str">
        <f t="shared" si="33"/>
        <v>560023214651612149</v>
      </c>
      <c r="AB211" s="638"/>
      <c r="AC211" s="638"/>
      <c r="AD211" s="638"/>
      <c r="AE211" s="638"/>
      <c r="AF211" s="638"/>
    </row>
    <row r="212" spans="1:32" ht="12.75" outlineLevel="2">
      <c r="A212" s="639">
        <f t="shared" si="27"/>
        <v>210</v>
      </c>
      <c r="B212" s="658" t="s">
        <v>606</v>
      </c>
      <c r="C212" s="641" t="s">
        <v>715</v>
      </c>
      <c r="D212" s="641">
        <v>4674</v>
      </c>
      <c r="E212" s="641">
        <v>6121</v>
      </c>
      <c r="F212" s="649">
        <v>49</v>
      </c>
      <c r="G212" s="642" t="s">
        <v>829</v>
      </c>
      <c r="H212" s="665">
        <v>2002</v>
      </c>
      <c r="I212" s="665">
        <v>2013</v>
      </c>
      <c r="J212" s="660">
        <v>5950</v>
      </c>
      <c r="K212" s="660"/>
      <c r="L212" s="660">
        <f>333+449+4909</f>
        <v>5691</v>
      </c>
      <c r="M212" s="661"/>
      <c r="N212" s="661"/>
      <c r="O212" s="660"/>
      <c r="P212" s="647" t="str">
        <f t="shared" si="28"/>
        <v> </v>
      </c>
      <c r="Q212" s="661"/>
      <c r="R212" s="661"/>
      <c r="S212" s="662"/>
      <c r="T212" s="649" t="s">
        <v>682</v>
      </c>
      <c r="U212" s="669"/>
      <c r="V212" s="651">
        <f t="shared" si="30"/>
        <v>259</v>
      </c>
      <c r="W212" s="652">
        <f>IF(AND(P212&lt;'[1]koment'!$F$1,N212&gt;='[1]koment'!$F$2),"Komentovat","")</f>
      </c>
      <c r="X212" s="653" t="e">
        <f t="shared" si="29"/>
        <v>#REF!</v>
      </c>
      <c r="Y212" s="651">
        <f t="shared" si="31"/>
        <v>5600</v>
      </c>
      <c r="Z212" s="654" t="str">
        <f t="shared" si="32"/>
        <v>ORG 4674 - Špirkova - výstavba dešťové kanalizace</v>
      </c>
      <c r="AA212" s="655" t="str">
        <f t="shared" si="33"/>
        <v>560023214674612149</v>
      </c>
      <c r="AB212" s="638"/>
      <c r="AC212" s="638"/>
      <c r="AD212" s="638"/>
      <c r="AE212" s="638"/>
      <c r="AF212" s="638"/>
    </row>
    <row r="213" spans="1:32" ht="12.75" outlineLevel="2">
      <c r="A213" s="639">
        <f t="shared" si="27"/>
        <v>211</v>
      </c>
      <c r="B213" s="658" t="s">
        <v>606</v>
      </c>
      <c r="C213" s="641" t="s">
        <v>715</v>
      </c>
      <c r="D213" s="641">
        <v>4677</v>
      </c>
      <c r="E213" s="641">
        <v>6121</v>
      </c>
      <c r="F213" s="649"/>
      <c r="G213" s="642" t="s">
        <v>830</v>
      </c>
      <c r="H213" s="665">
        <v>2003</v>
      </c>
      <c r="I213" s="641">
        <v>2014</v>
      </c>
      <c r="J213" s="660">
        <v>284300</v>
      </c>
      <c r="K213" s="660"/>
      <c r="L213" s="660">
        <f>4036+42779+120646+68288</f>
        <v>235749</v>
      </c>
      <c r="M213" s="661">
        <v>13000</v>
      </c>
      <c r="N213" s="661">
        <v>13000</v>
      </c>
      <c r="O213" s="660">
        <v>11803</v>
      </c>
      <c r="P213" s="647">
        <f t="shared" si="28"/>
        <v>0.9079230769230769</v>
      </c>
      <c r="Q213" s="661"/>
      <c r="R213" s="661"/>
      <c r="S213" s="662"/>
      <c r="T213" s="649" t="s">
        <v>609</v>
      </c>
      <c r="U213" s="669"/>
      <c r="V213" s="651">
        <f t="shared" si="30"/>
        <v>35551</v>
      </c>
      <c r="W213" s="652">
        <f>IF(AND(P213&lt;'[1]koment'!$F$1,N213&gt;='[1]koment'!$F$2),"Komentovat","")</f>
      </c>
      <c r="X213" s="653" t="e">
        <f t="shared" si="29"/>
        <v>#REF!</v>
      </c>
      <c r="Y213" s="651">
        <f t="shared" si="31"/>
        <v>5600</v>
      </c>
      <c r="Z213" s="654" t="str">
        <f t="shared" si="32"/>
        <v>ORG 4677 - Oddílný kanal.systém Brno-Starý Lískovec</v>
      </c>
      <c r="AA213" s="655" t="str">
        <f t="shared" si="33"/>
        <v>5600232146776121</v>
      </c>
      <c r="AB213" s="638"/>
      <c r="AC213" s="638"/>
      <c r="AD213" s="638"/>
      <c r="AE213" s="638"/>
      <c r="AF213" s="638"/>
    </row>
    <row r="214" spans="1:32" ht="12.75" outlineLevel="2">
      <c r="A214" s="639">
        <f t="shared" si="27"/>
        <v>212</v>
      </c>
      <c r="B214" s="658" t="s">
        <v>606</v>
      </c>
      <c r="C214" s="641" t="s">
        <v>715</v>
      </c>
      <c r="D214" s="641">
        <v>4679</v>
      </c>
      <c r="E214" s="641">
        <v>6121</v>
      </c>
      <c r="F214" s="649"/>
      <c r="G214" s="642" t="s">
        <v>831</v>
      </c>
      <c r="H214" s="665">
        <v>2003</v>
      </c>
      <c r="I214" s="641">
        <v>2017</v>
      </c>
      <c r="J214" s="660">
        <v>80109</v>
      </c>
      <c r="K214" s="660"/>
      <c r="L214" s="660">
        <v>614</v>
      </c>
      <c r="M214" s="661"/>
      <c r="N214" s="661"/>
      <c r="O214" s="660"/>
      <c r="P214" s="647" t="str">
        <f t="shared" si="28"/>
        <v> </v>
      </c>
      <c r="Q214" s="661">
        <v>79495</v>
      </c>
      <c r="R214" s="661"/>
      <c r="S214" s="662"/>
      <c r="T214" s="649" t="s">
        <v>609</v>
      </c>
      <c r="U214" s="669"/>
      <c r="V214" s="651">
        <f t="shared" si="30"/>
        <v>0</v>
      </c>
      <c r="W214" s="652">
        <f>IF(AND(P214&lt;'[1]koment'!$F$1,N214&gt;='[1]koment'!$F$2),"Komentovat","")</f>
      </c>
      <c r="X214" s="653" t="e">
        <f t="shared" si="29"/>
        <v>#REF!</v>
      </c>
      <c r="Y214" s="651" t="str">
        <f t="shared" si="31"/>
        <v> </v>
      </c>
      <c r="Z214" s="654">
        <f t="shared" si="32"/>
        <v>0</v>
      </c>
      <c r="AA214" s="655" t="str">
        <f t="shared" si="33"/>
        <v>5600232146796121</v>
      </c>
      <c r="AB214" s="638"/>
      <c r="AC214" s="638"/>
      <c r="AD214" s="638"/>
      <c r="AE214" s="638"/>
      <c r="AF214" s="638"/>
    </row>
    <row r="215" spans="1:32" ht="12.75" outlineLevel="2">
      <c r="A215" s="639">
        <f t="shared" si="27"/>
        <v>213</v>
      </c>
      <c r="B215" s="658" t="s">
        <v>606</v>
      </c>
      <c r="C215" s="641" t="s">
        <v>715</v>
      </c>
      <c r="D215" s="641">
        <v>4740</v>
      </c>
      <c r="E215" s="641">
        <v>6121</v>
      </c>
      <c r="F215" s="649">
        <v>49</v>
      </c>
      <c r="G215" s="642" t="s">
        <v>832</v>
      </c>
      <c r="H215" s="665">
        <v>2003</v>
      </c>
      <c r="I215" s="641">
        <v>2018</v>
      </c>
      <c r="J215" s="660">
        <v>69328</v>
      </c>
      <c r="K215" s="660"/>
      <c r="L215" s="660">
        <v>46270</v>
      </c>
      <c r="M215" s="661"/>
      <c r="N215" s="661"/>
      <c r="O215" s="660"/>
      <c r="P215" s="647" t="str">
        <f t="shared" si="28"/>
        <v> </v>
      </c>
      <c r="Q215" s="661"/>
      <c r="R215" s="661"/>
      <c r="S215" s="662">
        <v>23058</v>
      </c>
      <c r="T215" s="649" t="s">
        <v>682</v>
      </c>
      <c r="U215" s="669"/>
      <c r="V215" s="651">
        <f t="shared" si="30"/>
        <v>0</v>
      </c>
      <c r="W215" s="652">
        <f>IF(AND(P215&lt;'[1]koment'!$F$1,N215&gt;='[1]koment'!$F$2),"Komentovat","")</f>
      </c>
      <c r="X215" s="653" t="e">
        <f t="shared" si="29"/>
        <v>#REF!</v>
      </c>
      <c r="Y215" s="651" t="str">
        <f t="shared" si="31"/>
        <v> </v>
      </c>
      <c r="Z215" s="654">
        <f t="shared" si="32"/>
        <v>0</v>
      </c>
      <c r="AA215" s="655" t="str">
        <f t="shared" si="33"/>
        <v>560023214740612149</v>
      </c>
      <c r="AB215" s="638"/>
      <c r="AC215" s="638"/>
      <c r="AD215" s="638"/>
      <c r="AE215" s="638"/>
      <c r="AF215" s="638"/>
    </row>
    <row r="216" spans="1:32" ht="12.75" outlineLevel="1">
      <c r="A216" s="639">
        <f t="shared" si="27"/>
        <v>214</v>
      </c>
      <c r="B216" s="658"/>
      <c r="C216" s="666" t="s">
        <v>833</v>
      </c>
      <c r="D216" s="641"/>
      <c r="E216" s="641"/>
      <c r="F216" s="649"/>
      <c r="G216" s="642"/>
      <c r="H216" s="665"/>
      <c r="I216" s="641"/>
      <c r="J216" s="660">
        <f aca="true" t="shared" si="34" ref="J216:O216">SUBTOTAL(9,J98:J215)</f>
        <v>7557055</v>
      </c>
      <c r="K216" s="660">
        <f t="shared" si="34"/>
        <v>920789</v>
      </c>
      <c r="L216" s="660">
        <f t="shared" si="34"/>
        <v>2761062</v>
      </c>
      <c r="M216" s="661">
        <f t="shared" si="34"/>
        <v>697250</v>
      </c>
      <c r="N216" s="661">
        <f t="shared" si="34"/>
        <v>805057</v>
      </c>
      <c r="O216" s="660">
        <f t="shared" si="34"/>
        <v>661187</v>
      </c>
      <c r="P216" s="647">
        <f t="shared" si="28"/>
        <v>0.8212921569528617</v>
      </c>
      <c r="Q216" s="661">
        <f>SUBTOTAL(9,Q98:Q215)</f>
        <v>727420</v>
      </c>
      <c r="R216" s="661">
        <f>SUBTOTAL(9,R98:R215)</f>
        <v>566270</v>
      </c>
      <c r="S216" s="662">
        <f>SUBTOTAL(9,S98:S215)</f>
        <v>2308487</v>
      </c>
      <c r="T216" s="649"/>
      <c r="U216" s="669"/>
      <c r="V216" s="651"/>
      <c r="W216" s="652"/>
      <c r="X216" s="653"/>
      <c r="Y216" s="651" t="str">
        <f>IF($V216=0," ",IF(LEN($B216)=4,$B216*1,$B216))</f>
        <v> </v>
      </c>
      <c r="Z216" s="654">
        <f>IF($Y216=" ",0,"ORG "&amp;$D216&amp;" - "&amp;$G216)</f>
        <v>0</v>
      </c>
      <c r="AA216" s="655" t="str">
        <f>$B216&amp;LEFT($C216,4)&amp;$D216&amp;$E216&amp;$F216</f>
        <v>Celk</v>
      </c>
      <c r="AB216" s="638"/>
      <c r="AC216" s="638"/>
      <c r="AD216" s="638"/>
      <c r="AE216" s="638"/>
      <c r="AF216" s="638"/>
    </row>
    <row r="217" spans="1:32" ht="12.75" outlineLevel="2">
      <c r="A217" s="639">
        <f t="shared" si="27"/>
        <v>215</v>
      </c>
      <c r="B217" s="663">
        <v>5600</v>
      </c>
      <c r="C217" s="641" t="s">
        <v>834</v>
      </c>
      <c r="D217" s="641">
        <v>2944</v>
      </c>
      <c r="E217" s="641">
        <v>6121</v>
      </c>
      <c r="F217" s="649"/>
      <c r="G217" s="642" t="s">
        <v>835</v>
      </c>
      <c r="H217" s="663"/>
      <c r="I217" s="663"/>
      <c r="J217" s="660"/>
      <c r="K217" s="660"/>
      <c r="L217" s="660">
        <f>2303+43</f>
        <v>2346</v>
      </c>
      <c r="M217" s="661"/>
      <c r="N217" s="661"/>
      <c r="O217" s="660"/>
      <c r="P217" s="647" t="str">
        <f t="shared" si="28"/>
        <v> </v>
      </c>
      <c r="Q217" s="661"/>
      <c r="R217" s="661"/>
      <c r="S217" s="662"/>
      <c r="T217" s="649" t="s">
        <v>609</v>
      </c>
      <c r="U217" s="669"/>
      <c r="V217" s="651">
        <f t="shared" si="30"/>
        <v>-2346</v>
      </c>
      <c r="W217" s="652">
        <f>IF(AND(P217&lt;'[1]koment'!$F$1,N217&gt;='[1]koment'!$F$2),"Komentovat","")</f>
      </c>
      <c r="X217" s="653" t="e">
        <f>IF(W217="Komentovat",X215+1,X215)</f>
        <v>#REF!</v>
      </c>
      <c r="Y217" s="651">
        <f t="shared" si="31"/>
        <v>5600</v>
      </c>
      <c r="Z217" s="654" t="str">
        <f t="shared" si="32"/>
        <v>ORG 2944 - Majetkoprávní vypoř. a přípr. vodohosp. staveb</v>
      </c>
      <c r="AA217" s="655" t="str">
        <f t="shared" si="33"/>
        <v>5600232929446121</v>
      </c>
      <c r="AB217" s="638"/>
      <c r="AC217" s="638"/>
      <c r="AD217" s="638"/>
      <c r="AE217" s="638"/>
      <c r="AF217" s="638"/>
    </row>
    <row r="218" spans="1:32" ht="12.75" outlineLevel="2">
      <c r="A218" s="639">
        <f t="shared" si="27"/>
        <v>216</v>
      </c>
      <c r="B218" s="658" t="s">
        <v>606</v>
      </c>
      <c r="C218" s="641" t="s">
        <v>834</v>
      </c>
      <c r="D218" s="641">
        <v>3188</v>
      </c>
      <c r="E218" s="641">
        <v>6121</v>
      </c>
      <c r="F218" s="649"/>
      <c r="G218" s="642" t="s">
        <v>836</v>
      </c>
      <c r="H218" s="641"/>
      <c r="I218" s="641"/>
      <c r="J218" s="660"/>
      <c r="K218" s="660"/>
      <c r="L218" s="660">
        <f>150+68+61+48</f>
        <v>327</v>
      </c>
      <c r="M218" s="661">
        <v>100</v>
      </c>
      <c r="N218" s="661">
        <v>100</v>
      </c>
      <c r="O218" s="660">
        <v>52</v>
      </c>
      <c r="P218" s="647">
        <f t="shared" si="28"/>
        <v>0.52</v>
      </c>
      <c r="Q218" s="661"/>
      <c r="R218" s="661"/>
      <c r="S218" s="662"/>
      <c r="T218" s="649" t="s">
        <v>609</v>
      </c>
      <c r="U218" s="669"/>
      <c r="V218" s="651">
        <f t="shared" si="30"/>
        <v>-427</v>
      </c>
      <c r="W218" s="652">
        <f>IF(AND(P218&lt;'[1]koment'!$F$1,N218&gt;='[1]koment'!$F$2),"Komentovat","")</f>
      </c>
      <c r="X218" s="653" t="e">
        <f t="shared" si="29"/>
        <v>#REF!</v>
      </c>
      <c r="Y218" s="651">
        <f t="shared" si="31"/>
        <v>5600</v>
      </c>
      <c r="Z218" s="654" t="str">
        <f t="shared" si="32"/>
        <v>ORG 3188 - Nákup inženýrských sítí do majetku MB</v>
      </c>
      <c r="AA218" s="655" t="str">
        <f t="shared" si="33"/>
        <v>5600232931886121</v>
      </c>
      <c r="AB218" s="638"/>
      <c r="AC218" s="638"/>
      <c r="AD218" s="638"/>
      <c r="AE218" s="638"/>
      <c r="AF218" s="638"/>
    </row>
    <row r="219" spans="1:32" ht="12.75" outlineLevel="2">
      <c r="A219" s="639">
        <f t="shared" si="27"/>
        <v>217</v>
      </c>
      <c r="B219" s="658" t="s">
        <v>606</v>
      </c>
      <c r="C219" s="641" t="s">
        <v>834</v>
      </c>
      <c r="D219" s="641">
        <v>3340</v>
      </c>
      <c r="E219" s="641">
        <v>6121</v>
      </c>
      <c r="F219" s="649"/>
      <c r="G219" s="642" t="s">
        <v>837</v>
      </c>
      <c r="H219" s="641"/>
      <c r="I219" s="641"/>
      <c r="J219" s="660"/>
      <c r="K219" s="660"/>
      <c r="L219" s="660">
        <f>38873+14845+1685+2536</f>
        <v>57939</v>
      </c>
      <c r="M219" s="661">
        <v>2000</v>
      </c>
      <c r="N219" s="661">
        <v>2000</v>
      </c>
      <c r="O219" s="660">
        <v>2160</v>
      </c>
      <c r="P219" s="647">
        <f t="shared" si="28"/>
        <v>1.08</v>
      </c>
      <c r="Q219" s="661"/>
      <c r="R219" s="661"/>
      <c r="S219" s="662"/>
      <c r="T219" s="649" t="s">
        <v>609</v>
      </c>
      <c r="U219" s="669"/>
      <c r="V219" s="651">
        <f t="shared" si="30"/>
        <v>-59939</v>
      </c>
      <c r="W219" s="652">
        <f>IF(AND(P219&lt;'[1]koment'!$F$1,N219&gt;='[1]koment'!$F$2),"Komentovat","")</f>
      </c>
      <c r="X219" s="653" t="e">
        <f t="shared" si="29"/>
        <v>#REF!</v>
      </c>
      <c r="Y219" s="651">
        <f t="shared" si="31"/>
        <v>5600</v>
      </c>
      <c r="Z219" s="654" t="str">
        <f t="shared" si="32"/>
        <v>ORG 3340 - Nezdrojová DPH</v>
      </c>
      <c r="AA219" s="655" t="str">
        <f t="shared" si="33"/>
        <v>5600232933406121</v>
      </c>
      <c r="AB219" s="638"/>
      <c r="AC219" s="638"/>
      <c r="AD219" s="638"/>
      <c r="AE219" s="638"/>
      <c r="AF219" s="638"/>
    </row>
    <row r="220" spans="1:32" ht="12.75" outlineLevel="2">
      <c r="A220" s="639">
        <f t="shared" si="27"/>
        <v>218</v>
      </c>
      <c r="B220" s="658" t="s">
        <v>606</v>
      </c>
      <c r="C220" s="641" t="s">
        <v>834</v>
      </c>
      <c r="D220" s="641">
        <v>4056</v>
      </c>
      <c r="E220" s="641">
        <v>6121</v>
      </c>
      <c r="F220" s="649">
        <v>49</v>
      </c>
      <c r="G220" s="642" t="s">
        <v>838</v>
      </c>
      <c r="H220" s="641"/>
      <c r="I220" s="641"/>
      <c r="J220" s="660"/>
      <c r="K220" s="660"/>
      <c r="L220" s="660">
        <f>23926+1189+85+109</f>
        <v>25309</v>
      </c>
      <c r="M220" s="661">
        <v>2000</v>
      </c>
      <c r="N220" s="661">
        <v>2000</v>
      </c>
      <c r="O220" s="660">
        <v>1156</v>
      </c>
      <c r="P220" s="647">
        <f t="shared" si="28"/>
        <v>0.578</v>
      </c>
      <c r="Q220" s="661">
        <v>2000</v>
      </c>
      <c r="R220" s="661">
        <v>2000</v>
      </c>
      <c r="S220" s="662">
        <v>2000</v>
      </c>
      <c r="T220" s="649" t="s">
        <v>682</v>
      </c>
      <c r="U220" s="669"/>
      <c r="V220" s="651">
        <f t="shared" si="30"/>
        <v>-33309</v>
      </c>
      <c r="W220" s="652">
        <f>IF(AND(P220&lt;'[1]koment'!$F$1,N220&gt;='[1]koment'!$F$2),"Komentovat","")</f>
      </c>
      <c r="X220" s="653" t="e">
        <f t="shared" si="29"/>
        <v>#REF!</v>
      </c>
      <c r="Y220" s="651">
        <f t="shared" si="31"/>
        <v>5600</v>
      </c>
      <c r="Z220" s="654" t="str">
        <f t="shared" si="32"/>
        <v>ORG 4056 - Příprava staveb, geom. plány a výkupy pozemků</v>
      </c>
      <c r="AA220" s="655" t="str">
        <f t="shared" si="33"/>
        <v>560023294056612149</v>
      </c>
      <c r="AB220" s="638"/>
      <c r="AC220" s="638"/>
      <c r="AD220" s="638"/>
      <c r="AE220" s="638"/>
      <c r="AF220" s="638"/>
    </row>
    <row r="221" spans="1:32" ht="12.75" outlineLevel="1">
      <c r="A221" s="639">
        <f t="shared" si="27"/>
        <v>219</v>
      </c>
      <c r="B221" s="658"/>
      <c r="C221" s="666" t="s">
        <v>839</v>
      </c>
      <c r="D221" s="641"/>
      <c r="E221" s="641"/>
      <c r="F221" s="649"/>
      <c r="G221" s="642"/>
      <c r="H221" s="641"/>
      <c r="I221" s="641"/>
      <c r="J221" s="660">
        <f aca="true" t="shared" si="35" ref="J221:O221">SUBTOTAL(9,J217:J220)</f>
        <v>0</v>
      </c>
      <c r="K221" s="660">
        <f t="shared" si="35"/>
        <v>0</v>
      </c>
      <c r="L221" s="660">
        <f t="shared" si="35"/>
        <v>85921</v>
      </c>
      <c r="M221" s="661">
        <f t="shared" si="35"/>
        <v>4100</v>
      </c>
      <c r="N221" s="661">
        <f t="shared" si="35"/>
        <v>4100</v>
      </c>
      <c r="O221" s="660">
        <f t="shared" si="35"/>
        <v>3368</v>
      </c>
      <c r="P221" s="647">
        <f t="shared" si="28"/>
        <v>0.8214634146341463</v>
      </c>
      <c r="Q221" s="661">
        <f>SUBTOTAL(9,Q217:Q220)</f>
        <v>2000</v>
      </c>
      <c r="R221" s="661">
        <f>SUBTOTAL(9,R217:R220)</f>
        <v>2000</v>
      </c>
      <c r="S221" s="662">
        <f>SUBTOTAL(9,S217:S220)</f>
        <v>2000</v>
      </c>
      <c r="T221" s="649"/>
      <c r="U221" s="669"/>
      <c r="V221" s="651"/>
      <c r="W221" s="652"/>
      <c r="X221" s="653"/>
      <c r="Y221" s="651" t="str">
        <f>IF($V221=0," ",IF(LEN($B221)=4,$B221*1,$B221))</f>
        <v> </v>
      </c>
      <c r="Z221" s="654">
        <f>IF($Y221=" ",0,"ORG "&amp;$D221&amp;" - "&amp;$G221)</f>
        <v>0</v>
      </c>
      <c r="AA221" s="655" t="str">
        <f>$B221&amp;LEFT($C221,4)&amp;$D221&amp;$E221&amp;$F221</f>
        <v>Celk</v>
      </c>
      <c r="AB221" s="638"/>
      <c r="AC221" s="638"/>
      <c r="AD221" s="638"/>
      <c r="AE221" s="638"/>
      <c r="AF221" s="638"/>
    </row>
    <row r="222" spans="1:32" ht="12.75" outlineLevel="2">
      <c r="A222" s="639">
        <f t="shared" si="27"/>
        <v>220</v>
      </c>
      <c r="B222" s="658" t="s">
        <v>840</v>
      </c>
      <c r="C222" s="641" t="s">
        <v>841</v>
      </c>
      <c r="D222" s="641">
        <v>2954</v>
      </c>
      <c r="E222" s="641">
        <v>6319</v>
      </c>
      <c r="F222" s="649"/>
      <c r="G222" s="642" t="s">
        <v>842</v>
      </c>
      <c r="H222" s="641"/>
      <c r="I222" s="641"/>
      <c r="J222" s="660"/>
      <c r="K222" s="660"/>
      <c r="L222" s="660">
        <f>1072+727</f>
        <v>1799</v>
      </c>
      <c r="M222" s="661"/>
      <c r="N222" s="661"/>
      <c r="O222" s="660"/>
      <c r="P222" s="647" t="str">
        <f t="shared" si="28"/>
        <v> </v>
      </c>
      <c r="Q222" s="661"/>
      <c r="R222" s="661"/>
      <c r="S222" s="662"/>
      <c r="T222" s="649" t="s">
        <v>843</v>
      </c>
      <c r="U222" s="669"/>
      <c r="V222" s="651">
        <f t="shared" si="30"/>
        <v>-1799</v>
      </c>
      <c r="W222" s="652">
        <f>IF(AND(P222&lt;'[1]koment'!$F$1,N222&gt;='[1]koment'!$F$2),"Komentovat","")</f>
      </c>
      <c r="X222" s="653" t="e">
        <f>IF(W222="Komentovat",X220+1,X220)</f>
        <v>#REF!</v>
      </c>
      <c r="Y222" s="651">
        <f t="shared" si="31"/>
        <v>4300</v>
      </c>
      <c r="Z222" s="654" t="str">
        <f t="shared" si="32"/>
        <v>ORG 2954 - Brněnská údolní nádrž - Povodí Moravy</v>
      </c>
      <c r="AA222" s="655" t="str">
        <f t="shared" si="33"/>
        <v>4300233129546319</v>
      </c>
      <c r="AB222" s="638"/>
      <c r="AC222" s="638"/>
      <c r="AD222" s="638"/>
      <c r="AE222" s="638"/>
      <c r="AF222" s="638"/>
    </row>
    <row r="223" spans="1:32" ht="12.75" outlineLevel="1">
      <c r="A223" s="639">
        <f t="shared" si="27"/>
        <v>221</v>
      </c>
      <c r="B223" s="658"/>
      <c r="C223" s="666" t="s">
        <v>844</v>
      </c>
      <c r="D223" s="641"/>
      <c r="E223" s="641"/>
      <c r="F223" s="649"/>
      <c r="G223" s="642"/>
      <c r="H223" s="641"/>
      <c r="I223" s="641"/>
      <c r="J223" s="660">
        <f aca="true" t="shared" si="36" ref="J223:O223">SUBTOTAL(9,J222:J222)</f>
        <v>0</v>
      </c>
      <c r="K223" s="660">
        <f t="shared" si="36"/>
        <v>0</v>
      </c>
      <c r="L223" s="660">
        <f t="shared" si="36"/>
        <v>1799</v>
      </c>
      <c r="M223" s="661">
        <f t="shared" si="36"/>
        <v>0</v>
      </c>
      <c r="N223" s="661">
        <f t="shared" si="36"/>
        <v>0</v>
      </c>
      <c r="O223" s="660">
        <f t="shared" si="36"/>
        <v>0</v>
      </c>
      <c r="P223" s="647" t="str">
        <f t="shared" si="28"/>
        <v> </v>
      </c>
      <c r="Q223" s="661">
        <f>SUBTOTAL(9,Q222:Q222)</f>
        <v>0</v>
      </c>
      <c r="R223" s="661">
        <f>SUBTOTAL(9,R222:R222)</f>
        <v>0</v>
      </c>
      <c r="S223" s="662">
        <f>SUBTOTAL(9,S222:S222)</f>
        <v>0</v>
      </c>
      <c r="T223" s="649"/>
      <c r="U223" s="669"/>
      <c r="V223" s="651"/>
      <c r="W223" s="652"/>
      <c r="X223" s="653"/>
      <c r="Y223" s="651" t="str">
        <f>IF($V223=0," ",IF(LEN($B223)=4,$B223*1,$B223))</f>
        <v> </v>
      </c>
      <c r="Z223" s="654">
        <f>IF($Y223=" ",0,"ORG "&amp;$D223&amp;" - "&amp;$G223)</f>
        <v>0</v>
      </c>
      <c r="AA223" s="655" t="str">
        <f>$B223&amp;LEFT($C223,4)&amp;$D223&amp;$E223&amp;$F223</f>
        <v>Celk</v>
      </c>
      <c r="AB223" s="638"/>
      <c r="AC223" s="638"/>
      <c r="AD223" s="638"/>
      <c r="AE223" s="638"/>
      <c r="AF223" s="638"/>
    </row>
    <row r="224" spans="1:32" ht="12.75" outlineLevel="2">
      <c r="A224" s="639">
        <f t="shared" si="27"/>
        <v>222</v>
      </c>
      <c r="B224" s="658" t="s">
        <v>606</v>
      </c>
      <c r="C224" s="641" t="s">
        <v>845</v>
      </c>
      <c r="D224" s="641">
        <v>4197</v>
      </c>
      <c r="E224" s="641">
        <v>6121</v>
      </c>
      <c r="F224" s="649"/>
      <c r="G224" s="642" t="s">
        <v>846</v>
      </c>
      <c r="H224" s="665">
        <v>1999</v>
      </c>
      <c r="I224" s="641">
        <v>2017</v>
      </c>
      <c r="J224" s="660">
        <v>85780</v>
      </c>
      <c r="K224" s="660"/>
      <c r="L224" s="660">
        <v>25386</v>
      </c>
      <c r="M224" s="661"/>
      <c r="N224" s="661">
        <v>1500</v>
      </c>
      <c r="O224" s="660">
        <v>54</v>
      </c>
      <c r="P224" s="647">
        <f t="shared" si="28"/>
        <v>0.036</v>
      </c>
      <c r="Q224" s="661"/>
      <c r="R224" s="661"/>
      <c r="S224" s="662">
        <v>60394</v>
      </c>
      <c r="T224" s="649" t="s">
        <v>609</v>
      </c>
      <c r="U224" s="669"/>
      <c r="V224" s="651">
        <f t="shared" si="30"/>
        <v>-1500</v>
      </c>
      <c r="W224" s="652">
        <f>IF(AND(P224&lt;'[1]koment'!$F$1,N224&gt;='[1]koment'!$F$2),"Komentovat","")</f>
      </c>
      <c r="X224" s="653" t="e">
        <f>IF(W224="Komentovat",X222+1,X222)</f>
        <v>#REF!</v>
      </c>
      <c r="Y224" s="651">
        <f t="shared" si="31"/>
        <v>5600</v>
      </c>
      <c r="Z224" s="654" t="str">
        <f t="shared" si="32"/>
        <v>ORG 4197 - Retenční nádrž na Medláneckém potoce</v>
      </c>
      <c r="AA224" s="655" t="str">
        <f t="shared" si="33"/>
        <v>5600233341976121</v>
      </c>
      <c r="AB224" s="638"/>
      <c r="AC224" s="638"/>
      <c r="AD224" s="638"/>
      <c r="AE224" s="638"/>
      <c r="AF224" s="638"/>
    </row>
    <row r="225" spans="1:32" ht="12.75" outlineLevel="1">
      <c r="A225" s="639">
        <f t="shared" si="27"/>
        <v>223</v>
      </c>
      <c r="B225" s="658"/>
      <c r="C225" s="666" t="s">
        <v>847</v>
      </c>
      <c r="D225" s="641"/>
      <c r="E225" s="641"/>
      <c r="F225" s="649"/>
      <c r="G225" s="642"/>
      <c r="H225" s="665"/>
      <c r="I225" s="641"/>
      <c r="J225" s="660">
        <f aca="true" t="shared" si="37" ref="J225:O225">SUBTOTAL(9,J224:J224)</f>
        <v>85780</v>
      </c>
      <c r="K225" s="660">
        <f t="shared" si="37"/>
        <v>0</v>
      </c>
      <c r="L225" s="660">
        <f t="shared" si="37"/>
        <v>25386</v>
      </c>
      <c r="M225" s="661">
        <f t="shared" si="37"/>
        <v>0</v>
      </c>
      <c r="N225" s="661">
        <f t="shared" si="37"/>
        <v>1500</v>
      </c>
      <c r="O225" s="660">
        <f t="shared" si="37"/>
        <v>54</v>
      </c>
      <c r="P225" s="647">
        <f t="shared" si="28"/>
        <v>0.036</v>
      </c>
      <c r="Q225" s="661">
        <f>SUBTOTAL(9,Q224:Q224)</f>
        <v>0</v>
      </c>
      <c r="R225" s="661">
        <f>SUBTOTAL(9,R224:R224)</f>
        <v>0</v>
      </c>
      <c r="S225" s="662">
        <f>SUBTOTAL(9,S224:S224)</f>
        <v>60394</v>
      </c>
      <c r="T225" s="649"/>
      <c r="U225" s="669"/>
      <c r="V225" s="651"/>
      <c r="W225" s="652"/>
      <c r="X225" s="653"/>
      <c r="Y225" s="651" t="str">
        <f>IF($V225=0," ",IF(LEN($B225)=4,$B225*1,$B225))</f>
        <v> </v>
      </c>
      <c r="Z225" s="654">
        <f>IF($Y225=" ",0,"ORG "&amp;$D225&amp;" - "&amp;$G225)</f>
        <v>0</v>
      </c>
      <c r="AA225" s="655" t="str">
        <f>$B225&amp;LEFT($C225,4)&amp;$D225&amp;$E225&amp;$F225</f>
        <v>Celk</v>
      </c>
      <c r="AB225" s="638"/>
      <c r="AC225" s="638"/>
      <c r="AD225" s="638"/>
      <c r="AE225" s="638"/>
      <c r="AF225" s="638"/>
    </row>
    <row r="226" spans="1:32" ht="12.75" outlineLevel="2">
      <c r="A226" s="639">
        <f t="shared" si="27"/>
        <v>224</v>
      </c>
      <c r="B226" s="658" t="s">
        <v>606</v>
      </c>
      <c r="C226" s="641" t="s">
        <v>848</v>
      </c>
      <c r="D226" s="641">
        <v>2820</v>
      </c>
      <c r="E226" s="641">
        <v>6121</v>
      </c>
      <c r="F226" s="649"/>
      <c r="G226" s="642" t="s">
        <v>849</v>
      </c>
      <c r="H226" s="665">
        <v>2014</v>
      </c>
      <c r="I226" s="641">
        <v>2033</v>
      </c>
      <c r="J226" s="660">
        <v>1000</v>
      </c>
      <c r="K226" s="660"/>
      <c r="L226" s="660"/>
      <c r="M226" s="661">
        <v>1000</v>
      </c>
      <c r="N226" s="661"/>
      <c r="O226" s="660"/>
      <c r="P226" s="647" t="str">
        <f t="shared" si="28"/>
        <v> </v>
      </c>
      <c r="Q226" s="661"/>
      <c r="R226" s="661"/>
      <c r="S226" s="662"/>
      <c r="T226" s="649" t="s">
        <v>609</v>
      </c>
      <c r="U226" s="669"/>
      <c r="V226" s="651">
        <f t="shared" si="30"/>
        <v>1000</v>
      </c>
      <c r="W226" s="652">
        <f>IF(AND(P226&lt;'[1]koment'!$F$1,N226&gt;='[1]koment'!$F$2),"Komentovat","")</f>
      </c>
      <c r="X226" s="653" t="e">
        <f>IF(W226="Komentovat",X224+1,X224)</f>
        <v>#REF!</v>
      </c>
      <c r="Y226" s="651">
        <f t="shared" si="31"/>
        <v>5600</v>
      </c>
      <c r="Z226" s="654" t="str">
        <f t="shared" si="32"/>
        <v>ORG 2820 - Rev. koryta řeky Svratky a výstavba parku podél železniční trati</v>
      </c>
      <c r="AA226" s="655" t="str">
        <f t="shared" si="33"/>
        <v>5600233428206121</v>
      </c>
      <c r="AB226" s="638"/>
      <c r="AC226" s="638"/>
      <c r="AD226" s="638"/>
      <c r="AE226" s="638"/>
      <c r="AF226" s="638"/>
    </row>
    <row r="227" spans="1:32" ht="12.75" outlineLevel="2">
      <c r="A227" s="639">
        <f t="shared" si="27"/>
        <v>225</v>
      </c>
      <c r="B227" s="658" t="s">
        <v>606</v>
      </c>
      <c r="C227" s="641" t="s">
        <v>848</v>
      </c>
      <c r="D227" s="641">
        <v>3252</v>
      </c>
      <c r="E227" s="641">
        <v>6121</v>
      </c>
      <c r="F227" s="649"/>
      <c r="G227" s="642" t="s">
        <v>850</v>
      </c>
      <c r="H227" s="665">
        <v>2006</v>
      </c>
      <c r="I227" s="665">
        <v>2015</v>
      </c>
      <c r="J227" s="660">
        <v>58900</v>
      </c>
      <c r="K227" s="660"/>
      <c r="L227" s="660">
        <v>2515</v>
      </c>
      <c r="M227" s="661"/>
      <c r="N227" s="661"/>
      <c r="O227" s="660"/>
      <c r="P227" s="647" t="str">
        <f t="shared" si="28"/>
        <v> </v>
      </c>
      <c r="Q227" s="661"/>
      <c r="R227" s="661"/>
      <c r="S227" s="662">
        <v>56385</v>
      </c>
      <c r="T227" s="649" t="s">
        <v>609</v>
      </c>
      <c r="U227" s="669"/>
      <c r="V227" s="651">
        <f t="shared" si="30"/>
        <v>0</v>
      </c>
      <c r="W227" s="652">
        <f>IF(AND(P227&lt;'[1]koment'!$F$1,N227&gt;='[1]koment'!$F$2),"Komentovat","")</f>
      </c>
      <c r="X227" s="653" t="e">
        <f t="shared" si="29"/>
        <v>#REF!</v>
      </c>
      <c r="Y227" s="651" t="str">
        <f t="shared" si="31"/>
        <v> </v>
      </c>
      <c r="Z227" s="654">
        <f t="shared" si="32"/>
        <v>0</v>
      </c>
      <c r="AA227" s="655" t="str">
        <f t="shared" si="33"/>
        <v>5600233432526121</v>
      </c>
      <c r="AB227" s="638"/>
      <c r="AC227" s="638"/>
      <c r="AD227" s="638"/>
      <c r="AE227" s="638"/>
      <c r="AF227" s="638"/>
    </row>
    <row r="228" spans="1:32" ht="12.75" outlineLevel="1">
      <c r="A228" s="639">
        <f t="shared" si="27"/>
        <v>226</v>
      </c>
      <c r="B228" s="658"/>
      <c r="C228" s="666" t="s">
        <v>851</v>
      </c>
      <c r="D228" s="641"/>
      <c r="E228" s="641"/>
      <c r="F228" s="649"/>
      <c r="G228" s="642"/>
      <c r="H228" s="665"/>
      <c r="I228" s="665"/>
      <c r="J228" s="660">
        <f aca="true" t="shared" si="38" ref="J228:O228">SUBTOTAL(9,J226:J227)</f>
        <v>59900</v>
      </c>
      <c r="K228" s="660">
        <f t="shared" si="38"/>
        <v>0</v>
      </c>
      <c r="L228" s="660">
        <f t="shared" si="38"/>
        <v>2515</v>
      </c>
      <c r="M228" s="661">
        <f t="shared" si="38"/>
        <v>1000</v>
      </c>
      <c r="N228" s="661">
        <f t="shared" si="38"/>
        <v>0</v>
      </c>
      <c r="O228" s="660">
        <f t="shared" si="38"/>
        <v>0</v>
      </c>
      <c r="P228" s="647" t="str">
        <f t="shared" si="28"/>
        <v> </v>
      </c>
      <c r="Q228" s="661">
        <f>SUBTOTAL(9,Q226:Q227)</f>
        <v>0</v>
      </c>
      <c r="R228" s="661">
        <f>SUBTOTAL(9,R226:R227)</f>
        <v>0</v>
      </c>
      <c r="S228" s="662">
        <f>SUBTOTAL(9,S226:S227)</f>
        <v>56385</v>
      </c>
      <c r="T228" s="649"/>
      <c r="U228" s="669"/>
      <c r="V228" s="651"/>
      <c r="W228" s="652"/>
      <c r="X228" s="653"/>
      <c r="Y228" s="651" t="str">
        <f>IF($V228=0," ",IF(LEN($B228)=4,$B228*1,$B228))</f>
        <v> </v>
      </c>
      <c r="Z228" s="654">
        <f>IF($Y228=" ",0,"ORG "&amp;$D228&amp;" - "&amp;$G228)</f>
        <v>0</v>
      </c>
      <c r="AA228" s="655" t="str">
        <f>$B228&amp;LEFT($C228,4)&amp;$D228&amp;$E228&amp;$F228</f>
        <v>Celk</v>
      </c>
      <c r="AB228" s="638"/>
      <c r="AC228" s="638"/>
      <c r="AD228" s="638"/>
      <c r="AE228" s="638"/>
      <c r="AF228" s="638"/>
    </row>
    <row r="229" spans="1:32" ht="12.75" outlineLevel="2">
      <c r="A229" s="639">
        <f t="shared" si="27"/>
        <v>227</v>
      </c>
      <c r="B229" s="658" t="s">
        <v>606</v>
      </c>
      <c r="C229" s="641" t="s">
        <v>852</v>
      </c>
      <c r="D229" s="641">
        <v>2900</v>
      </c>
      <c r="E229" s="641">
        <v>6121</v>
      </c>
      <c r="F229" s="649">
        <v>41</v>
      </c>
      <c r="G229" s="642" t="s">
        <v>853</v>
      </c>
      <c r="H229" s="641">
        <v>2013</v>
      </c>
      <c r="I229" s="641">
        <v>2016</v>
      </c>
      <c r="J229" s="660">
        <v>15000</v>
      </c>
      <c r="K229" s="660"/>
      <c r="L229" s="660">
        <f>998</f>
        <v>998</v>
      </c>
      <c r="M229" s="661">
        <v>7700</v>
      </c>
      <c r="N229" s="661">
        <v>1</v>
      </c>
      <c r="O229" s="660">
        <v>1</v>
      </c>
      <c r="P229" s="647">
        <f t="shared" si="28"/>
        <v>1</v>
      </c>
      <c r="Q229" s="661">
        <v>13000</v>
      </c>
      <c r="R229" s="661"/>
      <c r="S229" s="662"/>
      <c r="T229" s="649" t="s">
        <v>609</v>
      </c>
      <c r="U229" s="669"/>
      <c r="V229" s="651">
        <f t="shared" si="30"/>
        <v>1001</v>
      </c>
      <c r="W229" s="652">
        <f>IF(AND(P229&lt;'[1]koment'!$F$1,N229&gt;='[1]koment'!$F$2),"Komentovat","")</f>
      </c>
      <c r="X229" s="653" t="e">
        <f>IF(W229="Komentovat",X227+1,X227)</f>
        <v>#REF!</v>
      </c>
      <c r="Y229" s="651">
        <f t="shared" si="31"/>
        <v>5600</v>
      </c>
      <c r="Z229" s="654" t="str">
        <f t="shared" si="32"/>
        <v>ORG 2900 - Sanace odvodňovacích vrtů Brno-Bystrc, 2.etapa</v>
      </c>
      <c r="AA229" s="655" t="str">
        <f t="shared" si="33"/>
        <v>560023392900612141</v>
      </c>
      <c r="AB229" s="638"/>
      <c r="AC229" s="638"/>
      <c r="AD229" s="638"/>
      <c r="AE229" s="638"/>
      <c r="AF229" s="638"/>
    </row>
    <row r="230" spans="1:32" ht="12.75" outlineLevel="1">
      <c r="A230" s="639">
        <f t="shared" si="27"/>
        <v>228</v>
      </c>
      <c r="B230" s="658"/>
      <c r="C230" s="666" t="s">
        <v>854</v>
      </c>
      <c r="D230" s="641"/>
      <c r="E230" s="641"/>
      <c r="F230" s="649"/>
      <c r="G230" s="642"/>
      <c r="H230" s="641"/>
      <c r="I230" s="641"/>
      <c r="J230" s="660">
        <f aca="true" t="shared" si="39" ref="J230:O230">SUBTOTAL(9,J229:J229)</f>
        <v>15000</v>
      </c>
      <c r="K230" s="660">
        <f t="shared" si="39"/>
        <v>0</v>
      </c>
      <c r="L230" s="660">
        <f t="shared" si="39"/>
        <v>998</v>
      </c>
      <c r="M230" s="661">
        <f t="shared" si="39"/>
        <v>7700</v>
      </c>
      <c r="N230" s="661">
        <f t="shared" si="39"/>
        <v>1</v>
      </c>
      <c r="O230" s="660">
        <f t="shared" si="39"/>
        <v>1</v>
      </c>
      <c r="P230" s="647">
        <f t="shared" si="28"/>
        <v>1</v>
      </c>
      <c r="Q230" s="661">
        <f>SUBTOTAL(9,Q229:Q229)</f>
        <v>13000</v>
      </c>
      <c r="R230" s="661">
        <f>SUBTOTAL(9,R229:R229)</f>
        <v>0</v>
      </c>
      <c r="S230" s="662">
        <f>SUBTOTAL(9,S229:S229)</f>
        <v>0</v>
      </c>
      <c r="T230" s="649"/>
      <c r="U230" s="669"/>
      <c r="V230" s="651"/>
      <c r="W230" s="652"/>
      <c r="X230" s="653"/>
      <c r="Y230" s="651" t="str">
        <f>IF($V230=0," ",IF(LEN($B230)=4,$B230*1,$B230))</f>
        <v> </v>
      </c>
      <c r="Z230" s="654">
        <f>IF($Y230=" ",0,"ORG "&amp;$D230&amp;" - "&amp;$G230)</f>
        <v>0</v>
      </c>
      <c r="AA230" s="655" t="str">
        <f>$B230&amp;LEFT($C230,4)&amp;$D230&amp;$E230&amp;$F230</f>
        <v>Celk</v>
      </c>
      <c r="AB230" s="638"/>
      <c r="AC230" s="638"/>
      <c r="AD230" s="638"/>
      <c r="AE230" s="638"/>
      <c r="AF230" s="638"/>
    </row>
    <row r="231" spans="1:32" ht="12.75" outlineLevel="2">
      <c r="A231" s="639">
        <f t="shared" si="27"/>
        <v>229</v>
      </c>
      <c r="B231" s="658" t="s">
        <v>606</v>
      </c>
      <c r="C231" s="641" t="s">
        <v>855</v>
      </c>
      <c r="D231" s="641">
        <v>5135</v>
      </c>
      <c r="E231" s="641">
        <v>6121</v>
      </c>
      <c r="F231" s="659" t="s">
        <v>665</v>
      </c>
      <c r="G231" s="642" t="s">
        <v>856</v>
      </c>
      <c r="H231" s="665">
        <v>2010</v>
      </c>
      <c r="I231" s="641">
        <v>2014</v>
      </c>
      <c r="J231" s="660">
        <v>9850</v>
      </c>
      <c r="K231" s="660">
        <v>9020</v>
      </c>
      <c r="L231" s="660">
        <f>17+114</f>
        <v>131</v>
      </c>
      <c r="M231" s="661">
        <v>1000</v>
      </c>
      <c r="N231" s="661"/>
      <c r="O231" s="660"/>
      <c r="P231" s="647" t="str">
        <f t="shared" si="28"/>
        <v> </v>
      </c>
      <c r="Q231" s="661"/>
      <c r="R231" s="661"/>
      <c r="S231" s="662"/>
      <c r="T231" s="649" t="s">
        <v>609</v>
      </c>
      <c r="U231" s="669"/>
      <c r="V231" s="651">
        <f t="shared" si="30"/>
        <v>9719</v>
      </c>
      <c r="W231" s="652">
        <f>IF(AND(P231&lt;'[1]koment'!$F$1,N231&gt;='[1]koment'!$F$2),"Komentovat","")</f>
      </c>
      <c r="X231" s="653" t="e">
        <f>IF(W231="Komentovat",X229+1,X229)</f>
        <v>#REF!</v>
      </c>
      <c r="Y231" s="651">
        <f t="shared" si="31"/>
        <v>5600</v>
      </c>
      <c r="Z231" s="654" t="str">
        <f t="shared" si="32"/>
        <v>ORG 5135 - Zelená mateřská škola Oblá</v>
      </c>
      <c r="AA231" s="655" t="str">
        <f t="shared" si="33"/>
        <v>5600311151356121EU</v>
      </c>
      <c r="AB231" s="638"/>
      <c r="AC231" s="638"/>
      <c r="AD231" s="638"/>
      <c r="AE231" s="638"/>
      <c r="AF231" s="638"/>
    </row>
    <row r="232" spans="1:32" ht="12.75" outlineLevel="2">
      <c r="A232" s="639">
        <f t="shared" si="27"/>
        <v>230</v>
      </c>
      <c r="B232" s="658" t="s">
        <v>606</v>
      </c>
      <c r="C232" s="641" t="s">
        <v>855</v>
      </c>
      <c r="D232" s="641">
        <v>5153</v>
      </c>
      <c r="E232" s="641">
        <v>6121</v>
      </c>
      <c r="F232" s="659" t="s">
        <v>665</v>
      </c>
      <c r="G232" s="642" t="s">
        <v>857</v>
      </c>
      <c r="H232" s="641">
        <v>2012</v>
      </c>
      <c r="I232" s="641">
        <v>2014</v>
      </c>
      <c r="J232" s="660">
        <v>7500</v>
      </c>
      <c r="K232" s="660">
        <v>2307</v>
      </c>
      <c r="L232" s="660">
        <f>124</f>
        <v>124</v>
      </c>
      <c r="M232" s="661">
        <v>3000</v>
      </c>
      <c r="N232" s="661">
        <v>5600</v>
      </c>
      <c r="O232" s="660">
        <v>4785</v>
      </c>
      <c r="P232" s="647">
        <f t="shared" si="28"/>
        <v>0.8544642857142857</v>
      </c>
      <c r="Q232" s="661"/>
      <c r="R232" s="661"/>
      <c r="S232" s="662"/>
      <c r="T232" s="649" t="s">
        <v>609</v>
      </c>
      <c r="U232" s="669"/>
      <c r="V232" s="651">
        <f t="shared" si="30"/>
        <v>1776</v>
      </c>
      <c r="W232" s="652">
        <f>IF(AND(P232&lt;'[1]koment'!$F$1,N232&gt;='[1]koment'!$F$2),"Komentovat","")</f>
      </c>
      <c r="X232" s="653" t="e">
        <f t="shared" si="29"/>
        <v>#REF!</v>
      </c>
      <c r="Y232" s="651">
        <f t="shared" si="31"/>
        <v>5600</v>
      </c>
      <c r="Z232" s="654" t="str">
        <f t="shared" si="32"/>
        <v>ORG 5153 - Zateplení MŠ Měřičkova</v>
      </c>
      <c r="AA232" s="655" t="str">
        <f t="shared" si="33"/>
        <v>5600311151536121EU</v>
      </c>
      <c r="AB232" s="638"/>
      <c r="AC232" s="638"/>
      <c r="AD232" s="638"/>
      <c r="AE232" s="638"/>
      <c r="AF232" s="638"/>
    </row>
    <row r="233" spans="1:32" ht="12.75" outlineLevel="2">
      <c r="A233" s="639">
        <f t="shared" si="27"/>
        <v>231</v>
      </c>
      <c r="B233" s="658" t="s">
        <v>606</v>
      </c>
      <c r="C233" s="641" t="s">
        <v>855</v>
      </c>
      <c r="D233" s="641">
        <v>5154</v>
      </c>
      <c r="E233" s="641">
        <v>6121</v>
      </c>
      <c r="F233" s="659" t="s">
        <v>665</v>
      </c>
      <c r="G233" s="642" t="s">
        <v>858</v>
      </c>
      <c r="H233" s="641">
        <v>2012</v>
      </c>
      <c r="I233" s="641">
        <v>2014</v>
      </c>
      <c r="J233" s="660">
        <v>7300</v>
      </c>
      <c r="K233" s="660">
        <v>2274</v>
      </c>
      <c r="L233" s="660">
        <f>116</f>
        <v>116</v>
      </c>
      <c r="M233" s="661">
        <v>3000</v>
      </c>
      <c r="N233" s="661">
        <v>5100</v>
      </c>
      <c r="O233" s="660">
        <v>4380</v>
      </c>
      <c r="P233" s="647">
        <f t="shared" si="28"/>
        <v>0.8588235294117647</v>
      </c>
      <c r="Q233" s="661"/>
      <c r="R233" s="661"/>
      <c r="S233" s="662"/>
      <c r="T233" s="649" t="s">
        <v>609</v>
      </c>
      <c r="U233" s="669"/>
      <c r="V233" s="651">
        <f t="shared" si="30"/>
        <v>2084</v>
      </c>
      <c r="W233" s="652">
        <f>IF(AND(P233&lt;'[1]koment'!$F$1,N233&gt;='[1]koment'!$F$2),"Komentovat","")</f>
      </c>
      <c r="X233" s="653" t="e">
        <f t="shared" si="29"/>
        <v>#REF!</v>
      </c>
      <c r="Y233" s="651">
        <f t="shared" si="31"/>
        <v>5600</v>
      </c>
      <c r="Z233" s="654" t="str">
        <f t="shared" si="32"/>
        <v>ORG 5154 - Zateplení MŠ Hněvkovského</v>
      </c>
      <c r="AA233" s="655" t="str">
        <f t="shared" si="33"/>
        <v>5600311151546121EU</v>
      </c>
      <c r="AB233" s="638"/>
      <c r="AC233" s="638"/>
      <c r="AD233" s="638"/>
      <c r="AE233" s="638"/>
      <c r="AF233" s="638"/>
    </row>
    <row r="234" spans="1:32" ht="12.75" outlineLevel="2">
      <c r="A234" s="639">
        <f t="shared" si="27"/>
        <v>232</v>
      </c>
      <c r="B234" s="658" t="s">
        <v>606</v>
      </c>
      <c r="C234" s="641" t="s">
        <v>855</v>
      </c>
      <c r="D234" s="641">
        <v>5155</v>
      </c>
      <c r="E234" s="641">
        <v>6121</v>
      </c>
      <c r="F234" s="659" t="s">
        <v>665</v>
      </c>
      <c r="G234" s="642" t="s">
        <v>859</v>
      </c>
      <c r="H234" s="641">
        <v>2012</v>
      </c>
      <c r="I234" s="641">
        <v>2014</v>
      </c>
      <c r="J234" s="660">
        <v>7800</v>
      </c>
      <c r="K234" s="660">
        <v>1632</v>
      </c>
      <c r="L234" s="660">
        <f>124</f>
        <v>124</v>
      </c>
      <c r="M234" s="661">
        <v>3000</v>
      </c>
      <c r="N234" s="661">
        <v>5900</v>
      </c>
      <c r="O234" s="660">
        <v>4771</v>
      </c>
      <c r="P234" s="647">
        <f t="shared" si="28"/>
        <v>0.8086440677966101</v>
      </c>
      <c r="Q234" s="661"/>
      <c r="R234" s="661"/>
      <c r="S234" s="662"/>
      <c r="T234" s="649" t="s">
        <v>609</v>
      </c>
      <c r="U234" s="669"/>
      <c r="V234" s="651">
        <f t="shared" si="30"/>
        <v>1776</v>
      </c>
      <c r="W234" s="652">
        <f>IF(AND(P234&lt;'[1]koment'!$F$1,N234&gt;='[1]koment'!$F$2),"Komentovat","")</f>
      </c>
      <c r="X234" s="653" t="e">
        <f t="shared" si="29"/>
        <v>#REF!</v>
      </c>
      <c r="Y234" s="651">
        <f t="shared" si="31"/>
        <v>5600</v>
      </c>
      <c r="Z234" s="654" t="str">
        <f t="shared" si="32"/>
        <v>ORG 5155 - Zateplení MŠ Škrétova</v>
      </c>
      <c r="AA234" s="655" t="str">
        <f t="shared" si="33"/>
        <v>5600311151556121EU</v>
      </c>
      <c r="AB234" s="638"/>
      <c r="AC234" s="638"/>
      <c r="AD234" s="638"/>
      <c r="AE234" s="638"/>
      <c r="AF234" s="638"/>
    </row>
    <row r="235" spans="1:32" ht="12.75" outlineLevel="2">
      <c r="A235" s="639">
        <f t="shared" si="27"/>
        <v>233</v>
      </c>
      <c r="B235" s="658" t="s">
        <v>606</v>
      </c>
      <c r="C235" s="641" t="s">
        <v>855</v>
      </c>
      <c r="D235" s="641">
        <v>5156</v>
      </c>
      <c r="E235" s="641">
        <v>6121</v>
      </c>
      <c r="F235" s="659" t="s">
        <v>665</v>
      </c>
      <c r="G235" s="642" t="s">
        <v>860</v>
      </c>
      <c r="H235" s="641">
        <v>2012</v>
      </c>
      <c r="I235" s="641">
        <v>2014</v>
      </c>
      <c r="J235" s="660">
        <v>8100</v>
      </c>
      <c r="K235" s="660">
        <v>2367</v>
      </c>
      <c r="L235" s="660">
        <f>113</f>
        <v>113</v>
      </c>
      <c r="M235" s="661">
        <v>3000</v>
      </c>
      <c r="N235" s="661">
        <v>6000</v>
      </c>
      <c r="O235" s="660">
        <v>5044</v>
      </c>
      <c r="P235" s="647">
        <f t="shared" si="28"/>
        <v>0.8406666666666667</v>
      </c>
      <c r="Q235" s="661"/>
      <c r="R235" s="661"/>
      <c r="S235" s="662"/>
      <c r="T235" s="649" t="s">
        <v>609</v>
      </c>
      <c r="U235" s="669"/>
      <c r="V235" s="651">
        <f t="shared" si="30"/>
        <v>1987</v>
      </c>
      <c r="W235" s="652">
        <f>IF(AND(P235&lt;'[1]koment'!$F$1,N235&gt;='[1]koment'!$F$2),"Komentovat","")</f>
      </c>
      <c r="X235" s="653" t="e">
        <f t="shared" si="29"/>
        <v>#REF!</v>
      </c>
      <c r="Y235" s="651">
        <f t="shared" si="31"/>
        <v>5600</v>
      </c>
      <c r="Z235" s="654" t="str">
        <f t="shared" si="32"/>
        <v>ORG 5156 - Zateplení MŠ Absolonova</v>
      </c>
      <c r="AA235" s="655" t="str">
        <f t="shared" si="33"/>
        <v>5600311151566121EU</v>
      </c>
      <c r="AB235" s="638"/>
      <c r="AC235" s="638"/>
      <c r="AD235" s="638"/>
      <c r="AE235" s="638"/>
      <c r="AF235" s="638"/>
    </row>
    <row r="236" spans="1:32" ht="12.75" outlineLevel="2">
      <c r="A236" s="639">
        <f t="shared" si="27"/>
        <v>234</v>
      </c>
      <c r="B236" s="658" t="s">
        <v>861</v>
      </c>
      <c r="C236" s="641" t="s">
        <v>855</v>
      </c>
      <c r="D236" s="641">
        <v>5188</v>
      </c>
      <c r="E236" s="641">
        <v>6121</v>
      </c>
      <c r="F236" s="659" t="s">
        <v>665</v>
      </c>
      <c r="G236" s="642" t="s">
        <v>862</v>
      </c>
      <c r="H236" s="641">
        <v>2013</v>
      </c>
      <c r="I236" s="641">
        <v>2014</v>
      </c>
      <c r="J236" s="660">
        <v>700</v>
      </c>
      <c r="K236" s="660">
        <v>670</v>
      </c>
      <c r="L236" s="660">
        <f>84</f>
        <v>84</v>
      </c>
      <c r="M236" s="661">
        <v>600</v>
      </c>
      <c r="N236" s="661">
        <v>600</v>
      </c>
      <c r="O236" s="660">
        <v>554</v>
      </c>
      <c r="P236" s="647">
        <f t="shared" si="28"/>
        <v>0.9233333333333333</v>
      </c>
      <c r="Q236" s="661"/>
      <c r="R236" s="661"/>
      <c r="S236" s="662"/>
      <c r="T236" s="649" t="s">
        <v>863</v>
      </c>
      <c r="U236" s="669"/>
      <c r="V236" s="651">
        <f t="shared" si="30"/>
        <v>16</v>
      </c>
      <c r="W236" s="652">
        <f>IF(AND(P236&lt;'[1]koment'!$F$1,N236&gt;='[1]koment'!$F$2),"Komentovat","")</f>
      </c>
      <c r="X236" s="653" t="e">
        <f t="shared" si="29"/>
        <v>#REF!</v>
      </c>
      <c r="Y236" s="651">
        <f t="shared" si="31"/>
        <v>6700</v>
      </c>
      <c r="Z236" s="654" t="str">
        <f t="shared" si="32"/>
        <v>ORG 5188 - Úpravy zahrady v přírodním stylu, MŠ Veslařská</v>
      </c>
      <c r="AA236" s="655" t="str">
        <f t="shared" si="33"/>
        <v>6700311151886121EU</v>
      </c>
      <c r="AB236" s="638"/>
      <c r="AC236" s="638"/>
      <c r="AD236" s="638"/>
      <c r="AE236" s="638"/>
      <c r="AF236" s="638"/>
    </row>
    <row r="237" spans="1:32" ht="12.75" outlineLevel="2">
      <c r="A237" s="639">
        <f t="shared" si="27"/>
        <v>235</v>
      </c>
      <c r="B237" s="658" t="s">
        <v>606</v>
      </c>
      <c r="C237" s="641" t="s">
        <v>855</v>
      </c>
      <c r="D237" s="641">
        <v>5190</v>
      </c>
      <c r="E237" s="641">
        <v>6121</v>
      </c>
      <c r="F237" s="659" t="s">
        <v>665</v>
      </c>
      <c r="G237" s="642" t="s">
        <v>864</v>
      </c>
      <c r="H237" s="641">
        <v>2014</v>
      </c>
      <c r="I237" s="641">
        <v>2015</v>
      </c>
      <c r="J237" s="660">
        <v>7591</v>
      </c>
      <c r="K237" s="660">
        <v>3483</v>
      </c>
      <c r="L237" s="660"/>
      <c r="M237" s="661"/>
      <c r="N237" s="661">
        <v>800</v>
      </c>
      <c r="O237" s="660"/>
      <c r="P237" s="647">
        <f t="shared" si="28"/>
        <v>0</v>
      </c>
      <c r="Q237" s="661">
        <v>6500</v>
      </c>
      <c r="R237" s="661"/>
      <c r="S237" s="662"/>
      <c r="T237" s="649" t="s">
        <v>609</v>
      </c>
      <c r="U237" s="669"/>
      <c r="V237" s="651">
        <f t="shared" si="30"/>
        <v>291</v>
      </c>
      <c r="W237" s="652">
        <f>IF(AND(P237&lt;'[1]koment'!$F$1,N237&gt;='[1]koment'!$F$2),"Komentovat","")</f>
      </c>
      <c r="X237" s="653" t="e">
        <f t="shared" si="29"/>
        <v>#REF!</v>
      </c>
      <c r="Y237" s="651">
        <f t="shared" si="31"/>
        <v>5600</v>
      </c>
      <c r="Z237" s="654" t="str">
        <f t="shared" si="32"/>
        <v>ORG 5190 - Stavební úpravy mateřské školy Řezáčova</v>
      </c>
      <c r="AA237" s="655" t="str">
        <f t="shared" si="33"/>
        <v>5600311151906121EU</v>
      </c>
      <c r="AB237" s="638"/>
      <c r="AC237" s="638"/>
      <c r="AD237" s="638"/>
      <c r="AE237" s="638"/>
      <c r="AF237" s="638"/>
    </row>
    <row r="238" spans="1:32" ht="12.75" outlineLevel="2">
      <c r="A238" s="639">
        <f t="shared" si="27"/>
        <v>236</v>
      </c>
      <c r="B238" s="658" t="s">
        <v>606</v>
      </c>
      <c r="C238" s="641" t="s">
        <v>855</v>
      </c>
      <c r="D238" s="641">
        <v>5191</v>
      </c>
      <c r="E238" s="641">
        <v>6121</v>
      </c>
      <c r="F238" s="659" t="s">
        <v>665</v>
      </c>
      <c r="G238" s="642" t="s">
        <v>865</v>
      </c>
      <c r="H238" s="641">
        <v>2014</v>
      </c>
      <c r="I238" s="641">
        <v>2015</v>
      </c>
      <c r="J238" s="660">
        <v>7202</v>
      </c>
      <c r="K238" s="660">
        <v>2289</v>
      </c>
      <c r="L238" s="660"/>
      <c r="M238" s="661"/>
      <c r="N238" s="661">
        <v>800</v>
      </c>
      <c r="O238" s="660"/>
      <c r="P238" s="647">
        <f t="shared" si="28"/>
        <v>0</v>
      </c>
      <c r="Q238" s="661">
        <v>6400</v>
      </c>
      <c r="R238" s="661"/>
      <c r="S238" s="662"/>
      <c r="T238" s="649" t="s">
        <v>609</v>
      </c>
      <c r="U238" s="669"/>
      <c r="V238" s="651">
        <f t="shared" si="30"/>
        <v>2</v>
      </c>
      <c r="W238" s="652">
        <f>IF(AND(P238&lt;'[1]koment'!$F$1,N238&gt;='[1]koment'!$F$2),"Komentovat","")</f>
      </c>
      <c r="X238" s="653" t="e">
        <f t="shared" si="29"/>
        <v>#REF!</v>
      </c>
      <c r="Y238" s="651">
        <f t="shared" si="31"/>
        <v>5600</v>
      </c>
      <c r="Z238" s="654" t="str">
        <f t="shared" si="32"/>
        <v>ORG 5191 - MŠ Kohoutova 6 - zateplení budovy a výměna oken</v>
      </c>
      <c r="AA238" s="655" t="str">
        <f t="shared" si="33"/>
        <v>5600311151916121EU</v>
      </c>
      <c r="AB238" s="638"/>
      <c r="AC238" s="638"/>
      <c r="AD238" s="638"/>
      <c r="AE238" s="638"/>
      <c r="AF238" s="638"/>
    </row>
    <row r="239" spans="1:32" ht="12.75" outlineLevel="1">
      <c r="A239" s="639">
        <f t="shared" si="27"/>
        <v>237</v>
      </c>
      <c r="B239" s="658"/>
      <c r="C239" s="666" t="s">
        <v>866</v>
      </c>
      <c r="D239" s="641"/>
      <c r="E239" s="641"/>
      <c r="F239" s="659"/>
      <c r="G239" s="642"/>
      <c r="H239" s="641"/>
      <c r="I239" s="641"/>
      <c r="J239" s="660">
        <f aca="true" t="shared" si="40" ref="J239:O239">SUBTOTAL(9,J231:J238)</f>
        <v>56043</v>
      </c>
      <c r="K239" s="660">
        <f t="shared" si="40"/>
        <v>24042</v>
      </c>
      <c r="L239" s="660">
        <f t="shared" si="40"/>
        <v>692</v>
      </c>
      <c r="M239" s="661">
        <f t="shared" si="40"/>
        <v>13600</v>
      </c>
      <c r="N239" s="661">
        <f t="shared" si="40"/>
        <v>24800</v>
      </c>
      <c r="O239" s="660">
        <f t="shared" si="40"/>
        <v>19534</v>
      </c>
      <c r="P239" s="647">
        <f t="shared" si="28"/>
        <v>0.7876612903225807</v>
      </c>
      <c r="Q239" s="661">
        <f>SUBTOTAL(9,Q231:Q238)</f>
        <v>12900</v>
      </c>
      <c r="R239" s="661">
        <f>SUBTOTAL(9,R231:R238)</f>
        <v>0</v>
      </c>
      <c r="S239" s="662">
        <f>SUBTOTAL(9,S231:S238)</f>
        <v>0</v>
      </c>
      <c r="T239" s="649"/>
      <c r="U239" s="669"/>
      <c r="V239" s="651"/>
      <c r="W239" s="652"/>
      <c r="X239" s="653"/>
      <c r="Y239" s="651" t="str">
        <f>IF($V239=0," ",IF(LEN($B239)=4,$B239*1,$B239))</f>
        <v> </v>
      </c>
      <c r="Z239" s="654">
        <f>IF($Y239=" ",0,"ORG "&amp;$D239&amp;" - "&amp;$G239)</f>
        <v>0</v>
      </c>
      <c r="AA239" s="655" t="str">
        <f>$B239&amp;LEFT($C239,4)&amp;$D239&amp;$E239&amp;$F239</f>
        <v>Celk</v>
      </c>
      <c r="AB239" s="638"/>
      <c r="AC239" s="638"/>
      <c r="AD239" s="638"/>
      <c r="AE239" s="638"/>
      <c r="AF239" s="638"/>
    </row>
    <row r="240" spans="1:32" ht="12.75" outlineLevel="2">
      <c r="A240" s="639">
        <f t="shared" si="27"/>
        <v>238</v>
      </c>
      <c r="B240" s="658" t="s">
        <v>606</v>
      </c>
      <c r="C240" s="641" t="s">
        <v>867</v>
      </c>
      <c r="D240" s="641">
        <v>5047</v>
      </c>
      <c r="E240" s="641">
        <v>6121</v>
      </c>
      <c r="F240" s="659" t="s">
        <v>665</v>
      </c>
      <c r="G240" s="642" t="s">
        <v>868</v>
      </c>
      <c r="H240" s="665">
        <v>2009</v>
      </c>
      <c r="I240" s="641">
        <v>2013</v>
      </c>
      <c r="J240" s="660">
        <v>22300</v>
      </c>
      <c r="K240" s="660">
        <v>17432</v>
      </c>
      <c r="L240" s="660">
        <f>281+168+20015+732</f>
        <v>21196</v>
      </c>
      <c r="M240" s="661"/>
      <c r="N240" s="661"/>
      <c r="O240" s="660"/>
      <c r="P240" s="647" t="str">
        <f t="shared" si="28"/>
        <v> </v>
      </c>
      <c r="Q240" s="661"/>
      <c r="R240" s="661"/>
      <c r="S240" s="662"/>
      <c r="T240" s="649" t="s">
        <v>609</v>
      </c>
      <c r="U240" s="669"/>
      <c r="V240" s="651">
        <f t="shared" si="30"/>
        <v>1104</v>
      </c>
      <c r="W240" s="652">
        <f>IF(AND(P240&lt;'[1]koment'!$F$1,N240&gt;='[1]koment'!$F$2),"Komentovat","")</f>
      </c>
      <c r="X240" s="653" t="e">
        <f>IF(W240="Komentovat",X238+1,X238)</f>
        <v>#REF!</v>
      </c>
      <c r="Y240" s="651">
        <f t="shared" si="31"/>
        <v>5600</v>
      </c>
      <c r="Z240" s="654" t="str">
        <f t="shared" si="32"/>
        <v>ORG 5047 - ZŠ Úvoz - sportovní hřiště</v>
      </c>
      <c r="AA240" s="655" t="str">
        <f t="shared" si="33"/>
        <v>5600311350476121EU</v>
      </c>
      <c r="AB240" s="638"/>
      <c r="AC240" s="638"/>
      <c r="AD240" s="638"/>
      <c r="AE240" s="638"/>
      <c r="AF240" s="638"/>
    </row>
    <row r="241" spans="1:32" ht="12.75" outlineLevel="2">
      <c r="A241" s="639">
        <f t="shared" si="27"/>
        <v>239</v>
      </c>
      <c r="B241" s="658" t="s">
        <v>606</v>
      </c>
      <c r="C241" s="641" t="s">
        <v>867</v>
      </c>
      <c r="D241" s="641">
        <v>5097</v>
      </c>
      <c r="E241" s="641">
        <v>6121</v>
      </c>
      <c r="F241" s="659" t="s">
        <v>665</v>
      </c>
      <c r="G241" s="642" t="s">
        <v>869</v>
      </c>
      <c r="H241" s="665">
        <v>2010</v>
      </c>
      <c r="I241" s="641">
        <v>2014</v>
      </c>
      <c r="J241" s="660">
        <v>14259</v>
      </c>
      <c r="K241" s="660">
        <v>10860</v>
      </c>
      <c r="L241" s="660">
        <f>94+421+1</f>
        <v>516</v>
      </c>
      <c r="M241" s="661">
        <v>7000</v>
      </c>
      <c r="N241" s="661">
        <v>13000</v>
      </c>
      <c r="O241" s="660">
        <v>12475</v>
      </c>
      <c r="P241" s="647">
        <f t="shared" si="28"/>
        <v>0.9596153846153846</v>
      </c>
      <c r="Q241" s="661"/>
      <c r="R241" s="661"/>
      <c r="S241" s="662"/>
      <c r="T241" s="649" t="s">
        <v>609</v>
      </c>
      <c r="U241" s="669"/>
      <c r="V241" s="651">
        <f t="shared" si="30"/>
        <v>743</v>
      </c>
      <c r="W241" s="652">
        <f>IF(AND(P241&lt;'[1]koment'!$F$1,N241&gt;='[1]koment'!$F$2),"Komentovat","")</f>
      </c>
      <c r="X241" s="653" t="e">
        <f t="shared" si="29"/>
        <v>#REF!</v>
      </c>
      <c r="Y241" s="651">
        <f t="shared" si="31"/>
        <v>5600</v>
      </c>
      <c r="Z241" s="654" t="str">
        <f t="shared" si="32"/>
        <v>ORG 5097 - ZŠ Novolíšeňská - sportovní centrum</v>
      </c>
      <c r="AA241" s="655" t="str">
        <f t="shared" si="33"/>
        <v>5600311350976121EU</v>
      </c>
      <c r="AB241" s="638"/>
      <c r="AC241" s="638"/>
      <c r="AD241" s="638"/>
      <c r="AE241" s="638"/>
      <c r="AF241" s="638"/>
    </row>
    <row r="242" spans="1:32" ht="12.75" outlineLevel="2">
      <c r="A242" s="639">
        <f t="shared" si="27"/>
        <v>240</v>
      </c>
      <c r="B242" s="658" t="s">
        <v>606</v>
      </c>
      <c r="C242" s="641" t="s">
        <v>867</v>
      </c>
      <c r="D242" s="641">
        <v>5123</v>
      </c>
      <c r="E242" s="641">
        <v>6121</v>
      </c>
      <c r="F242" s="659" t="s">
        <v>665</v>
      </c>
      <c r="G242" s="642" t="s">
        <v>870</v>
      </c>
      <c r="H242" s="665">
        <v>2010</v>
      </c>
      <c r="I242" s="641">
        <v>2014</v>
      </c>
      <c r="J242" s="660">
        <v>7000</v>
      </c>
      <c r="K242" s="660">
        <v>5000</v>
      </c>
      <c r="L242" s="660">
        <f>120+151</f>
        <v>271</v>
      </c>
      <c r="M242" s="661">
        <v>1000</v>
      </c>
      <c r="N242" s="661">
        <v>6600</v>
      </c>
      <c r="O242" s="660">
        <v>6330</v>
      </c>
      <c r="P242" s="647">
        <f t="shared" si="28"/>
        <v>0.9590909090909091</v>
      </c>
      <c r="Q242" s="661"/>
      <c r="R242" s="661"/>
      <c r="S242" s="662"/>
      <c r="T242" s="649" t="s">
        <v>609</v>
      </c>
      <c r="U242" s="669"/>
      <c r="V242" s="651">
        <f t="shared" si="30"/>
        <v>129</v>
      </c>
      <c r="W242" s="652">
        <f>IF(AND(P242&lt;'[1]koment'!$F$1,N242&gt;='[1]koment'!$F$2),"Komentovat","")</f>
      </c>
      <c r="X242" s="653" t="e">
        <f t="shared" si="29"/>
        <v>#REF!</v>
      </c>
      <c r="Y242" s="651">
        <f t="shared" si="31"/>
        <v>5600</v>
      </c>
      <c r="Z242" s="654" t="str">
        <f t="shared" si="32"/>
        <v>ORG 5123 - Otevřená škola</v>
      </c>
      <c r="AA242" s="655" t="str">
        <f t="shared" si="33"/>
        <v>5600311351236121EU</v>
      </c>
      <c r="AB242" s="638"/>
      <c r="AC242" s="638"/>
      <c r="AD242" s="638"/>
      <c r="AE242" s="638"/>
      <c r="AF242" s="638"/>
    </row>
    <row r="243" spans="1:32" ht="12.75" outlineLevel="2">
      <c r="A243" s="639">
        <f t="shared" si="27"/>
        <v>241</v>
      </c>
      <c r="B243" s="658" t="s">
        <v>606</v>
      </c>
      <c r="C243" s="641" t="s">
        <v>867</v>
      </c>
      <c r="D243" s="641">
        <v>5124</v>
      </c>
      <c r="E243" s="641">
        <v>6121</v>
      </c>
      <c r="F243" s="659" t="s">
        <v>665</v>
      </c>
      <c r="G243" s="642" t="s">
        <v>871</v>
      </c>
      <c r="H243" s="665">
        <v>2010</v>
      </c>
      <c r="I243" s="641">
        <v>2015</v>
      </c>
      <c r="J243" s="660">
        <v>10620</v>
      </c>
      <c r="K243" s="660">
        <v>8404</v>
      </c>
      <c r="L243" s="660">
        <f>84+192+77</f>
        <v>353</v>
      </c>
      <c r="M243" s="661">
        <v>1000</v>
      </c>
      <c r="N243" s="661">
        <v>300</v>
      </c>
      <c r="O243" s="660">
        <v>37</v>
      </c>
      <c r="P243" s="647">
        <f t="shared" si="28"/>
        <v>0.12333333333333334</v>
      </c>
      <c r="Q243" s="661">
        <v>5000</v>
      </c>
      <c r="R243" s="661"/>
      <c r="S243" s="662"/>
      <c r="T243" s="649" t="s">
        <v>609</v>
      </c>
      <c r="U243" s="669"/>
      <c r="V243" s="651">
        <f t="shared" si="30"/>
        <v>4967</v>
      </c>
      <c r="W243" s="652">
        <f>IF(AND(P243&lt;'[1]koment'!$F$1,N243&gt;='[1]koment'!$F$2),"Komentovat","")</f>
      </c>
      <c r="X243" s="653" t="e">
        <f t="shared" si="29"/>
        <v>#REF!</v>
      </c>
      <c r="Y243" s="651">
        <f t="shared" si="31"/>
        <v>5600</v>
      </c>
      <c r="Z243" s="654" t="str">
        <f t="shared" si="32"/>
        <v>ORG 5124 - IN line dráha, ZŠ Pavlovská 16</v>
      </c>
      <c r="AA243" s="655" t="str">
        <f t="shared" si="33"/>
        <v>5600311351246121EU</v>
      </c>
      <c r="AB243" s="638"/>
      <c r="AC243" s="638"/>
      <c r="AD243" s="638"/>
      <c r="AE243" s="638"/>
      <c r="AF243" s="638"/>
    </row>
    <row r="244" spans="1:32" ht="12.75" outlineLevel="2">
      <c r="A244" s="639">
        <f t="shared" si="27"/>
        <v>242</v>
      </c>
      <c r="B244" s="658" t="s">
        <v>606</v>
      </c>
      <c r="C244" s="641" t="s">
        <v>867</v>
      </c>
      <c r="D244" s="641">
        <v>5125</v>
      </c>
      <c r="E244" s="641">
        <v>6121</v>
      </c>
      <c r="F244" s="659" t="s">
        <v>665</v>
      </c>
      <c r="G244" s="642" t="s">
        <v>872</v>
      </c>
      <c r="H244" s="665">
        <v>2010</v>
      </c>
      <c r="I244" s="641">
        <v>2015</v>
      </c>
      <c r="J244" s="660">
        <v>17000</v>
      </c>
      <c r="K244" s="660">
        <v>9407</v>
      </c>
      <c r="L244" s="660">
        <f>192+2</f>
        <v>194</v>
      </c>
      <c r="M244" s="661">
        <v>1000</v>
      </c>
      <c r="N244" s="661">
        <v>8000</v>
      </c>
      <c r="O244" s="660">
        <v>8022</v>
      </c>
      <c r="P244" s="647">
        <f t="shared" si="28"/>
        <v>1.00275</v>
      </c>
      <c r="Q244" s="661">
        <v>7299</v>
      </c>
      <c r="R244" s="661"/>
      <c r="S244" s="662"/>
      <c r="T244" s="649" t="s">
        <v>609</v>
      </c>
      <c r="U244" s="669"/>
      <c r="V244" s="651">
        <f t="shared" si="30"/>
        <v>1507</v>
      </c>
      <c r="W244" s="652">
        <f>IF(AND(P244&lt;'[1]koment'!$F$1,N244&gt;='[1]koment'!$F$2),"Komentovat","")</f>
      </c>
      <c r="X244" s="653" t="e">
        <f t="shared" si="29"/>
        <v>#REF!</v>
      </c>
      <c r="Y244" s="651">
        <f t="shared" si="31"/>
        <v>5600</v>
      </c>
      <c r="Z244" s="654" t="str">
        <f t="shared" si="32"/>
        <v>ORG 5125 - Rekonstrukce sportoviště při ZŠ Jasanová 2</v>
      </c>
      <c r="AA244" s="655" t="str">
        <f t="shared" si="33"/>
        <v>5600311351256121EU</v>
      </c>
      <c r="AB244" s="638"/>
      <c r="AC244" s="638"/>
      <c r="AD244" s="638"/>
      <c r="AE244" s="638"/>
      <c r="AF244" s="638"/>
    </row>
    <row r="245" spans="1:32" ht="12.75" outlineLevel="2">
      <c r="A245" s="639">
        <f t="shared" si="27"/>
        <v>243</v>
      </c>
      <c r="B245" s="658" t="s">
        <v>606</v>
      </c>
      <c r="C245" s="641" t="s">
        <v>867</v>
      </c>
      <c r="D245" s="641">
        <v>5126</v>
      </c>
      <c r="E245" s="641">
        <v>6121</v>
      </c>
      <c r="F245" s="659" t="s">
        <v>665</v>
      </c>
      <c r="G245" s="642" t="s">
        <v>873</v>
      </c>
      <c r="H245" s="665">
        <v>2010</v>
      </c>
      <c r="I245" s="641">
        <v>2015</v>
      </c>
      <c r="J245" s="660">
        <v>15689</v>
      </c>
      <c r="K245" s="660">
        <v>14171</v>
      </c>
      <c r="L245" s="660">
        <f>119+204+208</f>
        <v>531</v>
      </c>
      <c r="M245" s="661">
        <v>1000</v>
      </c>
      <c r="N245" s="661">
        <v>2000</v>
      </c>
      <c r="O245" s="660">
        <v>1</v>
      </c>
      <c r="P245" s="647">
        <f t="shared" si="28"/>
        <v>0.0005</v>
      </c>
      <c r="Q245" s="661">
        <v>5000</v>
      </c>
      <c r="R245" s="661"/>
      <c r="S245" s="662"/>
      <c r="T245" s="649" t="s">
        <v>609</v>
      </c>
      <c r="U245" s="669"/>
      <c r="V245" s="651">
        <f t="shared" si="30"/>
        <v>8158</v>
      </c>
      <c r="W245" s="652">
        <f>IF(AND(P245&lt;'[1]koment'!$F$1,N245&gt;='[1]koment'!$F$2),"Komentovat","")</f>
      </c>
      <c r="X245" s="653" t="e">
        <f t="shared" si="29"/>
        <v>#REF!</v>
      </c>
      <c r="Y245" s="651">
        <f t="shared" si="31"/>
        <v>5600</v>
      </c>
      <c r="Z245" s="654" t="str">
        <f t="shared" si="32"/>
        <v>ORG 5126 - ZŠ Bosonožské nám. - pohybové prostory</v>
      </c>
      <c r="AA245" s="655" t="str">
        <f t="shared" si="33"/>
        <v>5600311351266121EU</v>
      </c>
      <c r="AB245" s="638"/>
      <c r="AC245" s="638"/>
      <c r="AD245" s="638"/>
      <c r="AE245" s="638"/>
      <c r="AF245" s="638"/>
    </row>
    <row r="246" spans="1:32" ht="12.75" outlineLevel="2">
      <c r="A246" s="639">
        <f t="shared" si="27"/>
        <v>244</v>
      </c>
      <c r="B246" s="658" t="s">
        <v>606</v>
      </c>
      <c r="C246" s="641" t="s">
        <v>867</v>
      </c>
      <c r="D246" s="641">
        <v>5127</v>
      </c>
      <c r="E246" s="641">
        <v>6121</v>
      </c>
      <c r="F246" s="659" t="s">
        <v>665</v>
      </c>
      <c r="G246" s="642" t="s">
        <v>874</v>
      </c>
      <c r="H246" s="665">
        <v>2010</v>
      </c>
      <c r="I246" s="665">
        <v>2013</v>
      </c>
      <c r="J246" s="660">
        <v>11700</v>
      </c>
      <c r="K246" s="660">
        <v>7161</v>
      </c>
      <c r="L246" s="660">
        <f>43+36+5674</f>
        <v>5753</v>
      </c>
      <c r="M246" s="661">
        <v>30</v>
      </c>
      <c r="N246" s="661">
        <v>30</v>
      </c>
      <c r="O246" s="660"/>
      <c r="P246" s="647">
        <f t="shared" si="28"/>
        <v>0</v>
      </c>
      <c r="Q246" s="661"/>
      <c r="R246" s="661"/>
      <c r="S246" s="662"/>
      <c r="T246" s="649" t="s">
        <v>609</v>
      </c>
      <c r="U246" s="669"/>
      <c r="V246" s="651">
        <f t="shared" si="30"/>
        <v>5917</v>
      </c>
      <c r="W246" s="652">
        <f>IF(AND(P246&lt;'[1]koment'!$F$1,N246&gt;='[1]koment'!$F$2),"Komentovat","")</f>
      </c>
      <c r="X246" s="653" t="e">
        <f t="shared" si="29"/>
        <v>#REF!</v>
      </c>
      <c r="Y246" s="651">
        <f t="shared" si="31"/>
        <v>5600</v>
      </c>
      <c r="Z246" s="654" t="str">
        <f t="shared" si="32"/>
        <v>ORG 5127 - Sportovní areál, ZŠ a MŠ Zemědělská</v>
      </c>
      <c r="AA246" s="655" t="str">
        <f t="shared" si="33"/>
        <v>5600311351276121EU</v>
      </c>
      <c r="AB246" s="638"/>
      <c r="AC246" s="638"/>
      <c r="AD246" s="638"/>
      <c r="AE246" s="638"/>
      <c r="AF246" s="638"/>
    </row>
    <row r="247" spans="1:32" ht="12.75" outlineLevel="2">
      <c r="A247" s="639">
        <f t="shared" si="27"/>
        <v>245</v>
      </c>
      <c r="B247" s="658" t="s">
        <v>606</v>
      </c>
      <c r="C247" s="641" t="s">
        <v>867</v>
      </c>
      <c r="D247" s="641">
        <v>5134</v>
      </c>
      <c r="E247" s="641">
        <v>6121</v>
      </c>
      <c r="F247" s="659" t="s">
        <v>665</v>
      </c>
      <c r="G247" s="642" t="s">
        <v>875</v>
      </c>
      <c r="H247" s="665">
        <v>2010</v>
      </c>
      <c r="I247" s="641">
        <v>2015</v>
      </c>
      <c r="J247" s="660">
        <v>14120</v>
      </c>
      <c r="K247" s="660">
        <v>9994</v>
      </c>
      <c r="L247" s="660">
        <f>208+80</f>
        <v>288</v>
      </c>
      <c r="M247" s="661">
        <v>10000</v>
      </c>
      <c r="N247" s="661">
        <v>7000</v>
      </c>
      <c r="O247" s="660">
        <v>5523</v>
      </c>
      <c r="P247" s="647">
        <f t="shared" si="28"/>
        <v>0.789</v>
      </c>
      <c r="Q247" s="661">
        <v>5000</v>
      </c>
      <c r="R247" s="661"/>
      <c r="S247" s="662"/>
      <c r="T247" s="649" t="s">
        <v>609</v>
      </c>
      <c r="U247" s="669"/>
      <c r="V247" s="651">
        <f t="shared" si="30"/>
        <v>1832</v>
      </c>
      <c r="W247" s="652">
        <f>IF(AND(P247&lt;'[1]koment'!$F$1,N247&gt;='[1]koment'!$F$2),"Komentovat","")</f>
      </c>
      <c r="X247" s="653" t="e">
        <f t="shared" si="29"/>
        <v>#REF!</v>
      </c>
      <c r="Y247" s="651">
        <f t="shared" si="31"/>
        <v>5600</v>
      </c>
      <c r="Z247" s="654" t="str">
        <f t="shared" si="32"/>
        <v>ORG 5134 - Stavební úpravy ZŠ Mutěnická - 3. etapa</v>
      </c>
      <c r="AA247" s="655" t="str">
        <f t="shared" si="33"/>
        <v>5600311351346121EU</v>
      </c>
      <c r="AB247" s="638"/>
      <c r="AC247" s="638"/>
      <c r="AD247" s="638"/>
      <c r="AE247" s="638"/>
      <c r="AF247" s="638"/>
    </row>
    <row r="248" spans="1:32" ht="12.75" outlineLevel="2">
      <c r="A248" s="639">
        <f t="shared" si="27"/>
        <v>246</v>
      </c>
      <c r="B248" s="658" t="s">
        <v>235</v>
      </c>
      <c r="C248" s="641" t="s">
        <v>867</v>
      </c>
      <c r="D248" s="641">
        <v>5136</v>
      </c>
      <c r="E248" s="641">
        <v>6121</v>
      </c>
      <c r="F248" s="659" t="s">
        <v>665</v>
      </c>
      <c r="G248" s="642" t="s">
        <v>876</v>
      </c>
      <c r="H248" s="665">
        <v>2014</v>
      </c>
      <c r="I248" s="641">
        <v>2014</v>
      </c>
      <c r="J248" s="660">
        <v>6850</v>
      </c>
      <c r="K248" s="660">
        <v>6086</v>
      </c>
      <c r="L248" s="660"/>
      <c r="M248" s="661"/>
      <c r="N248" s="661">
        <v>150</v>
      </c>
      <c r="O248" s="660">
        <v>78</v>
      </c>
      <c r="P248" s="647">
        <f t="shared" si="28"/>
        <v>0.52</v>
      </c>
      <c r="Q248" s="661"/>
      <c r="R248" s="661"/>
      <c r="S248" s="662"/>
      <c r="T248" s="649" t="s">
        <v>877</v>
      </c>
      <c r="U248" s="669"/>
      <c r="V248" s="651">
        <f t="shared" si="30"/>
        <v>6700</v>
      </c>
      <c r="W248" s="652">
        <f>IF(AND(P248&lt;'[1]koment'!$F$1,N248&gt;='[1]koment'!$F$2),"Komentovat","")</f>
      </c>
      <c r="X248" s="653" t="e">
        <f t="shared" si="29"/>
        <v>#REF!</v>
      </c>
      <c r="Y248" s="651">
        <f t="shared" si="31"/>
        <v>4100</v>
      </c>
      <c r="Z248" s="654" t="str">
        <f t="shared" si="32"/>
        <v>ORG 5136 - ZŠ Hroznová, jazyková učebna - nástavba</v>
      </c>
      <c r="AA248" s="655" t="str">
        <f t="shared" si="33"/>
        <v>4100311351366121EU</v>
      </c>
      <c r="AB248" s="638"/>
      <c r="AC248" s="638"/>
      <c r="AD248" s="638"/>
      <c r="AE248" s="638"/>
      <c r="AF248" s="638"/>
    </row>
    <row r="249" spans="1:32" ht="12.75" outlineLevel="2">
      <c r="A249" s="639">
        <f t="shared" si="27"/>
        <v>247</v>
      </c>
      <c r="B249" s="658" t="s">
        <v>606</v>
      </c>
      <c r="C249" s="641" t="s">
        <v>867</v>
      </c>
      <c r="D249" s="641">
        <v>5136</v>
      </c>
      <c r="E249" s="641">
        <v>6121</v>
      </c>
      <c r="F249" s="659" t="s">
        <v>665</v>
      </c>
      <c r="G249" s="642" t="s">
        <v>876</v>
      </c>
      <c r="H249" s="665">
        <v>2010</v>
      </c>
      <c r="I249" s="641">
        <v>2014</v>
      </c>
      <c r="J249" s="660">
        <v>6850</v>
      </c>
      <c r="K249" s="660">
        <v>6086</v>
      </c>
      <c r="L249" s="660">
        <f>1+4156</f>
        <v>4157</v>
      </c>
      <c r="M249" s="661">
        <v>1000</v>
      </c>
      <c r="N249" s="661">
        <v>1100</v>
      </c>
      <c r="O249" s="660">
        <v>1003</v>
      </c>
      <c r="P249" s="647">
        <f t="shared" si="28"/>
        <v>0.9118181818181819</v>
      </c>
      <c r="Q249" s="661"/>
      <c r="R249" s="661"/>
      <c r="S249" s="662"/>
      <c r="T249" s="649" t="s">
        <v>609</v>
      </c>
      <c r="U249" s="669"/>
      <c r="V249" s="651">
        <f t="shared" si="30"/>
        <v>1593</v>
      </c>
      <c r="W249" s="652">
        <f>IF(AND(P249&lt;'[1]koment'!$F$1,N249&gt;='[1]koment'!$F$2),"Komentovat","")</f>
      </c>
      <c r="X249" s="653" t="e">
        <f t="shared" si="29"/>
        <v>#REF!</v>
      </c>
      <c r="Y249" s="651">
        <f t="shared" si="31"/>
        <v>5600</v>
      </c>
      <c r="Z249" s="654" t="str">
        <f t="shared" si="32"/>
        <v>ORG 5136 - ZŠ Hroznová, jazyková učebna - nástavba</v>
      </c>
      <c r="AA249" s="655" t="str">
        <f t="shared" si="33"/>
        <v>5600311351366121EU</v>
      </c>
      <c r="AB249" s="638"/>
      <c r="AC249" s="638"/>
      <c r="AD249" s="638"/>
      <c r="AE249" s="638"/>
      <c r="AF249" s="638"/>
    </row>
    <row r="250" spans="1:32" ht="12.75" outlineLevel="2">
      <c r="A250" s="639">
        <f t="shared" si="27"/>
        <v>248</v>
      </c>
      <c r="B250" s="658" t="s">
        <v>606</v>
      </c>
      <c r="C250" s="641" t="s">
        <v>867</v>
      </c>
      <c r="D250" s="641">
        <v>5142</v>
      </c>
      <c r="E250" s="641">
        <v>6121</v>
      </c>
      <c r="F250" s="659" t="s">
        <v>665</v>
      </c>
      <c r="G250" s="642" t="s">
        <v>878</v>
      </c>
      <c r="H250" s="641">
        <v>2011</v>
      </c>
      <c r="I250" s="665">
        <v>2014</v>
      </c>
      <c r="J250" s="660">
        <v>29500</v>
      </c>
      <c r="K250" s="660">
        <v>8806</v>
      </c>
      <c r="L250" s="660">
        <f>252+124</f>
        <v>376</v>
      </c>
      <c r="M250" s="661">
        <v>10000</v>
      </c>
      <c r="N250" s="661">
        <v>29100</v>
      </c>
      <c r="O250" s="660">
        <v>27717</v>
      </c>
      <c r="P250" s="647">
        <f t="shared" si="28"/>
        <v>0.9524742268041237</v>
      </c>
      <c r="Q250" s="661"/>
      <c r="R250" s="661"/>
      <c r="S250" s="662"/>
      <c r="T250" s="649" t="s">
        <v>609</v>
      </c>
      <c r="U250" s="669"/>
      <c r="V250" s="651">
        <f t="shared" si="30"/>
        <v>24</v>
      </c>
      <c r="W250" s="652">
        <f>IF(AND(P250&lt;'[1]koment'!$F$1,N250&gt;='[1]koment'!$F$2),"Komentovat","")</f>
      </c>
      <c r="X250" s="653" t="e">
        <f t="shared" si="29"/>
        <v>#REF!</v>
      </c>
      <c r="Y250" s="651">
        <f t="shared" si="31"/>
        <v>5600</v>
      </c>
      <c r="Z250" s="654" t="str">
        <f t="shared" si="32"/>
        <v>ORG 5142 - Zateplení ZŠ Blažkova</v>
      </c>
      <c r="AA250" s="655" t="str">
        <f t="shared" si="33"/>
        <v>5600311351426121EU</v>
      </c>
      <c r="AB250" s="638"/>
      <c r="AC250" s="638"/>
      <c r="AD250" s="638"/>
      <c r="AE250" s="638"/>
      <c r="AF250" s="638"/>
    </row>
    <row r="251" spans="1:32" ht="12.75" outlineLevel="2">
      <c r="A251" s="639">
        <f t="shared" si="27"/>
        <v>249</v>
      </c>
      <c r="B251" s="658" t="s">
        <v>606</v>
      </c>
      <c r="C251" s="641" t="s">
        <v>867</v>
      </c>
      <c r="D251" s="641">
        <v>5146</v>
      </c>
      <c r="E251" s="641">
        <v>6121</v>
      </c>
      <c r="F251" s="659" t="s">
        <v>665</v>
      </c>
      <c r="G251" s="642" t="s">
        <v>879</v>
      </c>
      <c r="H251" s="641">
        <v>2012</v>
      </c>
      <c r="I251" s="641">
        <v>2015</v>
      </c>
      <c r="J251" s="660">
        <v>61200</v>
      </c>
      <c r="K251" s="660">
        <v>9479</v>
      </c>
      <c r="L251" s="660">
        <f>263</f>
        <v>263</v>
      </c>
      <c r="M251" s="661">
        <v>13000</v>
      </c>
      <c r="N251" s="661">
        <v>60900</v>
      </c>
      <c r="O251" s="660">
        <v>58554</v>
      </c>
      <c r="P251" s="647">
        <f t="shared" si="28"/>
        <v>0.9614778325123152</v>
      </c>
      <c r="Q251" s="661"/>
      <c r="R251" s="661"/>
      <c r="S251" s="662"/>
      <c r="T251" s="649" t="s">
        <v>609</v>
      </c>
      <c r="U251" s="669"/>
      <c r="V251" s="651">
        <f t="shared" si="30"/>
        <v>37</v>
      </c>
      <c r="W251" s="652">
        <f>IF(AND(P251&lt;'[1]koment'!$F$1,N251&gt;='[1]koment'!$F$2),"Komentovat","")</f>
      </c>
      <c r="X251" s="653" t="e">
        <f t="shared" si="29"/>
        <v>#REF!</v>
      </c>
      <c r="Y251" s="651">
        <f t="shared" si="31"/>
        <v>5600</v>
      </c>
      <c r="Z251" s="654" t="str">
        <f t="shared" si="32"/>
        <v>ORG 5146 - Zateplení ZŠ Labská</v>
      </c>
      <c r="AA251" s="655" t="str">
        <f t="shared" si="33"/>
        <v>5600311351466121EU</v>
      </c>
      <c r="AB251" s="638"/>
      <c r="AC251" s="638"/>
      <c r="AD251" s="638"/>
      <c r="AE251" s="638"/>
      <c r="AF251" s="638"/>
    </row>
    <row r="252" spans="1:32" ht="12.75" outlineLevel="2">
      <c r="A252" s="639">
        <f t="shared" si="27"/>
        <v>250</v>
      </c>
      <c r="B252" s="658" t="s">
        <v>606</v>
      </c>
      <c r="C252" s="641" t="s">
        <v>867</v>
      </c>
      <c r="D252" s="641">
        <v>5147</v>
      </c>
      <c r="E252" s="641">
        <v>6121</v>
      </c>
      <c r="F252" s="659" t="s">
        <v>665</v>
      </c>
      <c r="G252" s="642" t="s">
        <v>880</v>
      </c>
      <c r="H252" s="641">
        <v>2012</v>
      </c>
      <c r="I252" s="641">
        <v>2014</v>
      </c>
      <c r="J252" s="660">
        <v>26100</v>
      </c>
      <c r="K252" s="660">
        <v>8327</v>
      </c>
      <c r="L252" s="660">
        <f>1+1256</f>
        <v>1257</v>
      </c>
      <c r="M252" s="661">
        <v>10000</v>
      </c>
      <c r="N252" s="661">
        <v>17600</v>
      </c>
      <c r="O252" s="660">
        <v>15277</v>
      </c>
      <c r="P252" s="647">
        <f t="shared" si="28"/>
        <v>0.8680113636363637</v>
      </c>
      <c r="Q252" s="661"/>
      <c r="R252" s="661"/>
      <c r="S252" s="662"/>
      <c r="T252" s="649" t="s">
        <v>609</v>
      </c>
      <c r="U252" s="669"/>
      <c r="V252" s="651">
        <f t="shared" si="30"/>
        <v>7243</v>
      </c>
      <c r="W252" s="652">
        <f>IF(AND(P252&lt;'[1]koment'!$F$1,N252&gt;='[1]koment'!$F$2),"Komentovat","")</f>
      </c>
      <c r="X252" s="653" t="e">
        <f t="shared" si="29"/>
        <v>#REF!</v>
      </c>
      <c r="Y252" s="651">
        <f t="shared" si="31"/>
        <v>5600</v>
      </c>
      <c r="Z252" s="654" t="str">
        <f t="shared" si="32"/>
        <v>ORG 5147 - Zateplení ZŠ Úvoz</v>
      </c>
      <c r="AA252" s="655" t="str">
        <f t="shared" si="33"/>
        <v>5600311351476121EU</v>
      </c>
      <c r="AB252" s="638"/>
      <c r="AC252" s="638"/>
      <c r="AD252" s="638"/>
      <c r="AE252" s="638"/>
      <c r="AF252" s="638"/>
    </row>
    <row r="253" spans="1:32" ht="12.75" outlineLevel="2">
      <c r="A253" s="639">
        <f t="shared" si="27"/>
        <v>251</v>
      </c>
      <c r="B253" s="658" t="s">
        <v>606</v>
      </c>
      <c r="C253" s="641" t="s">
        <v>867</v>
      </c>
      <c r="D253" s="641">
        <v>5150</v>
      </c>
      <c r="E253" s="641">
        <v>6121</v>
      </c>
      <c r="F253" s="659" t="s">
        <v>665</v>
      </c>
      <c r="G253" s="642" t="s">
        <v>881</v>
      </c>
      <c r="H253" s="641">
        <v>2012</v>
      </c>
      <c r="I253" s="641">
        <v>2015</v>
      </c>
      <c r="J253" s="660">
        <v>48300</v>
      </c>
      <c r="K253" s="660">
        <v>14501</v>
      </c>
      <c r="L253" s="660">
        <f>213</f>
        <v>213</v>
      </c>
      <c r="M253" s="661">
        <v>3000</v>
      </c>
      <c r="N253" s="661">
        <v>32500</v>
      </c>
      <c r="O253" s="660">
        <v>22717</v>
      </c>
      <c r="P253" s="647">
        <f t="shared" si="28"/>
        <v>0.6989846153846154</v>
      </c>
      <c r="Q253" s="661"/>
      <c r="R253" s="661"/>
      <c r="S253" s="662"/>
      <c r="T253" s="649" t="s">
        <v>609</v>
      </c>
      <c r="U253" s="669"/>
      <c r="V253" s="651">
        <f t="shared" si="30"/>
        <v>15587</v>
      </c>
      <c r="W253" s="652" t="str">
        <f>IF(AND(P253&lt;'[1]koment'!$F$1,N253&gt;='[1]koment'!$F$2),"Komentovat","")</f>
        <v>Komentovat</v>
      </c>
      <c r="X253" s="653" t="e">
        <f t="shared" si="29"/>
        <v>#REF!</v>
      </c>
      <c r="Y253" s="651">
        <f t="shared" si="31"/>
        <v>5600</v>
      </c>
      <c r="Z253" s="654" t="str">
        <f t="shared" si="32"/>
        <v>ORG 5150 - Zateplení ZŠ Svážná</v>
      </c>
      <c r="AA253" s="655" t="str">
        <f t="shared" si="33"/>
        <v>5600311351506121EU</v>
      </c>
      <c r="AB253" s="638"/>
      <c r="AC253" s="638"/>
      <c r="AD253" s="638"/>
      <c r="AE253" s="638"/>
      <c r="AF253" s="638"/>
    </row>
    <row r="254" spans="1:32" ht="12.75" outlineLevel="2">
      <c r="A254" s="639">
        <f t="shared" si="27"/>
        <v>252</v>
      </c>
      <c r="B254" s="658" t="s">
        <v>606</v>
      </c>
      <c r="C254" s="641" t="s">
        <v>867</v>
      </c>
      <c r="D254" s="641">
        <v>5151</v>
      </c>
      <c r="E254" s="641">
        <v>6121</v>
      </c>
      <c r="F254" s="659" t="s">
        <v>665</v>
      </c>
      <c r="G254" s="642" t="s">
        <v>882</v>
      </c>
      <c r="H254" s="641">
        <v>2012</v>
      </c>
      <c r="I254" s="641">
        <v>2014</v>
      </c>
      <c r="J254" s="660">
        <v>11600</v>
      </c>
      <c r="K254" s="660">
        <v>4700</v>
      </c>
      <c r="L254" s="660">
        <f>124</f>
        <v>124</v>
      </c>
      <c r="M254" s="661">
        <v>3000</v>
      </c>
      <c r="N254" s="661">
        <v>8200</v>
      </c>
      <c r="O254" s="660">
        <v>6879</v>
      </c>
      <c r="P254" s="647">
        <f t="shared" si="28"/>
        <v>0.8389024390243902</v>
      </c>
      <c r="Q254" s="661"/>
      <c r="R254" s="661"/>
      <c r="S254" s="662"/>
      <c r="T254" s="649" t="s">
        <v>609</v>
      </c>
      <c r="U254" s="669"/>
      <c r="V254" s="651">
        <f t="shared" si="30"/>
        <v>3276</v>
      </c>
      <c r="W254" s="652">
        <f>IF(AND(P254&lt;'[1]koment'!$F$1,N254&gt;='[1]koment'!$F$2),"Komentovat","")</f>
      </c>
      <c r="X254" s="653" t="e">
        <f t="shared" si="29"/>
        <v>#REF!</v>
      </c>
      <c r="Y254" s="651">
        <f t="shared" si="31"/>
        <v>5600</v>
      </c>
      <c r="Z254" s="654" t="str">
        <f t="shared" si="32"/>
        <v>ORG 5151 - Zateplení ZŠ Přemyslovo náměstí</v>
      </c>
      <c r="AA254" s="655" t="str">
        <f t="shared" si="33"/>
        <v>5600311351516121EU</v>
      </c>
      <c r="AB254" s="638"/>
      <c r="AC254" s="638"/>
      <c r="AD254" s="638"/>
      <c r="AE254" s="638"/>
      <c r="AF254" s="638"/>
    </row>
    <row r="255" spans="1:32" ht="12.75" outlineLevel="2">
      <c r="A255" s="639">
        <f t="shared" si="27"/>
        <v>253</v>
      </c>
      <c r="B255" s="658" t="s">
        <v>606</v>
      </c>
      <c r="C255" s="641" t="s">
        <v>867</v>
      </c>
      <c r="D255" s="641">
        <v>5152</v>
      </c>
      <c r="E255" s="641">
        <v>6121</v>
      </c>
      <c r="F255" s="659" t="s">
        <v>665</v>
      </c>
      <c r="G255" s="642" t="s">
        <v>883</v>
      </c>
      <c r="H255" s="641">
        <v>2012</v>
      </c>
      <c r="I255" s="641">
        <v>2015</v>
      </c>
      <c r="J255" s="660">
        <v>16100</v>
      </c>
      <c r="K255" s="660">
        <v>3668</v>
      </c>
      <c r="L255" s="660">
        <f>124</f>
        <v>124</v>
      </c>
      <c r="M255" s="661">
        <v>3000</v>
      </c>
      <c r="N255" s="661">
        <v>9400</v>
      </c>
      <c r="O255" s="660">
        <v>8495</v>
      </c>
      <c r="P255" s="647">
        <f t="shared" si="28"/>
        <v>0.9037234042553192</v>
      </c>
      <c r="Q255" s="661"/>
      <c r="R255" s="661"/>
      <c r="S255" s="662"/>
      <c r="T255" s="649" t="s">
        <v>609</v>
      </c>
      <c r="U255" s="669"/>
      <c r="V255" s="651">
        <f t="shared" si="30"/>
        <v>6576</v>
      </c>
      <c r="W255" s="652">
        <f>IF(AND(P255&lt;'[1]koment'!$F$1,N255&gt;='[1]koment'!$F$2),"Komentovat","")</f>
      </c>
      <c r="X255" s="653" t="e">
        <f t="shared" si="29"/>
        <v>#REF!</v>
      </c>
      <c r="Y255" s="651">
        <f t="shared" si="31"/>
        <v>5600</v>
      </c>
      <c r="Z255" s="654" t="str">
        <f t="shared" si="32"/>
        <v>ORG 5152 - Zateplení ZŠ Vedlejší</v>
      </c>
      <c r="AA255" s="655" t="str">
        <f t="shared" si="33"/>
        <v>5600311351526121EU</v>
      </c>
      <c r="AB255" s="638"/>
      <c r="AC255" s="638"/>
      <c r="AD255" s="638"/>
      <c r="AE255" s="638"/>
      <c r="AF255" s="638"/>
    </row>
    <row r="256" spans="1:32" ht="12.75" outlineLevel="2">
      <c r="A256" s="639">
        <f t="shared" si="27"/>
        <v>254</v>
      </c>
      <c r="B256" s="658" t="s">
        <v>606</v>
      </c>
      <c r="C256" s="641" t="s">
        <v>867</v>
      </c>
      <c r="D256" s="641">
        <v>5177</v>
      </c>
      <c r="E256" s="641">
        <v>6121</v>
      </c>
      <c r="F256" s="659" t="s">
        <v>665</v>
      </c>
      <c r="G256" s="642" t="s">
        <v>884</v>
      </c>
      <c r="H256" s="641">
        <v>2013</v>
      </c>
      <c r="I256" s="641">
        <v>2015</v>
      </c>
      <c r="J256" s="660">
        <v>22124</v>
      </c>
      <c r="K256" s="660">
        <v>18167</v>
      </c>
      <c r="L256" s="660"/>
      <c r="M256" s="661">
        <v>3000</v>
      </c>
      <c r="N256" s="661">
        <v>1000</v>
      </c>
      <c r="O256" s="660"/>
      <c r="P256" s="647">
        <f t="shared" si="28"/>
        <v>0</v>
      </c>
      <c r="Q256" s="661">
        <v>3000</v>
      </c>
      <c r="R256" s="661"/>
      <c r="S256" s="662"/>
      <c r="T256" s="649" t="s">
        <v>609</v>
      </c>
      <c r="U256" s="669"/>
      <c r="V256" s="651">
        <f t="shared" si="30"/>
        <v>18124</v>
      </c>
      <c r="W256" s="652">
        <f>IF(AND(P256&lt;'[1]koment'!$F$1,N256&gt;='[1]koment'!$F$2),"Komentovat","")</f>
      </c>
      <c r="X256" s="653" t="e">
        <f t="shared" si="29"/>
        <v>#REF!</v>
      </c>
      <c r="Y256" s="651">
        <f t="shared" si="31"/>
        <v>5600</v>
      </c>
      <c r="Z256" s="654" t="str">
        <f t="shared" si="32"/>
        <v>ORG 5177 - Revitalizace sportovních ploch při MŠ a ZŠ v MČ Brno-Židenice</v>
      </c>
      <c r="AA256" s="655" t="str">
        <f t="shared" si="33"/>
        <v>5600311351776121EU</v>
      </c>
      <c r="AB256" s="638"/>
      <c r="AC256" s="638"/>
      <c r="AD256" s="638"/>
      <c r="AE256" s="638"/>
      <c r="AF256" s="638"/>
    </row>
    <row r="257" spans="1:32" ht="12.75" outlineLevel="2">
      <c r="A257" s="639">
        <f t="shared" si="27"/>
        <v>255</v>
      </c>
      <c r="B257" s="658" t="s">
        <v>606</v>
      </c>
      <c r="C257" s="641" t="s">
        <v>867</v>
      </c>
      <c r="D257" s="641">
        <v>5178</v>
      </c>
      <c r="E257" s="641">
        <v>6121</v>
      </c>
      <c r="F257" s="659" t="s">
        <v>665</v>
      </c>
      <c r="G257" s="642" t="s">
        <v>885</v>
      </c>
      <c r="H257" s="641">
        <v>2013</v>
      </c>
      <c r="I257" s="641">
        <v>2015</v>
      </c>
      <c r="J257" s="660">
        <v>6200</v>
      </c>
      <c r="K257" s="660">
        <v>5101</v>
      </c>
      <c r="L257" s="660"/>
      <c r="M257" s="661">
        <v>3000</v>
      </c>
      <c r="N257" s="661">
        <v>300</v>
      </c>
      <c r="O257" s="660"/>
      <c r="P257" s="647">
        <f t="shared" si="28"/>
        <v>0</v>
      </c>
      <c r="Q257" s="661">
        <v>3000</v>
      </c>
      <c r="R257" s="661"/>
      <c r="S257" s="662"/>
      <c r="T257" s="649" t="s">
        <v>609</v>
      </c>
      <c r="U257" s="669"/>
      <c r="V257" s="651">
        <f t="shared" si="30"/>
        <v>2900</v>
      </c>
      <c r="W257" s="652">
        <f>IF(AND(P257&lt;'[1]koment'!$F$1,N257&gt;='[1]koment'!$F$2),"Komentovat","")</f>
      </c>
      <c r="X257" s="653" t="e">
        <f t="shared" si="29"/>
        <v>#REF!</v>
      </c>
      <c r="Y257" s="651">
        <f t="shared" si="31"/>
        <v>5600</v>
      </c>
      <c r="Z257" s="654" t="str">
        <f t="shared" si="32"/>
        <v>ORG 5178 - ZŠ Vranovská - rekonstrukce hřiště</v>
      </c>
      <c r="AA257" s="655" t="str">
        <f t="shared" si="33"/>
        <v>5600311351786121EU</v>
      </c>
      <c r="AB257" s="638"/>
      <c r="AC257" s="638"/>
      <c r="AD257" s="638"/>
      <c r="AE257" s="638"/>
      <c r="AF257" s="638"/>
    </row>
    <row r="258" spans="1:32" ht="12.75" outlineLevel="2">
      <c r="A258" s="639">
        <f t="shared" si="27"/>
        <v>256</v>
      </c>
      <c r="B258" s="658" t="s">
        <v>606</v>
      </c>
      <c r="C258" s="641" t="s">
        <v>867</v>
      </c>
      <c r="D258" s="641">
        <v>5189</v>
      </c>
      <c r="E258" s="641">
        <v>6121</v>
      </c>
      <c r="F258" s="659" t="s">
        <v>665</v>
      </c>
      <c r="G258" s="642" t="s">
        <v>886</v>
      </c>
      <c r="H258" s="641">
        <v>2014</v>
      </c>
      <c r="I258" s="641">
        <v>2015</v>
      </c>
      <c r="J258" s="660">
        <v>18340</v>
      </c>
      <c r="K258" s="660">
        <v>9765</v>
      </c>
      <c r="L258" s="660"/>
      <c r="M258" s="661"/>
      <c r="N258" s="661">
        <v>800</v>
      </c>
      <c r="O258" s="660">
        <v>1</v>
      </c>
      <c r="P258" s="647">
        <f t="shared" si="28"/>
        <v>0.00125</v>
      </c>
      <c r="Q258" s="661">
        <v>10000</v>
      </c>
      <c r="R258" s="661"/>
      <c r="S258" s="662"/>
      <c r="T258" s="649" t="s">
        <v>609</v>
      </c>
      <c r="U258" s="669"/>
      <c r="V258" s="651">
        <f t="shared" si="30"/>
        <v>7540</v>
      </c>
      <c r="W258" s="652">
        <f>IF(AND(P258&lt;'[1]koment'!$F$1,N258&gt;='[1]koment'!$F$2),"Komentovat","")</f>
      </c>
      <c r="X258" s="653" t="e">
        <f t="shared" si="29"/>
        <v>#REF!</v>
      </c>
      <c r="Y258" s="651">
        <f t="shared" si="31"/>
        <v>5600</v>
      </c>
      <c r="Z258" s="654" t="str">
        <f t="shared" si="32"/>
        <v>ORG 5189 - Stavební úpravy ZŠ a MŠ JANA BROSKVY 388/3 a 139/1</v>
      </c>
      <c r="AA258" s="655" t="str">
        <f t="shared" si="33"/>
        <v>5600311351896121EU</v>
      </c>
      <c r="AB258" s="638"/>
      <c r="AC258" s="638"/>
      <c r="AD258" s="638"/>
      <c r="AE258" s="638"/>
      <c r="AF258" s="638"/>
    </row>
    <row r="259" spans="1:32" ht="12.75" outlineLevel="2">
      <c r="A259" s="639">
        <f t="shared" si="27"/>
        <v>257</v>
      </c>
      <c r="B259" s="658" t="s">
        <v>606</v>
      </c>
      <c r="C259" s="641" t="s">
        <v>867</v>
      </c>
      <c r="D259" s="641">
        <v>5195</v>
      </c>
      <c r="E259" s="641">
        <v>6121</v>
      </c>
      <c r="F259" s="659" t="s">
        <v>665</v>
      </c>
      <c r="G259" s="642" t="s">
        <v>887</v>
      </c>
      <c r="H259" s="641">
        <v>2014</v>
      </c>
      <c r="I259" s="641">
        <v>2015</v>
      </c>
      <c r="J259" s="660">
        <v>11560</v>
      </c>
      <c r="K259" s="660">
        <v>9545</v>
      </c>
      <c r="L259" s="660"/>
      <c r="M259" s="661"/>
      <c r="N259" s="661">
        <v>800</v>
      </c>
      <c r="O259" s="660">
        <v>1</v>
      </c>
      <c r="P259" s="647">
        <f t="shared" si="28"/>
        <v>0.00125</v>
      </c>
      <c r="Q259" s="661">
        <v>10000</v>
      </c>
      <c r="R259" s="661"/>
      <c r="S259" s="662"/>
      <c r="T259" s="649" t="s">
        <v>609</v>
      </c>
      <c r="U259" s="669"/>
      <c r="V259" s="651">
        <f t="shared" si="30"/>
        <v>760</v>
      </c>
      <c r="W259" s="652">
        <f>IF(AND(P259&lt;'[1]koment'!$F$1,N259&gt;='[1]koment'!$F$2),"Komentovat","")</f>
      </c>
      <c r="X259" s="653" t="e">
        <f t="shared" si="29"/>
        <v>#REF!</v>
      </c>
      <c r="Y259" s="651">
        <f t="shared" si="31"/>
        <v>5600</v>
      </c>
      <c r="Z259" s="654" t="str">
        <f t="shared" si="32"/>
        <v>ORG 5195 - Školní víceúčelové hřiště při ZŠ Otevřená</v>
      </c>
      <c r="AA259" s="655" t="str">
        <f t="shared" si="33"/>
        <v>5600311351956121EU</v>
      </c>
      <c r="AB259" s="638"/>
      <c r="AC259" s="638"/>
      <c r="AD259" s="638"/>
      <c r="AE259" s="638"/>
      <c r="AF259" s="638"/>
    </row>
    <row r="260" spans="1:32" ht="12.75" outlineLevel="2">
      <c r="A260" s="639">
        <f aca="true" t="shared" si="41" ref="A260:A323">ROW()-2</f>
        <v>258</v>
      </c>
      <c r="B260" s="640" t="s">
        <v>606</v>
      </c>
      <c r="C260" s="641" t="s">
        <v>867</v>
      </c>
      <c r="D260" s="642">
        <v>5201</v>
      </c>
      <c r="E260" s="641">
        <v>6121</v>
      </c>
      <c r="F260" s="659" t="s">
        <v>665</v>
      </c>
      <c r="G260" s="642" t="s">
        <v>888</v>
      </c>
      <c r="H260" s="642">
        <v>2014</v>
      </c>
      <c r="I260" s="642">
        <v>2015</v>
      </c>
      <c r="J260" s="644">
        <v>9616</v>
      </c>
      <c r="K260" s="644">
        <v>7726</v>
      </c>
      <c r="L260" s="645"/>
      <c r="M260" s="646"/>
      <c r="N260" s="646">
        <v>800</v>
      </c>
      <c r="O260" s="644"/>
      <c r="P260" s="647">
        <f aca="true" t="shared" si="42" ref="P260:P323">IF(N260&lt;=0," ",O260/N260)</f>
        <v>0</v>
      </c>
      <c r="Q260" s="646">
        <v>5000</v>
      </c>
      <c r="R260" s="646"/>
      <c r="S260" s="648"/>
      <c r="T260" s="649" t="s">
        <v>609</v>
      </c>
      <c r="U260" s="669"/>
      <c r="V260" s="651">
        <f t="shared" si="30"/>
        <v>3816</v>
      </c>
      <c r="W260" s="652">
        <f>IF(AND(P260&lt;'[1]koment'!$F$1,N260&gt;='[1]koment'!$F$2),"Komentovat","")</f>
      </c>
      <c r="X260" s="653" t="e">
        <f aca="true" t="shared" si="43" ref="X260:X271">IF(W260="Komentovat",X259+1,X259)</f>
        <v>#REF!</v>
      </c>
      <c r="Y260" s="651">
        <f t="shared" si="31"/>
        <v>5600</v>
      </c>
      <c r="Z260" s="654" t="str">
        <f t="shared" si="32"/>
        <v>ORG 5201 - Rekonstrukce víceúčelového hřiště v areálu ZŠ Arménská 21</v>
      </c>
      <c r="AA260" s="655" t="str">
        <f t="shared" si="33"/>
        <v>5600311352016121EU</v>
      </c>
      <c r="AB260" s="638"/>
      <c r="AC260" s="638"/>
      <c r="AD260" s="638"/>
      <c r="AE260" s="638"/>
      <c r="AF260" s="638"/>
    </row>
    <row r="261" spans="1:32" ht="12.75" outlineLevel="2">
      <c r="A261" s="639">
        <f t="shared" si="41"/>
        <v>259</v>
      </c>
      <c r="B261" s="640" t="s">
        <v>889</v>
      </c>
      <c r="C261" s="641" t="s">
        <v>867</v>
      </c>
      <c r="D261" s="642">
        <v>30078223</v>
      </c>
      <c r="E261" s="641"/>
      <c r="F261" s="643"/>
      <c r="G261" s="642" t="s">
        <v>890</v>
      </c>
      <c r="H261" s="642"/>
      <c r="I261" s="642"/>
      <c r="J261" s="644"/>
      <c r="K261" s="644"/>
      <c r="L261" s="645"/>
      <c r="M261" s="646"/>
      <c r="N261" s="646">
        <v>94</v>
      </c>
      <c r="O261" s="644">
        <v>94</v>
      </c>
      <c r="P261" s="647">
        <f t="shared" si="42"/>
        <v>1</v>
      </c>
      <c r="Q261" s="646"/>
      <c r="R261" s="646"/>
      <c r="S261" s="648"/>
      <c r="T261" s="649"/>
      <c r="U261" s="669"/>
      <c r="V261" s="651">
        <f t="shared" si="30"/>
        <v>0</v>
      </c>
      <c r="W261" s="652">
        <f>IF(AND(P261&lt;'[1]koment'!$F$1,N261&gt;='[1]koment'!$F$2),"Komentovat","")</f>
      </c>
      <c r="X261" s="653" t="e">
        <f t="shared" si="43"/>
        <v>#REF!</v>
      </c>
      <c r="Y261" s="651" t="str">
        <f t="shared" si="31"/>
        <v> </v>
      </c>
      <c r="Z261" s="654">
        <f t="shared" si="32"/>
        <v>0</v>
      </c>
      <c r="AA261" s="655" t="str">
        <f t="shared" si="33"/>
        <v>7400311330078223</v>
      </c>
      <c r="AB261" s="638"/>
      <c r="AC261" s="638"/>
      <c r="AD261" s="638"/>
      <c r="AE261" s="638"/>
      <c r="AF261" s="638"/>
    </row>
    <row r="262" spans="1:32" ht="12.75" outlineLevel="1">
      <c r="A262" s="639">
        <f t="shared" si="41"/>
        <v>260</v>
      </c>
      <c r="B262" s="640"/>
      <c r="C262" s="666" t="s">
        <v>891</v>
      </c>
      <c r="D262" s="642"/>
      <c r="E262" s="641"/>
      <c r="F262" s="643"/>
      <c r="G262" s="642"/>
      <c r="H262" s="642"/>
      <c r="I262" s="642"/>
      <c r="J262" s="644">
        <f aca="true" t="shared" si="44" ref="J262:O262">SUBTOTAL(9,J240:J261)</f>
        <v>387028</v>
      </c>
      <c r="K262" s="644">
        <f t="shared" si="44"/>
        <v>194386</v>
      </c>
      <c r="L262" s="645">
        <f t="shared" si="44"/>
        <v>35616</v>
      </c>
      <c r="M262" s="646">
        <f t="shared" si="44"/>
        <v>70030</v>
      </c>
      <c r="N262" s="646">
        <f t="shared" si="44"/>
        <v>199674</v>
      </c>
      <c r="O262" s="644">
        <f t="shared" si="44"/>
        <v>173204</v>
      </c>
      <c r="P262" s="647">
        <f t="shared" si="42"/>
        <v>0.8674339172851748</v>
      </c>
      <c r="Q262" s="646">
        <f>SUBTOTAL(9,Q240:Q261)</f>
        <v>53299</v>
      </c>
      <c r="R262" s="646">
        <f>SUBTOTAL(9,R240:R261)</f>
        <v>0</v>
      </c>
      <c r="S262" s="648">
        <f>SUBTOTAL(9,S240:S261)</f>
        <v>0</v>
      </c>
      <c r="T262" s="649"/>
      <c r="U262" s="669"/>
      <c r="V262" s="651"/>
      <c r="W262" s="652"/>
      <c r="X262" s="653"/>
      <c r="Y262" s="651" t="str">
        <f>IF($V262=0," ",IF(LEN($B262)=4,$B262*1,$B262))</f>
        <v> </v>
      </c>
      <c r="Z262" s="654">
        <f>IF($Y262=" ",0,"ORG "&amp;$D262&amp;" - "&amp;$G262)</f>
        <v>0</v>
      </c>
      <c r="AA262" s="655" t="str">
        <f>$B262&amp;LEFT($C262,4)&amp;$D262&amp;$E262&amp;$F262</f>
        <v>Celk</v>
      </c>
      <c r="AB262" s="638"/>
      <c r="AC262" s="638"/>
      <c r="AD262" s="638"/>
      <c r="AE262" s="638"/>
      <c r="AF262" s="638"/>
    </row>
    <row r="263" spans="1:32" ht="12.75" outlineLevel="2">
      <c r="A263" s="639">
        <f t="shared" si="41"/>
        <v>261</v>
      </c>
      <c r="B263" s="658" t="s">
        <v>861</v>
      </c>
      <c r="C263" s="641" t="s">
        <v>892</v>
      </c>
      <c r="D263" s="641">
        <v>3192</v>
      </c>
      <c r="E263" s="641">
        <v>6121</v>
      </c>
      <c r="F263" s="668">
        <v>41</v>
      </c>
      <c r="G263" s="642" t="s">
        <v>893</v>
      </c>
      <c r="H263" s="641"/>
      <c r="I263" s="641"/>
      <c r="J263" s="660"/>
      <c r="K263" s="660"/>
      <c r="L263" s="660"/>
      <c r="M263" s="661">
        <v>30000</v>
      </c>
      <c r="N263" s="661"/>
      <c r="O263" s="660"/>
      <c r="P263" s="647" t="str">
        <f t="shared" si="42"/>
        <v> </v>
      </c>
      <c r="Q263" s="661"/>
      <c r="R263" s="661"/>
      <c r="S263" s="662"/>
      <c r="T263" s="649" t="s">
        <v>863</v>
      </c>
      <c r="U263" s="669"/>
      <c r="V263" s="651">
        <f t="shared" si="30"/>
        <v>0</v>
      </c>
      <c r="W263" s="652">
        <f>IF(AND(P263&lt;'[1]koment'!$F$1,N263&gt;='[1]koment'!$F$2),"Komentovat","")</f>
      </c>
      <c r="X263" s="653" t="e">
        <f>IF(W263="Komentovat",X261+1,X261)</f>
        <v>#REF!</v>
      </c>
      <c r="Y263" s="651" t="str">
        <f t="shared" si="31"/>
        <v> </v>
      </c>
      <c r="Z263" s="654">
        <f t="shared" si="32"/>
        <v>0</v>
      </c>
      <c r="AA263" s="655" t="str">
        <f t="shared" si="33"/>
        <v>670031193192612141</v>
      </c>
      <c r="AB263" s="638"/>
      <c r="AC263" s="638"/>
      <c r="AD263" s="638"/>
      <c r="AE263" s="638"/>
      <c r="AF263" s="638"/>
    </row>
    <row r="264" spans="1:32" ht="12.75" outlineLevel="1">
      <c r="A264" s="639">
        <f t="shared" si="41"/>
        <v>262</v>
      </c>
      <c r="B264" s="658"/>
      <c r="C264" s="666" t="s">
        <v>894</v>
      </c>
      <c r="D264" s="641"/>
      <c r="E264" s="641"/>
      <c r="F264" s="668"/>
      <c r="G264" s="642"/>
      <c r="H264" s="641"/>
      <c r="I264" s="641"/>
      <c r="J264" s="660">
        <f aca="true" t="shared" si="45" ref="J264:O264">SUBTOTAL(9,J263:J263)</f>
        <v>0</v>
      </c>
      <c r="K264" s="660">
        <f t="shared" si="45"/>
        <v>0</v>
      </c>
      <c r="L264" s="660">
        <f t="shared" si="45"/>
        <v>0</v>
      </c>
      <c r="M264" s="661">
        <f t="shared" si="45"/>
        <v>30000</v>
      </c>
      <c r="N264" s="661">
        <f t="shared" si="45"/>
        <v>0</v>
      </c>
      <c r="O264" s="660">
        <f t="shared" si="45"/>
        <v>0</v>
      </c>
      <c r="P264" s="647" t="str">
        <f t="shared" si="42"/>
        <v> </v>
      </c>
      <c r="Q264" s="661">
        <f>SUBTOTAL(9,Q263:Q263)</f>
        <v>0</v>
      </c>
      <c r="R264" s="661">
        <f>SUBTOTAL(9,R263:R263)</f>
        <v>0</v>
      </c>
      <c r="S264" s="662">
        <f>SUBTOTAL(9,S263:S263)</f>
        <v>0</v>
      </c>
      <c r="T264" s="649"/>
      <c r="U264" s="669"/>
      <c r="V264" s="651"/>
      <c r="W264" s="652"/>
      <c r="X264" s="653"/>
      <c r="Y264" s="651" t="str">
        <f>IF($V264=0," ",IF(LEN($B264)=4,$B264*1,$B264))</f>
        <v> </v>
      </c>
      <c r="Z264" s="654">
        <f>IF($Y264=" ",0,"ORG "&amp;$D264&amp;" - "&amp;$G264)</f>
        <v>0</v>
      </c>
      <c r="AA264" s="655" t="str">
        <f>$B264&amp;LEFT($C264,4)&amp;$D264&amp;$E264&amp;$F264</f>
        <v>Celk</v>
      </c>
      <c r="AB264" s="638"/>
      <c r="AC264" s="638"/>
      <c r="AD264" s="638"/>
      <c r="AE264" s="638"/>
      <c r="AF264" s="638"/>
    </row>
    <row r="265" spans="1:32" ht="12.75" outlineLevel="2">
      <c r="A265" s="639">
        <f t="shared" si="41"/>
        <v>263</v>
      </c>
      <c r="B265" s="663" t="s">
        <v>606</v>
      </c>
      <c r="C265" s="641" t="s">
        <v>895</v>
      </c>
      <c r="D265" s="641">
        <v>2855</v>
      </c>
      <c r="E265" s="641">
        <v>6121</v>
      </c>
      <c r="F265" s="649"/>
      <c r="G265" s="642" t="s">
        <v>896</v>
      </c>
      <c r="H265" s="641">
        <v>2013</v>
      </c>
      <c r="I265" s="641">
        <v>2017</v>
      </c>
      <c r="J265" s="660">
        <v>44100</v>
      </c>
      <c r="K265" s="660">
        <v>36799</v>
      </c>
      <c r="L265" s="660">
        <f>1200</f>
        <v>1200</v>
      </c>
      <c r="M265" s="661">
        <v>6101</v>
      </c>
      <c r="N265" s="661">
        <v>2827</v>
      </c>
      <c r="O265" s="660">
        <v>2827</v>
      </c>
      <c r="P265" s="647">
        <f t="shared" si="42"/>
        <v>1</v>
      </c>
      <c r="Q265" s="661">
        <v>3274</v>
      </c>
      <c r="R265" s="661"/>
      <c r="S265" s="662"/>
      <c r="T265" s="672" t="s">
        <v>897</v>
      </c>
      <c r="U265" s="669"/>
      <c r="V265" s="651">
        <f t="shared" si="30"/>
        <v>36799</v>
      </c>
      <c r="W265" s="652">
        <f>IF(AND(P265&lt;'[1]koment'!$F$1,N265&gt;='[1]koment'!$F$2),"Komentovat","")</f>
      </c>
      <c r="X265" s="653" t="e">
        <f>IF(W265="Komentovat",X263+1,X263)</f>
        <v>#REF!</v>
      </c>
      <c r="Y265" s="651">
        <f t="shared" si="31"/>
        <v>5600</v>
      </c>
      <c r="Z265" s="654" t="str">
        <f t="shared" si="32"/>
        <v>ORG 2855 - Městské divadlo Brno - přístavba dílen a skladů</v>
      </c>
      <c r="AA265" s="655" t="str">
        <f t="shared" si="33"/>
        <v>5600331128556121</v>
      </c>
      <c r="AB265" s="638"/>
      <c r="AC265" s="638"/>
      <c r="AD265" s="638"/>
      <c r="AE265" s="638"/>
      <c r="AF265" s="638"/>
    </row>
    <row r="266" spans="1:32" ht="12.75" outlineLevel="2">
      <c r="A266" s="639">
        <f t="shared" si="41"/>
        <v>264</v>
      </c>
      <c r="B266" s="663">
        <v>5600</v>
      </c>
      <c r="C266" s="641" t="s">
        <v>895</v>
      </c>
      <c r="D266" s="641">
        <v>2948</v>
      </c>
      <c r="E266" s="641">
        <v>6121</v>
      </c>
      <c r="F266" s="649"/>
      <c r="G266" s="642" t="s">
        <v>898</v>
      </c>
      <c r="H266" s="641">
        <v>2011</v>
      </c>
      <c r="I266" s="641">
        <v>2014</v>
      </c>
      <c r="J266" s="660">
        <v>4050</v>
      </c>
      <c r="K266" s="660"/>
      <c r="L266" s="660">
        <f>474</f>
        <v>474</v>
      </c>
      <c r="M266" s="661">
        <v>3576</v>
      </c>
      <c r="N266" s="661">
        <v>2000</v>
      </c>
      <c r="O266" s="660">
        <v>2000</v>
      </c>
      <c r="P266" s="647">
        <f t="shared" si="42"/>
        <v>1</v>
      </c>
      <c r="Q266" s="661"/>
      <c r="R266" s="661"/>
      <c r="S266" s="662"/>
      <c r="T266" s="672" t="s">
        <v>897</v>
      </c>
      <c r="U266" s="669"/>
      <c r="V266" s="651">
        <f t="shared" si="30"/>
        <v>1576</v>
      </c>
      <c r="W266" s="652">
        <f>IF(AND(P266&lt;'[1]koment'!$F$1,N266&gt;='[1]koment'!$F$2),"Komentovat","")</f>
      </c>
      <c r="X266" s="653" t="e">
        <f t="shared" si="43"/>
        <v>#REF!</v>
      </c>
      <c r="Y266" s="651">
        <f t="shared" si="31"/>
        <v>5600</v>
      </c>
      <c r="Z266" s="654" t="str">
        <f t="shared" si="32"/>
        <v>ORG 2948 - Vodorovná kanalizace Lidická 18 MD Brno</v>
      </c>
      <c r="AA266" s="655" t="str">
        <f t="shared" si="33"/>
        <v>5600331129486121</v>
      </c>
      <c r="AB266" s="638"/>
      <c r="AC266" s="638"/>
      <c r="AD266" s="638"/>
      <c r="AE266" s="638"/>
      <c r="AF266" s="638"/>
    </row>
    <row r="267" spans="1:32" ht="12.75" outlineLevel="2">
      <c r="A267" s="639">
        <f t="shared" si="41"/>
        <v>265</v>
      </c>
      <c r="B267" s="658" t="s">
        <v>606</v>
      </c>
      <c r="C267" s="641" t="s">
        <v>895</v>
      </c>
      <c r="D267" s="641">
        <v>4534</v>
      </c>
      <c r="E267" s="641">
        <v>6121</v>
      </c>
      <c r="F267" s="649"/>
      <c r="G267" s="642" t="s">
        <v>899</v>
      </c>
      <c r="H267" s="665">
        <v>2002</v>
      </c>
      <c r="I267" s="663" t="s">
        <v>900</v>
      </c>
      <c r="J267" s="660">
        <v>1106000</v>
      </c>
      <c r="K267" s="660"/>
      <c r="L267" s="660">
        <f>362971+38933+868+9993</f>
        <v>412765</v>
      </c>
      <c r="M267" s="661">
        <v>1200</v>
      </c>
      <c r="N267" s="661">
        <v>1106</v>
      </c>
      <c r="O267" s="660">
        <v>1056</v>
      </c>
      <c r="P267" s="647">
        <f t="shared" si="42"/>
        <v>0.9547920433996383</v>
      </c>
      <c r="Q267" s="661"/>
      <c r="R267" s="661"/>
      <c r="S267" s="662">
        <v>642228</v>
      </c>
      <c r="T267" s="649" t="s">
        <v>609</v>
      </c>
      <c r="U267" s="669"/>
      <c r="V267" s="651">
        <f t="shared" si="30"/>
        <v>49901</v>
      </c>
      <c r="W267" s="652">
        <f>IF(AND(P267&lt;'[1]koment'!$F$1,N267&gt;='[1]koment'!$F$2),"Komentovat","")</f>
      </c>
      <c r="X267" s="653" t="e">
        <f t="shared" si="43"/>
        <v>#REF!</v>
      </c>
      <c r="Y267" s="651">
        <f t="shared" si="31"/>
        <v>5600</v>
      </c>
      <c r="Z267" s="654" t="str">
        <f t="shared" si="32"/>
        <v>ORG 4534 - Rek. a dobudování Janáčkova divadla</v>
      </c>
      <c r="AA267" s="655" t="str">
        <f t="shared" si="33"/>
        <v>5600331145346121</v>
      </c>
      <c r="AB267" s="638"/>
      <c r="AC267" s="638"/>
      <c r="AD267" s="638"/>
      <c r="AE267" s="638"/>
      <c r="AF267" s="638"/>
    </row>
    <row r="268" spans="1:32" ht="12.75" outlineLevel="1">
      <c r="A268" s="639">
        <f t="shared" si="41"/>
        <v>266</v>
      </c>
      <c r="B268" s="658"/>
      <c r="C268" s="666" t="s">
        <v>901</v>
      </c>
      <c r="D268" s="641"/>
      <c r="E268" s="641"/>
      <c r="F268" s="649"/>
      <c r="G268" s="642"/>
      <c r="H268" s="665"/>
      <c r="I268" s="663"/>
      <c r="J268" s="660">
        <f aca="true" t="shared" si="46" ref="J268:O268">SUBTOTAL(9,J265:J267)</f>
        <v>1154150</v>
      </c>
      <c r="K268" s="660">
        <f t="shared" si="46"/>
        <v>36799</v>
      </c>
      <c r="L268" s="660">
        <f t="shared" si="46"/>
        <v>414439</v>
      </c>
      <c r="M268" s="661">
        <f t="shared" si="46"/>
        <v>10877</v>
      </c>
      <c r="N268" s="661">
        <f t="shared" si="46"/>
        <v>5933</v>
      </c>
      <c r="O268" s="660">
        <f t="shared" si="46"/>
        <v>5883</v>
      </c>
      <c r="P268" s="647">
        <f t="shared" si="42"/>
        <v>0.9915725602561941</v>
      </c>
      <c r="Q268" s="661">
        <f>SUBTOTAL(9,Q265:Q267)</f>
        <v>3274</v>
      </c>
      <c r="R268" s="661">
        <f>SUBTOTAL(9,R265:R267)</f>
        <v>0</v>
      </c>
      <c r="S268" s="662">
        <f>SUBTOTAL(9,S265:S267)</f>
        <v>642228</v>
      </c>
      <c r="T268" s="649"/>
      <c r="U268" s="669"/>
      <c r="V268" s="651"/>
      <c r="W268" s="652"/>
      <c r="X268" s="653"/>
      <c r="Y268" s="651" t="str">
        <f>IF($V268=0," ",IF(LEN($B268)=4,$B268*1,$B268))</f>
        <v> </v>
      </c>
      <c r="Z268" s="654">
        <f>IF($Y268=" ",0,"ORG "&amp;$D268&amp;" - "&amp;$G268)</f>
        <v>0</v>
      </c>
      <c r="AA268" s="655" t="str">
        <f>$B268&amp;LEFT($C268,4)&amp;$D268&amp;$E268&amp;$F268</f>
        <v>Celk</v>
      </c>
      <c r="AB268" s="638"/>
      <c r="AC268" s="638"/>
      <c r="AD268" s="638"/>
      <c r="AE268" s="638"/>
      <c r="AF268" s="638"/>
    </row>
    <row r="269" spans="1:32" ht="12.75" outlineLevel="2">
      <c r="A269" s="639">
        <f t="shared" si="41"/>
        <v>267</v>
      </c>
      <c r="B269" s="658" t="s">
        <v>606</v>
      </c>
      <c r="C269" s="641" t="s">
        <v>902</v>
      </c>
      <c r="D269" s="641">
        <v>4541</v>
      </c>
      <c r="E269" s="641">
        <v>6121</v>
      </c>
      <c r="F269" s="649"/>
      <c r="G269" s="642" t="s">
        <v>903</v>
      </c>
      <c r="H269" s="665">
        <v>2001</v>
      </c>
      <c r="I269" s="641">
        <v>2020</v>
      </c>
      <c r="J269" s="660">
        <v>1284998</v>
      </c>
      <c r="K269" s="660"/>
      <c r="L269" s="660">
        <v>13245</v>
      </c>
      <c r="M269" s="661"/>
      <c r="N269" s="661"/>
      <c r="O269" s="660"/>
      <c r="P269" s="647" t="str">
        <f t="shared" si="42"/>
        <v> </v>
      </c>
      <c r="Q269" s="661"/>
      <c r="R269" s="661"/>
      <c r="S269" s="662">
        <v>1271753</v>
      </c>
      <c r="T269" s="649" t="s">
        <v>904</v>
      </c>
      <c r="U269" s="669"/>
      <c r="V269" s="651">
        <f t="shared" si="30"/>
        <v>0</v>
      </c>
      <c r="W269" s="652">
        <f>IF(AND(P269&lt;'[1]koment'!$F$1,N269&gt;='[1]koment'!$F$2),"Komentovat","")</f>
      </c>
      <c r="X269" s="653" t="e">
        <f>IF(W269="Komentovat",X267+1,X267)</f>
        <v>#REF!</v>
      </c>
      <c r="Y269" s="651" t="str">
        <f t="shared" si="31"/>
        <v> </v>
      </c>
      <c r="Z269" s="654">
        <f t="shared" si="32"/>
        <v>0</v>
      </c>
      <c r="AA269" s="655" t="str">
        <f t="shared" si="33"/>
        <v>5600331245416121</v>
      </c>
      <c r="AB269" s="638"/>
      <c r="AC269" s="638"/>
      <c r="AD269" s="638"/>
      <c r="AE269" s="638"/>
      <c r="AF269" s="638"/>
    </row>
    <row r="270" spans="1:32" ht="12.75" outlineLevel="2">
      <c r="A270" s="639">
        <f t="shared" si="41"/>
        <v>268</v>
      </c>
      <c r="B270" s="658" t="s">
        <v>235</v>
      </c>
      <c r="C270" s="641" t="s">
        <v>902</v>
      </c>
      <c r="D270" s="641">
        <v>5143</v>
      </c>
      <c r="E270" s="641">
        <v>6429</v>
      </c>
      <c r="F270" s="659" t="s">
        <v>665</v>
      </c>
      <c r="G270" s="642" t="s">
        <v>905</v>
      </c>
      <c r="H270" s="641">
        <v>2012</v>
      </c>
      <c r="I270" s="641">
        <v>2014</v>
      </c>
      <c r="J270" s="660">
        <v>8500</v>
      </c>
      <c r="K270" s="660"/>
      <c r="L270" s="660">
        <f>2300+6200</f>
        <v>8500</v>
      </c>
      <c r="M270" s="661"/>
      <c r="N270" s="661"/>
      <c r="O270" s="660"/>
      <c r="P270" s="647" t="str">
        <f t="shared" si="42"/>
        <v> </v>
      </c>
      <c r="Q270" s="661"/>
      <c r="R270" s="661"/>
      <c r="S270" s="662"/>
      <c r="T270" s="649" t="s">
        <v>877</v>
      </c>
      <c r="U270" s="669"/>
      <c r="V270" s="651">
        <f t="shared" si="30"/>
        <v>0</v>
      </c>
      <c r="W270" s="652">
        <f>IF(AND(P270&lt;'[1]koment'!$F$1,N270&gt;='[1]koment'!$F$2),"Komentovat","")</f>
      </c>
      <c r="X270" s="653" t="e">
        <f t="shared" si="43"/>
        <v>#REF!</v>
      </c>
      <c r="Y270" s="651" t="str">
        <f t="shared" si="31"/>
        <v> </v>
      </c>
      <c r="Z270" s="654">
        <f t="shared" si="32"/>
        <v>0</v>
      </c>
      <c r="AA270" s="655" t="str">
        <f t="shared" si="33"/>
        <v>4100331251436429EU</v>
      </c>
      <c r="AB270" s="638"/>
      <c r="AC270" s="638"/>
      <c r="AD270" s="638"/>
      <c r="AE270" s="638"/>
      <c r="AF270" s="638"/>
    </row>
    <row r="271" spans="1:32" ht="12.75" outlineLevel="2">
      <c r="A271" s="639">
        <f t="shared" si="41"/>
        <v>269</v>
      </c>
      <c r="B271" s="658" t="s">
        <v>906</v>
      </c>
      <c r="C271" s="641" t="s">
        <v>902</v>
      </c>
      <c r="D271" s="641">
        <v>30069129</v>
      </c>
      <c r="E271" s="641">
        <v>6351</v>
      </c>
      <c r="F271" s="659"/>
      <c r="G271" s="642" t="s">
        <v>907</v>
      </c>
      <c r="H271" s="641"/>
      <c r="I271" s="641"/>
      <c r="J271" s="660"/>
      <c r="K271" s="660"/>
      <c r="L271" s="660"/>
      <c r="M271" s="661">
        <v>3000</v>
      </c>
      <c r="N271" s="661">
        <v>3000</v>
      </c>
      <c r="O271" s="660">
        <v>3000</v>
      </c>
      <c r="P271" s="647">
        <f t="shared" si="42"/>
        <v>1</v>
      </c>
      <c r="Q271" s="661"/>
      <c r="R271" s="661"/>
      <c r="S271" s="662"/>
      <c r="T271" s="649" t="s">
        <v>908</v>
      </c>
      <c r="U271" s="669"/>
      <c r="V271" s="651">
        <f t="shared" si="30"/>
        <v>0</v>
      </c>
      <c r="W271" s="652">
        <f>IF(AND(P271&lt;'[1]koment'!$F$1,N271&gt;='[1]koment'!$F$2),"Komentovat","")</f>
      </c>
      <c r="X271" s="653" t="e">
        <f t="shared" si="43"/>
        <v>#REF!</v>
      </c>
      <c r="Y271" s="651" t="str">
        <f t="shared" si="31"/>
        <v> </v>
      </c>
      <c r="Z271" s="654">
        <f t="shared" si="32"/>
        <v>0</v>
      </c>
      <c r="AA271" s="655" t="str">
        <f t="shared" si="33"/>
        <v>73003312300691296351</v>
      </c>
      <c r="AB271" s="638"/>
      <c r="AC271" s="638"/>
      <c r="AD271" s="638"/>
      <c r="AE271" s="638"/>
      <c r="AF271" s="638"/>
    </row>
    <row r="272" spans="1:32" ht="12.75" outlineLevel="1">
      <c r="A272" s="639">
        <f t="shared" si="41"/>
        <v>270</v>
      </c>
      <c r="B272" s="658"/>
      <c r="C272" s="666" t="s">
        <v>909</v>
      </c>
      <c r="D272" s="641"/>
      <c r="E272" s="641"/>
      <c r="F272" s="659"/>
      <c r="G272" s="642"/>
      <c r="H272" s="641"/>
      <c r="I272" s="641"/>
      <c r="J272" s="660">
        <f aca="true" t="shared" si="47" ref="J272:O272">SUBTOTAL(9,J269:J271)</f>
        <v>1293498</v>
      </c>
      <c r="K272" s="660">
        <f t="shared" si="47"/>
        <v>0</v>
      </c>
      <c r="L272" s="660">
        <f t="shared" si="47"/>
        <v>21745</v>
      </c>
      <c r="M272" s="661">
        <f t="shared" si="47"/>
        <v>3000</v>
      </c>
      <c r="N272" s="661">
        <f t="shared" si="47"/>
        <v>3000</v>
      </c>
      <c r="O272" s="660">
        <f t="shared" si="47"/>
        <v>3000</v>
      </c>
      <c r="P272" s="647">
        <f t="shared" si="42"/>
        <v>1</v>
      </c>
      <c r="Q272" s="661">
        <f>SUBTOTAL(9,Q269:Q271)</f>
        <v>0</v>
      </c>
      <c r="R272" s="661">
        <f>SUBTOTAL(9,R269:R271)</f>
        <v>0</v>
      </c>
      <c r="S272" s="662">
        <f>SUBTOTAL(9,S269:S271)</f>
        <v>1271753</v>
      </c>
      <c r="T272" s="649"/>
      <c r="U272" s="669"/>
      <c r="V272" s="651"/>
      <c r="W272" s="652"/>
      <c r="X272" s="653"/>
      <c r="Y272" s="651" t="str">
        <f>IF($V272=0," ",IF(LEN($B272)=4,$B272*1,$B272))</f>
        <v> </v>
      </c>
      <c r="Z272" s="654">
        <f>IF($Y272=" ",0,"ORG "&amp;$D272&amp;" - "&amp;$G272)</f>
        <v>0</v>
      </c>
      <c r="AA272" s="655" t="str">
        <f>$B272&amp;LEFT($C272,4)&amp;$D272&amp;$E272&amp;$F272</f>
        <v>Celk</v>
      </c>
      <c r="AB272" s="638"/>
      <c r="AC272" s="638"/>
      <c r="AD272" s="638"/>
      <c r="AE272" s="638"/>
      <c r="AF272" s="638"/>
    </row>
    <row r="273" spans="1:32" ht="12.75" outlineLevel="2">
      <c r="A273" s="639">
        <f t="shared" si="41"/>
        <v>271</v>
      </c>
      <c r="B273" s="658" t="s">
        <v>606</v>
      </c>
      <c r="C273" s="641" t="s">
        <v>910</v>
      </c>
      <c r="D273" s="641">
        <v>5119</v>
      </c>
      <c r="E273" s="641">
        <v>6121</v>
      </c>
      <c r="F273" s="659" t="s">
        <v>665</v>
      </c>
      <c r="G273" s="642" t="s">
        <v>911</v>
      </c>
      <c r="H273" s="665">
        <v>2010</v>
      </c>
      <c r="I273" s="641">
        <v>2014</v>
      </c>
      <c r="J273" s="660">
        <v>25786</v>
      </c>
      <c r="K273" s="660">
        <v>17379</v>
      </c>
      <c r="L273" s="660">
        <f>1899+478</f>
        <v>2377</v>
      </c>
      <c r="M273" s="661">
        <v>10000</v>
      </c>
      <c r="N273" s="661">
        <v>23000</v>
      </c>
      <c r="O273" s="660">
        <v>21649</v>
      </c>
      <c r="P273" s="647">
        <f t="shared" si="42"/>
        <v>0.9412608695652174</v>
      </c>
      <c r="Q273" s="661"/>
      <c r="R273" s="661"/>
      <c r="S273" s="662"/>
      <c r="T273" s="649" t="s">
        <v>609</v>
      </c>
      <c r="U273" s="669"/>
      <c r="V273" s="651">
        <f aca="true" t="shared" si="48" ref="V273:V349">IF(LEN($D273)=4,(J273-L273-N273-Q273-R273-S273),0)</f>
        <v>409</v>
      </c>
      <c r="W273" s="652">
        <f>IF(AND(P273&lt;'[1]koment'!$F$1,N273&gt;='[1]koment'!$F$2),"Komentovat","")</f>
      </c>
      <c r="X273" s="653" t="e">
        <f>IF(W273="Komentovat",X271+1,X271)</f>
        <v>#REF!</v>
      </c>
      <c r="Y273" s="651">
        <f aca="true" t="shared" si="49" ref="Y273:Y349">IF($V273=0," ",IF(LEN($B273)=4,$B273*1,$B273))</f>
        <v>5600</v>
      </c>
      <c r="Z273" s="654" t="str">
        <f aca="true" t="shared" si="50" ref="Z273:Z349">IF($Y273=" ",0,"ORG "&amp;$D273&amp;" - "&amp;$G273)</f>
        <v>ORG 5119 - Knihovna pro město</v>
      </c>
      <c r="AA273" s="655" t="str">
        <f aca="true" t="shared" si="51" ref="AA273:AA349">$B273&amp;LEFT($C273,4)&amp;$D273&amp;$E273&amp;$F273</f>
        <v>5600331451196121EU</v>
      </c>
      <c r="AB273" s="638"/>
      <c r="AC273" s="638"/>
      <c r="AD273" s="638"/>
      <c r="AE273" s="638"/>
      <c r="AF273" s="638"/>
    </row>
    <row r="274" spans="1:32" ht="12.75" outlineLevel="1">
      <c r="A274" s="639">
        <f t="shared" si="41"/>
        <v>272</v>
      </c>
      <c r="B274" s="658"/>
      <c r="C274" s="666" t="s">
        <v>912</v>
      </c>
      <c r="D274" s="641"/>
      <c r="E274" s="641"/>
      <c r="F274" s="659"/>
      <c r="G274" s="642"/>
      <c r="H274" s="665"/>
      <c r="I274" s="641"/>
      <c r="J274" s="660">
        <f aca="true" t="shared" si="52" ref="J274:O274">SUBTOTAL(9,J273:J273)</f>
        <v>25786</v>
      </c>
      <c r="K274" s="660">
        <f t="shared" si="52"/>
        <v>17379</v>
      </c>
      <c r="L274" s="660">
        <f t="shared" si="52"/>
        <v>2377</v>
      </c>
      <c r="M274" s="661">
        <f t="shared" si="52"/>
        <v>10000</v>
      </c>
      <c r="N274" s="661">
        <f t="shared" si="52"/>
        <v>23000</v>
      </c>
      <c r="O274" s="660">
        <f t="shared" si="52"/>
        <v>21649</v>
      </c>
      <c r="P274" s="647">
        <f t="shared" si="42"/>
        <v>0.9412608695652174</v>
      </c>
      <c r="Q274" s="661">
        <f>SUBTOTAL(9,Q273:Q273)</f>
        <v>0</v>
      </c>
      <c r="R274" s="661">
        <f>SUBTOTAL(9,R273:R273)</f>
        <v>0</v>
      </c>
      <c r="S274" s="662">
        <f>SUBTOTAL(9,S273:S273)</f>
        <v>0</v>
      </c>
      <c r="T274" s="649"/>
      <c r="U274" s="669"/>
      <c r="V274" s="651"/>
      <c r="W274" s="652"/>
      <c r="X274" s="653"/>
      <c r="Y274" s="651" t="str">
        <f>IF($V274=0," ",IF(LEN($B274)=4,$B274*1,$B274))</f>
        <v> </v>
      </c>
      <c r="Z274" s="654">
        <f>IF($Y274=" ",0,"ORG "&amp;$D274&amp;" - "&amp;$G274)</f>
        <v>0</v>
      </c>
      <c r="AA274" s="655" t="str">
        <f>$B274&amp;LEFT($C274,4)&amp;$D274&amp;$E274&amp;$F274</f>
        <v>Celk</v>
      </c>
      <c r="AB274" s="638"/>
      <c r="AC274" s="638"/>
      <c r="AD274" s="638"/>
      <c r="AE274" s="638"/>
      <c r="AF274" s="638"/>
    </row>
    <row r="275" spans="1:32" ht="12.75" outlineLevel="2">
      <c r="A275" s="639">
        <f t="shared" si="41"/>
        <v>273</v>
      </c>
      <c r="B275" s="663">
        <v>5600</v>
      </c>
      <c r="C275" s="641" t="s">
        <v>913</v>
      </c>
      <c r="D275" s="641">
        <v>2938</v>
      </c>
      <c r="E275" s="641">
        <v>6121</v>
      </c>
      <c r="F275" s="649"/>
      <c r="G275" s="642" t="s">
        <v>914</v>
      </c>
      <c r="H275" s="641">
        <v>2011</v>
      </c>
      <c r="I275" s="641">
        <v>2013</v>
      </c>
      <c r="J275" s="660">
        <v>5800</v>
      </c>
      <c r="K275" s="660"/>
      <c r="L275" s="660">
        <f>1327+2285+367</f>
        <v>3979</v>
      </c>
      <c r="M275" s="661"/>
      <c r="N275" s="661"/>
      <c r="O275" s="660"/>
      <c r="P275" s="647" t="str">
        <f t="shared" si="42"/>
        <v> </v>
      </c>
      <c r="Q275" s="661"/>
      <c r="R275" s="661"/>
      <c r="S275" s="662"/>
      <c r="T275" s="649" t="s">
        <v>609</v>
      </c>
      <c r="U275" s="669"/>
      <c r="V275" s="651">
        <f t="shared" si="48"/>
        <v>1821</v>
      </c>
      <c r="W275" s="652">
        <f>IF(AND(P275&lt;'[1]koment'!$F$1,N275&gt;='[1]koment'!$F$2),"Komentovat","")</f>
      </c>
      <c r="X275" s="653" t="e">
        <f>IF(W275="Komentovat",X273+1,X273)</f>
        <v>#REF!</v>
      </c>
      <c r="Y275" s="651">
        <f t="shared" si="49"/>
        <v>5600</v>
      </c>
      <c r="Z275" s="654" t="str">
        <f t="shared" si="50"/>
        <v>ORG 2938 - Vila Tugendhat - rek. přípojky kanalizace</v>
      </c>
      <c r="AA275" s="655" t="str">
        <f t="shared" si="51"/>
        <v>5600331529386121</v>
      </c>
      <c r="AB275" s="638"/>
      <c r="AC275" s="638"/>
      <c r="AD275" s="638"/>
      <c r="AE275" s="638"/>
      <c r="AF275" s="638"/>
    </row>
    <row r="276" spans="1:32" ht="12.75" outlineLevel="1">
      <c r="A276" s="639">
        <f t="shared" si="41"/>
        <v>274</v>
      </c>
      <c r="B276" s="663"/>
      <c r="C276" s="666" t="s">
        <v>915</v>
      </c>
      <c r="D276" s="641"/>
      <c r="E276" s="641"/>
      <c r="F276" s="649"/>
      <c r="G276" s="642"/>
      <c r="H276" s="641"/>
      <c r="I276" s="641"/>
      <c r="J276" s="660">
        <f aca="true" t="shared" si="53" ref="J276:O276">SUBTOTAL(9,J275:J275)</f>
        <v>5800</v>
      </c>
      <c r="K276" s="660">
        <f t="shared" si="53"/>
        <v>0</v>
      </c>
      <c r="L276" s="660">
        <f t="shared" si="53"/>
        <v>3979</v>
      </c>
      <c r="M276" s="661">
        <f t="shared" si="53"/>
        <v>0</v>
      </c>
      <c r="N276" s="661">
        <f t="shared" si="53"/>
        <v>0</v>
      </c>
      <c r="O276" s="660">
        <f t="shared" si="53"/>
        <v>0</v>
      </c>
      <c r="P276" s="647" t="str">
        <f t="shared" si="42"/>
        <v> </v>
      </c>
      <c r="Q276" s="661">
        <f>SUBTOTAL(9,Q275:Q275)</f>
        <v>0</v>
      </c>
      <c r="R276" s="661">
        <f>SUBTOTAL(9,R275:R275)</f>
        <v>0</v>
      </c>
      <c r="S276" s="662">
        <f>SUBTOTAL(9,S275:S275)</f>
        <v>0</v>
      </c>
      <c r="T276" s="649"/>
      <c r="U276" s="669"/>
      <c r="V276" s="651"/>
      <c r="W276" s="652"/>
      <c r="X276" s="653"/>
      <c r="Y276" s="651" t="str">
        <f>IF($V276=0," ",IF(LEN($B276)=4,$B276*1,$B276))</f>
        <v> </v>
      </c>
      <c r="Z276" s="654">
        <f>IF($Y276=" ",0,"ORG "&amp;$D276&amp;" - "&amp;$G276)</f>
        <v>0</v>
      </c>
      <c r="AA276" s="655" t="str">
        <f>$B276&amp;LEFT($C276,4)&amp;$D276&amp;$E276&amp;$F276</f>
        <v>Celk</v>
      </c>
      <c r="AB276" s="638"/>
      <c r="AC276" s="638"/>
      <c r="AD276" s="638"/>
      <c r="AE276" s="638"/>
      <c r="AF276" s="638"/>
    </row>
    <row r="277" spans="1:32" ht="12.75" outlineLevel="2">
      <c r="A277" s="639">
        <f t="shared" si="41"/>
        <v>275</v>
      </c>
      <c r="B277" s="658" t="s">
        <v>606</v>
      </c>
      <c r="C277" s="641" t="s">
        <v>916</v>
      </c>
      <c r="D277" s="641">
        <v>2878</v>
      </c>
      <c r="E277" s="641">
        <v>6122</v>
      </c>
      <c r="F277" s="659"/>
      <c r="G277" s="642" t="s">
        <v>917</v>
      </c>
      <c r="H277" s="641">
        <v>2013</v>
      </c>
      <c r="I277" s="641">
        <v>2013</v>
      </c>
      <c r="J277" s="660">
        <v>50520</v>
      </c>
      <c r="K277" s="660">
        <v>49959</v>
      </c>
      <c r="L277" s="660">
        <f>50088</f>
        <v>50088</v>
      </c>
      <c r="M277" s="661"/>
      <c r="N277" s="661"/>
      <c r="O277" s="660"/>
      <c r="P277" s="647" t="str">
        <f t="shared" si="42"/>
        <v> </v>
      </c>
      <c r="Q277" s="661"/>
      <c r="R277" s="661"/>
      <c r="S277" s="662"/>
      <c r="T277" s="649" t="s">
        <v>609</v>
      </c>
      <c r="U277" s="669"/>
      <c r="V277" s="651">
        <f t="shared" si="48"/>
        <v>432</v>
      </c>
      <c r="W277" s="652">
        <f>IF(AND(P277&lt;'[1]koment'!$F$1,N277&gt;='[1]koment'!$F$2),"Komentovat","")</f>
      </c>
      <c r="X277" s="653" t="e">
        <f>IF(W277="Komentovat",X275+1,X275)</f>
        <v>#REF!</v>
      </c>
      <c r="Y277" s="651">
        <f t="shared" si="49"/>
        <v>5600</v>
      </c>
      <c r="Z277" s="654" t="str">
        <f t="shared" si="50"/>
        <v>ORG 2878 - Přírodovědné digitárium - návštěvnické centrum</v>
      </c>
      <c r="AA277" s="655" t="str">
        <f t="shared" si="51"/>
        <v>5600331928786122</v>
      </c>
      <c r="AB277" s="638"/>
      <c r="AC277" s="638"/>
      <c r="AD277" s="638"/>
      <c r="AE277" s="638"/>
      <c r="AF277" s="638"/>
    </row>
    <row r="278" spans="1:32" ht="12.75" outlineLevel="2">
      <c r="A278" s="639">
        <f t="shared" si="41"/>
        <v>276</v>
      </c>
      <c r="B278" s="663">
        <v>7300</v>
      </c>
      <c r="C278" s="641" t="s">
        <v>916</v>
      </c>
      <c r="D278" s="641">
        <v>3132</v>
      </c>
      <c r="E278" s="641">
        <v>6127</v>
      </c>
      <c r="F278" s="649"/>
      <c r="G278" s="642" t="s">
        <v>918</v>
      </c>
      <c r="H278" s="665">
        <v>2008</v>
      </c>
      <c r="I278" s="665">
        <v>2014</v>
      </c>
      <c r="J278" s="660">
        <v>10750</v>
      </c>
      <c r="K278" s="660"/>
      <c r="L278" s="660">
        <f>1200+343+2864</f>
        <v>4407</v>
      </c>
      <c r="M278" s="661">
        <v>911</v>
      </c>
      <c r="N278" s="661">
        <v>911</v>
      </c>
      <c r="O278" s="660">
        <v>888</v>
      </c>
      <c r="P278" s="647">
        <f t="shared" si="42"/>
        <v>0.9747530186608123</v>
      </c>
      <c r="Q278" s="661">
        <v>3200</v>
      </c>
      <c r="R278" s="661"/>
      <c r="S278" s="662"/>
      <c r="T278" s="649" t="s">
        <v>919</v>
      </c>
      <c r="U278" s="669"/>
      <c r="V278" s="651">
        <f t="shared" si="48"/>
        <v>2232</v>
      </c>
      <c r="W278" s="652">
        <f>IF(AND(P278&lt;'[1]koment'!$F$1,N278&gt;='[1]koment'!$F$2),"Komentovat","")</f>
      </c>
      <c r="X278" s="653" t="e">
        <f aca="true" t="shared" si="54" ref="X278:X339">IF(W278="Komentovat",X277+1,X277)</f>
        <v>#REF!</v>
      </c>
      <c r="Y278" s="651">
        <f t="shared" si="49"/>
        <v>7300</v>
      </c>
      <c r="Z278" s="654" t="str">
        <f t="shared" si="50"/>
        <v>ORG 3132 - Jezdecká socha na Moravském náměstí</v>
      </c>
      <c r="AA278" s="655" t="str">
        <f t="shared" si="51"/>
        <v>7300331931326127</v>
      </c>
      <c r="AB278" s="638"/>
      <c r="AC278" s="638"/>
      <c r="AD278" s="638"/>
      <c r="AE278" s="638"/>
      <c r="AF278" s="638"/>
    </row>
    <row r="279" spans="1:32" ht="12.75" outlineLevel="2">
      <c r="A279" s="639">
        <f t="shared" si="41"/>
        <v>277</v>
      </c>
      <c r="B279" s="658" t="s">
        <v>606</v>
      </c>
      <c r="C279" s="641" t="s">
        <v>916</v>
      </c>
      <c r="D279" s="641">
        <v>5120</v>
      </c>
      <c r="E279" s="641">
        <v>6122</v>
      </c>
      <c r="F279" s="659" t="s">
        <v>665</v>
      </c>
      <c r="G279" s="642" t="s">
        <v>920</v>
      </c>
      <c r="H279" s="665">
        <v>2010</v>
      </c>
      <c r="I279" s="641">
        <v>2013</v>
      </c>
      <c r="J279" s="660">
        <v>266</v>
      </c>
      <c r="K279" s="660">
        <v>190</v>
      </c>
      <c r="L279" s="660">
        <f>265+4</f>
        <v>269</v>
      </c>
      <c r="M279" s="661"/>
      <c r="N279" s="661"/>
      <c r="O279" s="660"/>
      <c r="P279" s="647" t="str">
        <f t="shared" si="42"/>
        <v> </v>
      </c>
      <c r="Q279" s="661"/>
      <c r="R279" s="661"/>
      <c r="S279" s="662"/>
      <c r="T279" s="649" t="s">
        <v>609</v>
      </c>
      <c r="U279" s="669"/>
      <c r="V279" s="651">
        <f t="shared" si="48"/>
        <v>-3</v>
      </c>
      <c r="W279" s="652">
        <f>IF(AND(P279&lt;'[1]koment'!$F$1,N279&gt;='[1]koment'!$F$2),"Komentovat","")</f>
      </c>
      <c r="X279" s="653" t="e">
        <f t="shared" si="54"/>
        <v>#REF!</v>
      </c>
      <c r="Y279" s="651">
        <f t="shared" si="49"/>
        <v>5600</v>
      </c>
      <c r="Z279" s="654" t="str">
        <f t="shared" si="50"/>
        <v>ORG 5120 - Přírodovědné digitárium</v>
      </c>
      <c r="AA279" s="655" t="str">
        <f t="shared" si="51"/>
        <v>5600331951206122EU</v>
      </c>
      <c r="AB279" s="638"/>
      <c r="AC279" s="638"/>
      <c r="AD279" s="638"/>
      <c r="AE279" s="638"/>
      <c r="AF279" s="638"/>
    </row>
    <row r="280" spans="1:32" ht="12.75" outlineLevel="2">
      <c r="A280" s="639">
        <f t="shared" si="41"/>
        <v>278</v>
      </c>
      <c r="B280" s="658" t="s">
        <v>906</v>
      </c>
      <c r="C280" s="641" t="s">
        <v>916</v>
      </c>
      <c r="D280" s="673">
        <v>30069127</v>
      </c>
      <c r="E280" s="641">
        <v>6351</v>
      </c>
      <c r="F280" s="659"/>
      <c r="G280" s="642" t="s">
        <v>921</v>
      </c>
      <c r="H280" s="641"/>
      <c r="I280" s="641"/>
      <c r="J280" s="660"/>
      <c r="K280" s="660"/>
      <c r="L280" s="660">
        <f>2750</f>
        <v>2750</v>
      </c>
      <c r="M280" s="661"/>
      <c r="N280" s="661"/>
      <c r="O280" s="660"/>
      <c r="P280" s="647" t="str">
        <f t="shared" si="42"/>
        <v> </v>
      </c>
      <c r="Q280" s="661"/>
      <c r="R280" s="661"/>
      <c r="S280" s="662"/>
      <c r="T280" s="674" t="s">
        <v>922</v>
      </c>
      <c r="U280" s="669"/>
      <c r="V280" s="651">
        <f t="shared" si="48"/>
        <v>0</v>
      </c>
      <c r="W280" s="652">
        <f>IF(AND(P280&lt;'[1]koment'!$F$1,N280&gt;='[1]koment'!$F$2),"Komentovat","")</f>
      </c>
      <c r="X280" s="653" t="e">
        <f t="shared" si="54"/>
        <v>#REF!</v>
      </c>
      <c r="Y280" s="651" t="str">
        <f t="shared" si="49"/>
        <v> </v>
      </c>
      <c r="Z280" s="654">
        <f t="shared" si="50"/>
        <v>0</v>
      </c>
      <c r="AA280" s="655" t="str">
        <f t="shared" si="51"/>
        <v>73003319300691276351</v>
      </c>
      <c r="AB280" s="638"/>
      <c r="AC280" s="638"/>
      <c r="AD280" s="638"/>
      <c r="AE280" s="638"/>
      <c r="AF280" s="638"/>
    </row>
    <row r="281" spans="1:32" ht="12.75" outlineLevel="1">
      <c r="A281" s="639">
        <f t="shared" si="41"/>
        <v>279</v>
      </c>
      <c r="B281" s="658"/>
      <c r="C281" s="666" t="s">
        <v>923</v>
      </c>
      <c r="D281" s="673"/>
      <c r="E281" s="641"/>
      <c r="F281" s="659"/>
      <c r="G281" s="642"/>
      <c r="H281" s="641"/>
      <c r="I281" s="641"/>
      <c r="J281" s="660">
        <f aca="true" t="shared" si="55" ref="J281:O281">SUBTOTAL(9,J277:J280)</f>
        <v>61536</v>
      </c>
      <c r="K281" s="660">
        <f t="shared" si="55"/>
        <v>50149</v>
      </c>
      <c r="L281" s="660">
        <f t="shared" si="55"/>
        <v>57514</v>
      </c>
      <c r="M281" s="661">
        <f t="shared" si="55"/>
        <v>911</v>
      </c>
      <c r="N281" s="661">
        <f t="shared" si="55"/>
        <v>911</v>
      </c>
      <c r="O281" s="660">
        <f t="shared" si="55"/>
        <v>888</v>
      </c>
      <c r="P281" s="647">
        <f t="shared" si="42"/>
        <v>0.9747530186608123</v>
      </c>
      <c r="Q281" s="661">
        <f>SUBTOTAL(9,Q277:Q280)</f>
        <v>3200</v>
      </c>
      <c r="R281" s="661">
        <f>SUBTOTAL(9,R277:R280)</f>
        <v>0</v>
      </c>
      <c r="S281" s="662">
        <f>SUBTOTAL(9,S277:S280)</f>
        <v>0</v>
      </c>
      <c r="T281" s="674"/>
      <c r="U281" s="669"/>
      <c r="V281" s="651"/>
      <c r="W281" s="652"/>
      <c r="X281" s="653"/>
      <c r="Y281" s="651" t="str">
        <f>IF($V281=0," ",IF(LEN($B281)=4,$B281*1,$B281))</f>
        <v> </v>
      </c>
      <c r="Z281" s="654">
        <f>IF($Y281=" ",0,"ORG "&amp;$D281&amp;" - "&amp;$G281)</f>
        <v>0</v>
      </c>
      <c r="AA281" s="655" t="str">
        <f>$B281&amp;LEFT($C281,4)&amp;$D281&amp;$E281&amp;$F281</f>
        <v>Celk</v>
      </c>
      <c r="AB281" s="638"/>
      <c r="AC281" s="638"/>
      <c r="AD281" s="638"/>
      <c r="AE281" s="638"/>
      <c r="AF281" s="638"/>
    </row>
    <row r="282" spans="1:32" ht="12.75" outlineLevel="2">
      <c r="A282" s="639">
        <f t="shared" si="41"/>
        <v>280</v>
      </c>
      <c r="B282" s="640" t="s">
        <v>195</v>
      </c>
      <c r="C282" s="641" t="s">
        <v>924</v>
      </c>
      <c r="D282" s="642">
        <v>2777</v>
      </c>
      <c r="E282" s="641">
        <v>6121</v>
      </c>
      <c r="F282" s="643"/>
      <c r="G282" s="642" t="s">
        <v>925</v>
      </c>
      <c r="H282" s="642">
        <v>2014</v>
      </c>
      <c r="I282" s="642">
        <v>2014</v>
      </c>
      <c r="J282" s="644">
        <v>200</v>
      </c>
      <c r="K282" s="644"/>
      <c r="L282" s="645"/>
      <c r="M282" s="646"/>
      <c r="N282" s="646">
        <v>200</v>
      </c>
      <c r="O282" s="644">
        <v>157</v>
      </c>
      <c r="P282" s="647">
        <f t="shared" si="42"/>
        <v>0.785</v>
      </c>
      <c r="Q282" s="646"/>
      <c r="R282" s="646"/>
      <c r="S282" s="648"/>
      <c r="T282" s="649" t="s">
        <v>926</v>
      </c>
      <c r="U282" s="669"/>
      <c r="V282" s="651">
        <f t="shared" si="48"/>
        <v>0</v>
      </c>
      <c r="W282" s="652">
        <f>IF(AND(P282&lt;'[1]koment'!$F$1,N282&gt;='[1]koment'!$F$2),"Komentovat","")</f>
      </c>
      <c r="X282" s="653" t="e">
        <f>IF(W282="Komentovat",X280+1,X280)</f>
        <v>#REF!</v>
      </c>
      <c r="Y282" s="651" t="str">
        <f t="shared" si="49"/>
        <v> </v>
      </c>
      <c r="Z282" s="654">
        <f t="shared" si="50"/>
        <v>0</v>
      </c>
      <c r="AA282" s="655" t="str">
        <f t="shared" si="51"/>
        <v>6600332227776121</v>
      </c>
      <c r="AB282" s="638"/>
      <c r="AC282" s="638"/>
      <c r="AD282" s="638"/>
      <c r="AE282" s="638"/>
      <c r="AF282" s="638"/>
    </row>
    <row r="283" spans="1:32" ht="12.75" outlineLevel="2">
      <c r="A283" s="639">
        <f t="shared" si="41"/>
        <v>281</v>
      </c>
      <c r="B283" s="663">
        <v>5600</v>
      </c>
      <c r="C283" s="641" t="s">
        <v>924</v>
      </c>
      <c r="D283" s="641">
        <v>2825</v>
      </c>
      <c r="E283" s="641">
        <v>6121</v>
      </c>
      <c r="F283" s="659"/>
      <c r="G283" s="642" t="s">
        <v>927</v>
      </c>
      <c r="H283" s="641">
        <v>2014</v>
      </c>
      <c r="I283" s="641">
        <v>2015</v>
      </c>
      <c r="J283" s="660">
        <f>6800+2500</f>
        <v>9300</v>
      </c>
      <c r="K283" s="660"/>
      <c r="L283" s="660"/>
      <c r="M283" s="661">
        <v>6800</v>
      </c>
      <c r="N283" s="661">
        <v>6501</v>
      </c>
      <c r="O283" s="660">
        <v>53</v>
      </c>
      <c r="P283" s="647">
        <f t="shared" si="42"/>
        <v>0.008152591908937086</v>
      </c>
      <c r="Q283" s="661"/>
      <c r="R283" s="661"/>
      <c r="S283" s="662"/>
      <c r="T283" s="649" t="s">
        <v>609</v>
      </c>
      <c r="U283" s="669"/>
      <c r="V283" s="651">
        <f t="shared" si="48"/>
        <v>2799</v>
      </c>
      <c r="W283" s="652" t="str">
        <f>IF(AND(P283&lt;'[1]koment'!$F$1,N283&gt;='[1]koment'!$F$2),"Komentovat","")</f>
        <v>Komentovat</v>
      </c>
      <c r="X283" s="653" t="e">
        <f t="shared" si="54"/>
        <v>#REF!</v>
      </c>
      <c r="Y283" s="651">
        <f t="shared" si="49"/>
        <v>5600</v>
      </c>
      <c r="Z283" s="654" t="str">
        <f t="shared" si="50"/>
        <v>ORG 2825 - NKP Špilberk-stat.zajištění hradeb.plent a mostu</v>
      </c>
      <c r="AA283" s="655" t="str">
        <f t="shared" si="51"/>
        <v>5600332228256121</v>
      </c>
      <c r="AB283" s="638"/>
      <c r="AC283" s="638"/>
      <c r="AD283" s="638"/>
      <c r="AE283" s="638"/>
      <c r="AF283" s="638"/>
    </row>
    <row r="284" spans="1:32" ht="12.75" outlineLevel="2">
      <c r="A284" s="639">
        <f t="shared" si="41"/>
        <v>282</v>
      </c>
      <c r="B284" s="663">
        <v>5600</v>
      </c>
      <c r="C284" s="641" t="s">
        <v>924</v>
      </c>
      <c r="D284" s="641">
        <v>4530</v>
      </c>
      <c r="E284" s="641">
        <v>6121</v>
      </c>
      <c r="F284" s="649"/>
      <c r="G284" s="642" t="s">
        <v>928</v>
      </c>
      <c r="H284" s="665">
        <v>2001</v>
      </c>
      <c r="I284" s="641">
        <v>2016</v>
      </c>
      <c r="J284" s="660">
        <v>317310</v>
      </c>
      <c r="K284" s="660"/>
      <c r="L284" s="660">
        <f>174746+9870+382</f>
        <v>184998</v>
      </c>
      <c r="M284" s="661">
        <v>18000</v>
      </c>
      <c r="N284" s="661">
        <v>10000</v>
      </c>
      <c r="O284" s="660">
        <v>6414</v>
      </c>
      <c r="P284" s="647">
        <f t="shared" si="42"/>
        <v>0.6414</v>
      </c>
      <c r="Q284" s="661">
        <v>114294</v>
      </c>
      <c r="R284" s="661"/>
      <c r="S284" s="662"/>
      <c r="T284" s="649" t="s">
        <v>609</v>
      </c>
      <c r="U284" s="669"/>
      <c r="V284" s="651">
        <f t="shared" si="48"/>
        <v>8018</v>
      </c>
      <c r="W284" s="652" t="str">
        <f>IF(AND(P284&lt;'[1]koment'!$F$1,N284&gt;='[1]koment'!$F$2),"Komentovat","")</f>
        <v>Komentovat</v>
      </c>
      <c r="X284" s="653" t="e">
        <f t="shared" si="54"/>
        <v>#REF!</v>
      </c>
      <c r="Y284" s="651">
        <f t="shared" si="49"/>
        <v>5600</v>
      </c>
      <c r="Z284" s="654" t="str">
        <f t="shared" si="50"/>
        <v>ORG 4530 - Rekonstrukce NKP Špilberk, II.etapa</v>
      </c>
      <c r="AA284" s="655" t="str">
        <f t="shared" si="51"/>
        <v>5600332245306121</v>
      </c>
      <c r="AB284" s="638"/>
      <c r="AC284" s="638"/>
      <c r="AD284" s="638"/>
      <c r="AE284" s="638"/>
      <c r="AF284" s="638"/>
    </row>
    <row r="285" spans="1:32" ht="12.75" outlineLevel="2">
      <c r="A285" s="639">
        <f t="shared" si="41"/>
        <v>283</v>
      </c>
      <c r="B285" s="658" t="s">
        <v>606</v>
      </c>
      <c r="C285" s="641" t="s">
        <v>924</v>
      </c>
      <c r="D285" s="641">
        <v>5082</v>
      </c>
      <c r="E285" s="641">
        <v>6121</v>
      </c>
      <c r="F285" s="659" t="s">
        <v>665</v>
      </c>
      <c r="G285" s="642" t="s">
        <v>929</v>
      </c>
      <c r="H285" s="665">
        <v>2010</v>
      </c>
      <c r="I285" s="641">
        <v>2013</v>
      </c>
      <c r="J285" s="660">
        <v>165000</v>
      </c>
      <c r="K285" s="660">
        <v>42131</v>
      </c>
      <c r="L285" s="660">
        <f>22614+83423+53830</f>
        <v>159867</v>
      </c>
      <c r="M285" s="661"/>
      <c r="N285" s="661"/>
      <c r="O285" s="660"/>
      <c r="P285" s="647" t="str">
        <f t="shared" si="42"/>
        <v> </v>
      </c>
      <c r="Q285" s="661"/>
      <c r="R285" s="661"/>
      <c r="S285" s="662"/>
      <c r="T285" s="649" t="s">
        <v>609</v>
      </c>
      <c r="U285" s="669"/>
      <c r="V285" s="651">
        <f t="shared" si="48"/>
        <v>5133</v>
      </c>
      <c r="W285" s="652">
        <f>IF(AND(P285&lt;'[1]koment'!$F$1,N285&gt;='[1]koment'!$F$2),"Komentovat","")</f>
      </c>
      <c r="X285" s="653" t="e">
        <f t="shared" si="54"/>
        <v>#REF!</v>
      </c>
      <c r="Y285" s="651">
        <f t="shared" si="49"/>
        <v>5600</v>
      </c>
      <c r="Z285" s="654" t="str">
        <f t="shared" si="50"/>
        <v>ORG 5082 - Špilberk - Jižní křídlo</v>
      </c>
      <c r="AA285" s="655" t="str">
        <f t="shared" si="51"/>
        <v>5600332250826121EU</v>
      </c>
      <c r="AB285" s="638"/>
      <c r="AC285" s="638"/>
      <c r="AD285" s="638"/>
      <c r="AE285" s="638"/>
      <c r="AF285" s="638"/>
    </row>
    <row r="286" spans="1:32" ht="12.75" outlineLevel="2">
      <c r="A286" s="639">
        <f t="shared" si="41"/>
        <v>284</v>
      </c>
      <c r="B286" s="658" t="s">
        <v>606</v>
      </c>
      <c r="C286" s="641" t="s">
        <v>924</v>
      </c>
      <c r="D286" s="641">
        <v>5196</v>
      </c>
      <c r="E286" s="641">
        <v>6121</v>
      </c>
      <c r="F286" s="659" t="s">
        <v>665</v>
      </c>
      <c r="G286" s="642" t="s">
        <v>930</v>
      </c>
      <c r="H286" s="665">
        <v>2014</v>
      </c>
      <c r="I286" s="641">
        <v>2015</v>
      </c>
      <c r="J286" s="660">
        <v>97031</v>
      </c>
      <c r="K286" s="660">
        <v>93489</v>
      </c>
      <c r="L286" s="660"/>
      <c r="M286" s="661"/>
      <c r="N286" s="661">
        <v>2500</v>
      </c>
      <c r="O286" s="660">
        <v>2239</v>
      </c>
      <c r="P286" s="647">
        <f t="shared" si="42"/>
        <v>0.8956</v>
      </c>
      <c r="Q286" s="661">
        <v>5000</v>
      </c>
      <c r="R286" s="661"/>
      <c r="S286" s="662"/>
      <c r="T286" s="649" t="s">
        <v>609</v>
      </c>
      <c r="U286" s="669"/>
      <c r="V286" s="651">
        <f t="shared" si="48"/>
        <v>89531</v>
      </c>
      <c r="W286" s="652">
        <f>IF(AND(P286&lt;'[1]koment'!$F$1,N286&gt;='[1]koment'!$F$2),"Komentovat","")</f>
      </c>
      <c r="X286" s="653" t="e">
        <f t="shared" si="54"/>
        <v>#REF!</v>
      </c>
      <c r="Y286" s="651">
        <f t="shared" si="49"/>
        <v>5600</v>
      </c>
      <c r="Z286" s="654" t="str">
        <f t="shared" si="50"/>
        <v>ORG 5196 - NKP Špilberk - lapidárium a centrum restaurátorských činností</v>
      </c>
      <c r="AA286" s="655" t="str">
        <f t="shared" si="51"/>
        <v>5600332251966121EU</v>
      </c>
      <c r="AB286" s="638"/>
      <c r="AC286" s="638"/>
      <c r="AD286" s="638"/>
      <c r="AE286" s="638"/>
      <c r="AF286" s="638"/>
    </row>
    <row r="287" spans="1:32" ht="12.75" outlineLevel="1">
      <c r="A287" s="639">
        <f t="shared" si="41"/>
        <v>285</v>
      </c>
      <c r="B287" s="658"/>
      <c r="C287" s="666" t="s">
        <v>931</v>
      </c>
      <c r="D287" s="641"/>
      <c r="E287" s="641"/>
      <c r="F287" s="659"/>
      <c r="G287" s="642"/>
      <c r="H287" s="665"/>
      <c r="I287" s="641"/>
      <c r="J287" s="660">
        <f aca="true" t="shared" si="56" ref="J287:O287">SUBTOTAL(9,J282:J286)</f>
        <v>588841</v>
      </c>
      <c r="K287" s="660">
        <f t="shared" si="56"/>
        <v>135620</v>
      </c>
      <c r="L287" s="660">
        <f t="shared" si="56"/>
        <v>344865</v>
      </c>
      <c r="M287" s="661">
        <f t="shared" si="56"/>
        <v>24800</v>
      </c>
      <c r="N287" s="661">
        <f t="shared" si="56"/>
        <v>19201</v>
      </c>
      <c r="O287" s="660">
        <f t="shared" si="56"/>
        <v>8863</v>
      </c>
      <c r="P287" s="647">
        <f t="shared" si="42"/>
        <v>0.46159054215926254</v>
      </c>
      <c r="Q287" s="661">
        <f>SUBTOTAL(9,Q282:Q286)</f>
        <v>119294</v>
      </c>
      <c r="R287" s="661">
        <f>SUBTOTAL(9,R282:R286)</f>
        <v>0</v>
      </c>
      <c r="S287" s="662">
        <f>SUBTOTAL(9,S282:S286)</f>
        <v>0</v>
      </c>
      <c r="T287" s="649"/>
      <c r="U287" s="669"/>
      <c r="V287" s="651"/>
      <c r="W287" s="652"/>
      <c r="X287" s="653"/>
      <c r="Y287" s="651" t="str">
        <f>IF($V287=0," ",IF(LEN($B287)=4,$B287*1,$B287))</f>
        <v> </v>
      </c>
      <c r="Z287" s="654">
        <f>IF($Y287=" ",0,"ORG "&amp;$D287&amp;" - "&amp;$G287)</f>
        <v>0</v>
      </c>
      <c r="AA287" s="655" t="str">
        <f>$B287&amp;LEFT($C287,4)&amp;$D287&amp;$E287&amp;$F287</f>
        <v>Celk</v>
      </c>
      <c r="AB287" s="638"/>
      <c r="AC287" s="638"/>
      <c r="AD287" s="638"/>
      <c r="AE287" s="638"/>
      <c r="AF287" s="638"/>
    </row>
    <row r="288" spans="1:32" ht="12.75" outlineLevel="2">
      <c r="A288" s="639">
        <f t="shared" si="41"/>
        <v>286</v>
      </c>
      <c r="B288" s="658" t="s">
        <v>906</v>
      </c>
      <c r="C288" s="641" t="s">
        <v>932</v>
      </c>
      <c r="D288" s="641">
        <v>2985</v>
      </c>
      <c r="E288" s="641">
        <v>6127</v>
      </c>
      <c r="F288" s="649"/>
      <c r="G288" s="642" t="s">
        <v>933</v>
      </c>
      <c r="H288" s="665">
        <v>2010</v>
      </c>
      <c r="I288" s="641">
        <v>2014</v>
      </c>
      <c r="J288" s="660">
        <v>5300</v>
      </c>
      <c r="K288" s="660"/>
      <c r="L288" s="660">
        <f>369+322+256</f>
        <v>947</v>
      </c>
      <c r="M288" s="661">
        <v>3543</v>
      </c>
      <c r="N288" s="661">
        <v>3930</v>
      </c>
      <c r="O288" s="660">
        <v>3929</v>
      </c>
      <c r="P288" s="647">
        <f t="shared" si="42"/>
        <v>0.9997455470737914</v>
      </c>
      <c r="Q288" s="661"/>
      <c r="R288" s="661"/>
      <c r="S288" s="662"/>
      <c r="T288" s="649" t="s">
        <v>919</v>
      </c>
      <c r="U288" s="669"/>
      <c r="V288" s="651">
        <f t="shared" si="48"/>
        <v>423</v>
      </c>
      <c r="W288" s="652">
        <f>IF(AND(P288&lt;'[1]koment'!$F$1,N288&gt;='[1]koment'!$F$2),"Komentovat","")</f>
      </c>
      <c r="X288" s="653" t="e">
        <f>IF(W288="Komentovat",X286+1,X286)</f>
        <v>#REF!</v>
      </c>
      <c r="Y288" s="651">
        <f t="shared" si="49"/>
        <v>7300</v>
      </c>
      <c r="Z288" s="654" t="str">
        <f t="shared" si="50"/>
        <v>ORG 2985 - Památník holocaustu v Brně</v>
      </c>
      <c r="AA288" s="655" t="str">
        <f t="shared" si="51"/>
        <v>7300332629856127</v>
      </c>
      <c r="AB288" s="638"/>
      <c r="AC288" s="638"/>
      <c r="AD288" s="638"/>
      <c r="AE288" s="638"/>
      <c r="AF288" s="638"/>
    </row>
    <row r="289" spans="1:32" ht="12.75" outlineLevel="2">
      <c r="A289" s="639">
        <f t="shared" si="41"/>
        <v>287</v>
      </c>
      <c r="B289" s="658" t="s">
        <v>906</v>
      </c>
      <c r="C289" s="641" t="s">
        <v>932</v>
      </c>
      <c r="D289" s="641">
        <v>3242</v>
      </c>
      <c r="E289" s="641">
        <v>6127</v>
      </c>
      <c r="F289" s="649"/>
      <c r="G289" s="642" t="s">
        <v>934</v>
      </c>
      <c r="H289" s="665">
        <v>2006</v>
      </c>
      <c r="I289" s="665">
        <v>2015</v>
      </c>
      <c r="J289" s="660">
        <v>20000</v>
      </c>
      <c r="K289" s="660"/>
      <c r="L289" s="660">
        <f>4210+1400</f>
        <v>5610</v>
      </c>
      <c r="M289" s="661">
        <v>300</v>
      </c>
      <c r="N289" s="661">
        <v>1</v>
      </c>
      <c r="O289" s="660"/>
      <c r="P289" s="647">
        <f t="shared" si="42"/>
        <v>0</v>
      </c>
      <c r="Q289" s="661">
        <v>14090</v>
      </c>
      <c r="R289" s="661"/>
      <c r="S289" s="662"/>
      <c r="T289" s="649" t="s">
        <v>919</v>
      </c>
      <c r="U289" s="669"/>
      <c r="V289" s="651">
        <f t="shared" si="48"/>
        <v>299</v>
      </c>
      <c r="W289" s="652">
        <f>IF(AND(P289&lt;'[1]koment'!$F$1,N289&gt;='[1]koment'!$F$2),"Komentovat","")</f>
      </c>
      <c r="X289" s="653" t="e">
        <f t="shared" si="54"/>
        <v>#REF!</v>
      </c>
      <c r="Y289" s="651">
        <f t="shared" si="49"/>
        <v>7300</v>
      </c>
      <c r="Z289" s="654" t="str">
        <f t="shared" si="50"/>
        <v>ORG 3242 - Sochy pro Brno</v>
      </c>
      <c r="AA289" s="655" t="str">
        <f t="shared" si="51"/>
        <v>7300332632426127</v>
      </c>
      <c r="AB289" s="638"/>
      <c r="AC289" s="638"/>
      <c r="AD289" s="638"/>
      <c r="AE289" s="638"/>
      <c r="AF289" s="638"/>
    </row>
    <row r="290" spans="1:32" ht="12.75" outlineLevel="2">
      <c r="A290" s="639">
        <f t="shared" si="41"/>
        <v>288</v>
      </c>
      <c r="B290" s="658" t="s">
        <v>906</v>
      </c>
      <c r="C290" s="641" t="s">
        <v>932</v>
      </c>
      <c r="D290" s="641">
        <v>300600</v>
      </c>
      <c r="E290" s="641">
        <v>6127</v>
      </c>
      <c r="F290" s="649"/>
      <c r="G290" s="642" t="s">
        <v>935</v>
      </c>
      <c r="H290" s="641"/>
      <c r="I290" s="641"/>
      <c r="J290" s="660"/>
      <c r="K290" s="660"/>
      <c r="L290" s="660">
        <f>145+167</f>
        <v>312</v>
      </c>
      <c r="M290" s="661"/>
      <c r="N290" s="661">
        <v>173</v>
      </c>
      <c r="O290" s="660">
        <v>173</v>
      </c>
      <c r="P290" s="647">
        <f t="shared" si="42"/>
        <v>1</v>
      </c>
      <c r="Q290" s="661"/>
      <c r="R290" s="661"/>
      <c r="S290" s="662"/>
      <c r="T290" s="649" t="s">
        <v>919</v>
      </c>
      <c r="U290" s="669"/>
      <c r="V290" s="651">
        <f t="shared" si="48"/>
        <v>0</v>
      </c>
      <c r="W290" s="652">
        <f>IF(AND(P290&lt;'[1]koment'!$F$1,N290&gt;='[1]koment'!$F$2),"Komentovat","")</f>
      </c>
      <c r="X290" s="653" t="e">
        <f t="shared" si="54"/>
        <v>#REF!</v>
      </c>
      <c r="Y290" s="651" t="str">
        <f t="shared" si="49"/>
        <v> </v>
      </c>
      <c r="Z290" s="654">
        <f t="shared" si="50"/>
        <v>0</v>
      </c>
      <c r="AA290" s="655" t="str">
        <f t="shared" si="51"/>
        <v>730033263006006127</v>
      </c>
      <c r="AB290" s="638"/>
      <c r="AC290" s="638"/>
      <c r="AD290" s="638"/>
      <c r="AE290" s="638"/>
      <c r="AF290" s="638"/>
    </row>
    <row r="291" spans="1:32" ht="12.75" outlineLevel="1">
      <c r="A291" s="639">
        <f t="shared" si="41"/>
        <v>289</v>
      </c>
      <c r="B291" s="658"/>
      <c r="C291" s="666" t="s">
        <v>936</v>
      </c>
      <c r="D291" s="641"/>
      <c r="E291" s="641"/>
      <c r="F291" s="649"/>
      <c r="G291" s="642"/>
      <c r="H291" s="641"/>
      <c r="I291" s="641"/>
      <c r="J291" s="660">
        <f aca="true" t="shared" si="57" ref="J291:O291">SUBTOTAL(9,J288:J290)</f>
        <v>25300</v>
      </c>
      <c r="K291" s="660">
        <f t="shared" si="57"/>
        <v>0</v>
      </c>
      <c r="L291" s="660">
        <f t="shared" si="57"/>
        <v>6869</v>
      </c>
      <c r="M291" s="661">
        <f t="shared" si="57"/>
        <v>3843</v>
      </c>
      <c r="N291" s="661">
        <f t="shared" si="57"/>
        <v>4104</v>
      </c>
      <c r="O291" s="660">
        <f t="shared" si="57"/>
        <v>4102</v>
      </c>
      <c r="P291" s="647">
        <f t="shared" si="42"/>
        <v>0.9995126705653021</v>
      </c>
      <c r="Q291" s="661">
        <f>SUBTOTAL(9,Q288:Q290)</f>
        <v>14090</v>
      </c>
      <c r="R291" s="661">
        <f>SUBTOTAL(9,R288:R290)</f>
        <v>0</v>
      </c>
      <c r="S291" s="662">
        <f>SUBTOTAL(9,S288:S290)</f>
        <v>0</v>
      </c>
      <c r="T291" s="649"/>
      <c r="U291" s="669"/>
      <c r="V291" s="651"/>
      <c r="W291" s="652"/>
      <c r="X291" s="653"/>
      <c r="Y291" s="651" t="str">
        <f>IF($V291=0," ",IF(LEN($B291)=4,$B291*1,$B291))</f>
        <v> </v>
      </c>
      <c r="Z291" s="654">
        <f>IF($Y291=" ",0,"ORG "&amp;$D291&amp;" - "&amp;$G291)</f>
        <v>0</v>
      </c>
      <c r="AA291" s="655" t="str">
        <f>$B291&amp;LEFT($C291,4)&amp;$D291&amp;$E291&amp;$F291</f>
        <v>Celk</v>
      </c>
      <c r="AB291" s="638"/>
      <c r="AC291" s="638"/>
      <c r="AD291" s="638"/>
      <c r="AE291" s="638"/>
      <c r="AF291" s="638"/>
    </row>
    <row r="292" spans="1:32" ht="12.75" outlineLevel="2">
      <c r="A292" s="639">
        <f t="shared" si="41"/>
        <v>290</v>
      </c>
      <c r="B292" s="658" t="s">
        <v>606</v>
      </c>
      <c r="C292" s="641" t="s">
        <v>937</v>
      </c>
      <c r="D292" s="641">
        <v>2886</v>
      </c>
      <c r="E292" s="641">
        <v>6121</v>
      </c>
      <c r="F292" s="659"/>
      <c r="G292" s="642" t="s">
        <v>938</v>
      </c>
      <c r="H292" s="641">
        <v>2013</v>
      </c>
      <c r="I292" s="641">
        <v>2014</v>
      </c>
      <c r="J292" s="660">
        <v>9000</v>
      </c>
      <c r="K292" s="660"/>
      <c r="L292" s="660"/>
      <c r="M292" s="661">
        <v>4500</v>
      </c>
      <c r="N292" s="661"/>
      <c r="O292" s="660"/>
      <c r="P292" s="647" t="str">
        <f t="shared" si="42"/>
        <v> </v>
      </c>
      <c r="Q292" s="661"/>
      <c r="R292" s="661"/>
      <c r="S292" s="662"/>
      <c r="T292" s="649" t="s">
        <v>609</v>
      </c>
      <c r="U292" s="669"/>
      <c r="V292" s="651">
        <f t="shared" si="48"/>
        <v>9000</v>
      </c>
      <c r="W292" s="652">
        <f>IF(AND(P292&lt;'[1]koment'!$F$1,N292&gt;='[1]koment'!$F$2),"Komentovat","")</f>
      </c>
      <c r="X292" s="653" t="e">
        <f>IF(W292="Komentovat",X290+1,X290)</f>
        <v>#REF!</v>
      </c>
      <c r="Y292" s="651">
        <f t="shared" si="49"/>
        <v>5600</v>
      </c>
      <c r="Z292" s="654" t="str">
        <f t="shared" si="50"/>
        <v>ORG 2886 - Příprava sportovně-zábavního areálu Ponava</v>
      </c>
      <c r="AA292" s="655" t="str">
        <f t="shared" si="51"/>
        <v>5600341228866121</v>
      </c>
      <c r="AB292" s="638"/>
      <c r="AC292" s="638"/>
      <c r="AD292" s="638"/>
      <c r="AE292" s="638"/>
      <c r="AF292" s="638"/>
    </row>
    <row r="293" spans="1:32" ht="12.75" outlineLevel="2">
      <c r="A293" s="639">
        <f t="shared" si="41"/>
        <v>291</v>
      </c>
      <c r="B293" s="658" t="s">
        <v>606</v>
      </c>
      <c r="C293" s="641" t="s">
        <v>937</v>
      </c>
      <c r="D293" s="641">
        <v>5041</v>
      </c>
      <c r="E293" s="641">
        <v>6121</v>
      </c>
      <c r="F293" s="659" t="s">
        <v>665</v>
      </c>
      <c r="G293" s="642" t="s">
        <v>939</v>
      </c>
      <c r="H293" s="665">
        <v>2009</v>
      </c>
      <c r="I293" s="641">
        <v>2015</v>
      </c>
      <c r="J293" s="660">
        <v>16500</v>
      </c>
      <c r="K293" s="660">
        <v>12584</v>
      </c>
      <c r="L293" s="660">
        <f>860+168+24+1</f>
        <v>1053</v>
      </c>
      <c r="M293" s="661">
        <v>10000</v>
      </c>
      <c r="N293" s="661">
        <v>12000</v>
      </c>
      <c r="O293" s="660">
        <v>11337</v>
      </c>
      <c r="P293" s="647">
        <f t="shared" si="42"/>
        <v>0.94475</v>
      </c>
      <c r="Q293" s="661"/>
      <c r="R293" s="661"/>
      <c r="S293" s="662"/>
      <c r="T293" s="649" t="s">
        <v>609</v>
      </c>
      <c r="U293" s="669"/>
      <c r="V293" s="651">
        <f t="shared" si="48"/>
        <v>3447</v>
      </c>
      <c r="W293" s="652">
        <f>IF(AND(P293&lt;'[1]koment'!$F$1,N293&gt;='[1]koment'!$F$2),"Komentovat","")</f>
      </c>
      <c r="X293" s="653" t="e">
        <f t="shared" si="54"/>
        <v>#REF!</v>
      </c>
      <c r="Y293" s="651">
        <f t="shared" si="49"/>
        <v>5600</v>
      </c>
      <c r="Z293" s="654" t="str">
        <f t="shared" si="50"/>
        <v>ORG 5041 - Sportovní areál Brno-Útěchov</v>
      </c>
      <c r="AA293" s="655" t="str">
        <f t="shared" si="51"/>
        <v>5600341250416121EU</v>
      </c>
      <c r="AB293" s="638"/>
      <c r="AC293" s="638"/>
      <c r="AD293" s="638"/>
      <c r="AE293" s="638"/>
      <c r="AF293" s="638"/>
    </row>
    <row r="294" spans="1:32" ht="12.75" outlineLevel="2">
      <c r="A294" s="639">
        <f t="shared" si="41"/>
        <v>292</v>
      </c>
      <c r="B294" s="658" t="s">
        <v>606</v>
      </c>
      <c r="C294" s="641" t="s">
        <v>937</v>
      </c>
      <c r="D294" s="641">
        <v>5102</v>
      </c>
      <c r="E294" s="641">
        <v>6121</v>
      </c>
      <c r="F294" s="659" t="s">
        <v>665</v>
      </c>
      <c r="G294" s="642" t="s">
        <v>940</v>
      </c>
      <c r="H294" s="665">
        <v>2010</v>
      </c>
      <c r="I294" s="641">
        <v>2014</v>
      </c>
      <c r="J294" s="660">
        <v>69000</v>
      </c>
      <c r="K294" s="660">
        <v>19809</v>
      </c>
      <c r="L294" s="660">
        <f>740+742+64793</f>
        <v>66275</v>
      </c>
      <c r="M294" s="661">
        <v>1000</v>
      </c>
      <c r="N294" s="661">
        <v>2500</v>
      </c>
      <c r="O294" s="660">
        <v>2035</v>
      </c>
      <c r="P294" s="647">
        <f t="shared" si="42"/>
        <v>0.814</v>
      </c>
      <c r="Q294" s="661"/>
      <c r="R294" s="661"/>
      <c r="S294" s="662"/>
      <c r="T294" s="649" t="s">
        <v>609</v>
      </c>
      <c r="U294" s="669"/>
      <c r="V294" s="651">
        <f t="shared" si="48"/>
        <v>225</v>
      </c>
      <c r="W294" s="652">
        <f>IF(AND(P294&lt;'[1]koment'!$F$1,N294&gt;='[1]koment'!$F$2),"Komentovat","")</f>
      </c>
      <c r="X294" s="653" t="e">
        <f t="shared" si="54"/>
        <v>#REF!</v>
      </c>
      <c r="Y294" s="651">
        <f t="shared" si="49"/>
        <v>5600</v>
      </c>
      <c r="Z294" s="654" t="str">
        <f t="shared" si="50"/>
        <v>ORG 5102 - Sportovní areál lokalita Hněvkovského</v>
      </c>
      <c r="AA294" s="655" t="str">
        <f t="shared" si="51"/>
        <v>5600341251026121EU</v>
      </c>
      <c r="AB294" s="638"/>
      <c r="AC294" s="638"/>
      <c r="AD294" s="638"/>
      <c r="AE294" s="638"/>
      <c r="AF294" s="638"/>
    </row>
    <row r="295" spans="1:32" ht="12.75" outlineLevel="2">
      <c r="A295" s="639">
        <f t="shared" si="41"/>
        <v>293</v>
      </c>
      <c r="B295" s="658" t="s">
        <v>606</v>
      </c>
      <c r="C295" s="641" t="s">
        <v>937</v>
      </c>
      <c r="D295" s="641">
        <v>5121</v>
      </c>
      <c r="E295" s="641">
        <v>6121</v>
      </c>
      <c r="F295" s="659" t="s">
        <v>665</v>
      </c>
      <c r="G295" s="642" t="s">
        <v>941</v>
      </c>
      <c r="H295" s="641">
        <v>2013</v>
      </c>
      <c r="I295" s="641">
        <v>2015</v>
      </c>
      <c r="J295" s="660">
        <v>40000</v>
      </c>
      <c r="K295" s="660">
        <v>40364</v>
      </c>
      <c r="L295" s="660">
        <f>257</f>
        <v>257</v>
      </c>
      <c r="M295" s="661">
        <v>1000</v>
      </c>
      <c r="N295" s="661">
        <v>1000</v>
      </c>
      <c r="O295" s="660">
        <v>1</v>
      </c>
      <c r="P295" s="647">
        <f t="shared" si="42"/>
        <v>0.001</v>
      </c>
      <c r="Q295" s="661"/>
      <c r="R295" s="661"/>
      <c r="S295" s="662"/>
      <c r="T295" s="649" t="s">
        <v>609</v>
      </c>
      <c r="U295" s="669"/>
      <c r="V295" s="651">
        <f t="shared" si="48"/>
        <v>38743</v>
      </c>
      <c r="W295" s="652">
        <f>IF(AND(P295&lt;'[1]koment'!$F$1,N295&gt;='[1]koment'!$F$2),"Komentovat","")</f>
      </c>
      <c r="X295" s="653" t="e">
        <f t="shared" si="54"/>
        <v>#REF!</v>
      </c>
      <c r="Y295" s="651">
        <f t="shared" si="49"/>
        <v>5600</v>
      </c>
      <c r="Z295" s="654" t="str">
        <f t="shared" si="50"/>
        <v>ORG 5121 - Novostavba tělocvičny v MČ Brno-Tuřany</v>
      </c>
      <c r="AA295" s="655" t="str">
        <f t="shared" si="51"/>
        <v>5600341251216121EU</v>
      </c>
      <c r="AB295" s="638"/>
      <c r="AC295" s="638"/>
      <c r="AD295" s="638"/>
      <c r="AE295" s="638"/>
      <c r="AF295" s="638"/>
    </row>
    <row r="296" spans="1:32" ht="12.75" outlineLevel="1">
      <c r="A296" s="639">
        <f t="shared" si="41"/>
        <v>294</v>
      </c>
      <c r="B296" s="658"/>
      <c r="C296" s="666" t="s">
        <v>942</v>
      </c>
      <c r="D296" s="641"/>
      <c r="E296" s="641"/>
      <c r="F296" s="659"/>
      <c r="G296" s="642"/>
      <c r="H296" s="641"/>
      <c r="I296" s="641"/>
      <c r="J296" s="675">
        <f aca="true" t="shared" si="58" ref="J296:O296">SUBTOTAL(9,J292:J295)</f>
        <v>134500</v>
      </c>
      <c r="K296" s="660">
        <f t="shared" si="58"/>
        <v>72757</v>
      </c>
      <c r="L296" s="660">
        <f t="shared" si="58"/>
        <v>67585</v>
      </c>
      <c r="M296" s="661">
        <f t="shared" si="58"/>
        <v>16500</v>
      </c>
      <c r="N296" s="661">
        <f t="shared" si="58"/>
        <v>15500</v>
      </c>
      <c r="O296" s="660">
        <f t="shared" si="58"/>
        <v>13373</v>
      </c>
      <c r="P296" s="647">
        <f t="shared" si="42"/>
        <v>0.8627741935483871</v>
      </c>
      <c r="Q296" s="661">
        <f>SUBTOTAL(9,Q292:Q295)</f>
        <v>0</v>
      </c>
      <c r="R296" s="661">
        <f>SUBTOTAL(9,R292:R295)</f>
        <v>0</v>
      </c>
      <c r="S296" s="662">
        <f>SUBTOTAL(9,S292:S295)</f>
        <v>0</v>
      </c>
      <c r="T296" s="649"/>
      <c r="U296" s="669"/>
      <c r="V296" s="651"/>
      <c r="W296" s="652"/>
      <c r="X296" s="653"/>
      <c r="Y296" s="651" t="str">
        <f>IF($V296=0," ",IF(LEN($B296)=4,$B296*1,$B296))</f>
        <v> </v>
      </c>
      <c r="Z296" s="654">
        <f>IF($Y296=" ",0,"ORG "&amp;$D296&amp;" - "&amp;$G296)</f>
        <v>0</v>
      </c>
      <c r="AA296" s="655" t="str">
        <f>$B296&amp;LEFT($C296,4)&amp;$D296&amp;$E296&amp;$F296</f>
        <v>Celk</v>
      </c>
      <c r="AB296" s="638"/>
      <c r="AC296" s="638"/>
      <c r="AD296" s="638"/>
      <c r="AE296" s="638"/>
      <c r="AF296" s="638"/>
    </row>
    <row r="297" spans="1:32" ht="12.75" outlineLevel="2">
      <c r="A297" s="639">
        <f t="shared" si="41"/>
        <v>295</v>
      </c>
      <c r="B297" s="640" t="s">
        <v>861</v>
      </c>
      <c r="C297" s="641" t="s">
        <v>943</v>
      </c>
      <c r="D297" s="642">
        <v>2778</v>
      </c>
      <c r="E297" s="641">
        <v>6201</v>
      </c>
      <c r="F297" s="643"/>
      <c r="G297" s="642" t="s">
        <v>944</v>
      </c>
      <c r="H297" s="642">
        <v>2014</v>
      </c>
      <c r="I297" s="642">
        <v>2014</v>
      </c>
      <c r="J297" s="644">
        <v>3000</v>
      </c>
      <c r="K297" s="644"/>
      <c r="L297" s="645"/>
      <c r="M297" s="646"/>
      <c r="N297" s="646">
        <v>3000</v>
      </c>
      <c r="O297" s="644">
        <v>3000</v>
      </c>
      <c r="P297" s="647">
        <f t="shared" si="42"/>
        <v>1</v>
      </c>
      <c r="Q297" s="646"/>
      <c r="R297" s="646"/>
      <c r="S297" s="648"/>
      <c r="T297" s="649" t="s">
        <v>863</v>
      </c>
      <c r="U297" s="669"/>
      <c r="V297" s="651">
        <f t="shared" si="48"/>
        <v>0</v>
      </c>
      <c r="W297" s="652">
        <f>IF(AND(P297&lt;'[1]koment'!$F$1,N297&gt;='[1]koment'!$F$2),"Komentovat","")</f>
      </c>
      <c r="X297" s="653" t="e">
        <f>IF(W297="Komentovat",X295+1,X295)</f>
        <v>#REF!</v>
      </c>
      <c r="Y297" s="651" t="str">
        <f t="shared" si="49"/>
        <v> </v>
      </c>
      <c r="Z297" s="654">
        <f t="shared" si="50"/>
        <v>0</v>
      </c>
      <c r="AA297" s="655" t="str">
        <f t="shared" si="51"/>
        <v>6700341927786201</v>
      </c>
      <c r="AB297" s="638"/>
      <c r="AC297" s="638"/>
      <c r="AD297" s="638"/>
      <c r="AE297" s="638"/>
      <c r="AF297" s="638"/>
    </row>
    <row r="298" spans="1:32" ht="12.75" outlineLevel="2">
      <c r="A298" s="639">
        <f t="shared" si="41"/>
        <v>296</v>
      </c>
      <c r="B298" s="676">
        <v>5600</v>
      </c>
      <c r="C298" s="677" t="s">
        <v>943</v>
      </c>
      <c r="D298" s="678">
        <v>2779</v>
      </c>
      <c r="E298" s="677">
        <v>6121</v>
      </c>
      <c r="F298" s="679"/>
      <c r="G298" s="680" t="s">
        <v>945</v>
      </c>
      <c r="H298" s="641">
        <v>2014</v>
      </c>
      <c r="I298" s="641">
        <v>2015</v>
      </c>
      <c r="J298" s="644">
        <v>17000</v>
      </c>
      <c r="K298" s="660"/>
      <c r="L298" s="660"/>
      <c r="M298" s="661"/>
      <c r="N298" s="661"/>
      <c r="O298" s="660"/>
      <c r="P298" s="647" t="str">
        <f t="shared" si="42"/>
        <v> </v>
      </c>
      <c r="Q298" s="661"/>
      <c r="R298" s="661"/>
      <c r="S298" s="662"/>
      <c r="T298" s="649" t="s">
        <v>609</v>
      </c>
      <c r="U298" s="669"/>
      <c r="V298" s="651">
        <f t="shared" si="48"/>
        <v>17000</v>
      </c>
      <c r="W298" s="652">
        <f>IF(AND(P298&lt;'[1]koment'!$F$1,N298&gt;='[1]koment'!$F$2),"Komentovat","")</f>
      </c>
      <c r="X298" s="653" t="e">
        <f t="shared" si="54"/>
        <v>#REF!</v>
      </c>
      <c r="Y298" s="651">
        <f t="shared" si="49"/>
        <v>5600</v>
      </c>
      <c r="Z298" s="654" t="str">
        <f t="shared" si="50"/>
        <v>ORG 2779 - Zastřešení západní tribuny fot. stadionu při ulici Srbská</v>
      </c>
      <c r="AA298" s="655" t="str">
        <f t="shared" si="51"/>
        <v>5600341927796121</v>
      </c>
      <c r="AB298" s="638"/>
      <c r="AC298" s="638"/>
      <c r="AD298" s="638"/>
      <c r="AE298" s="638"/>
      <c r="AF298" s="638"/>
    </row>
    <row r="299" spans="1:32" ht="12.75" outlineLevel="2">
      <c r="A299" s="639">
        <f t="shared" si="41"/>
        <v>297</v>
      </c>
      <c r="B299" s="640" t="s">
        <v>861</v>
      </c>
      <c r="C299" s="677" t="s">
        <v>943</v>
      </c>
      <c r="D299" s="642">
        <v>2801</v>
      </c>
      <c r="E299" s="641">
        <v>6121</v>
      </c>
      <c r="F299" s="643"/>
      <c r="G299" s="642" t="s">
        <v>946</v>
      </c>
      <c r="H299" s="642">
        <v>2014</v>
      </c>
      <c r="I299" s="642">
        <v>2014</v>
      </c>
      <c r="J299" s="644">
        <v>500</v>
      </c>
      <c r="K299" s="644"/>
      <c r="L299" s="645"/>
      <c r="M299" s="646"/>
      <c r="N299" s="646">
        <v>500</v>
      </c>
      <c r="O299" s="644"/>
      <c r="P299" s="647">
        <f t="shared" si="42"/>
        <v>0</v>
      </c>
      <c r="Q299" s="646"/>
      <c r="R299" s="646"/>
      <c r="S299" s="648"/>
      <c r="T299" s="649" t="s">
        <v>863</v>
      </c>
      <c r="U299" s="669"/>
      <c r="V299" s="651">
        <f t="shared" si="48"/>
        <v>0</v>
      </c>
      <c r="W299" s="652">
        <f>IF(AND(P299&lt;'[1]koment'!$F$1,N299&gt;='[1]koment'!$F$2),"Komentovat","")</f>
      </c>
      <c r="X299" s="653" t="e">
        <f t="shared" si="54"/>
        <v>#REF!</v>
      </c>
      <c r="Y299" s="651" t="str">
        <f t="shared" si="49"/>
        <v> </v>
      </c>
      <c r="Z299" s="654">
        <f t="shared" si="50"/>
        <v>0</v>
      </c>
      <c r="AA299" s="655" t="str">
        <f t="shared" si="51"/>
        <v>6700341928016121</v>
      </c>
      <c r="AB299" s="638"/>
      <c r="AC299" s="638"/>
      <c r="AD299" s="638"/>
      <c r="AE299" s="638"/>
      <c r="AF299" s="638"/>
    </row>
    <row r="300" spans="1:32" ht="12.75" outlineLevel="2">
      <c r="A300" s="639">
        <f t="shared" si="41"/>
        <v>298</v>
      </c>
      <c r="B300" s="640" t="s">
        <v>861</v>
      </c>
      <c r="C300" s="641" t="s">
        <v>943</v>
      </c>
      <c r="D300" s="642">
        <v>3308</v>
      </c>
      <c r="E300" s="641">
        <v>6201</v>
      </c>
      <c r="F300" s="643"/>
      <c r="G300" s="642" t="s">
        <v>947</v>
      </c>
      <c r="H300" s="642"/>
      <c r="I300" s="642"/>
      <c r="J300" s="644">
        <v>489254</v>
      </c>
      <c r="K300" s="644"/>
      <c r="L300" s="645">
        <v>479000</v>
      </c>
      <c r="M300" s="646"/>
      <c r="N300" s="646">
        <v>10254</v>
      </c>
      <c r="O300" s="644">
        <v>10254</v>
      </c>
      <c r="P300" s="647">
        <f t="shared" si="42"/>
        <v>1</v>
      </c>
      <c r="Q300" s="646"/>
      <c r="R300" s="646"/>
      <c r="S300" s="648"/>
      <c r="T300" s="649" t="s">
        <v>863</v>
      </c>
      <c r="U300" s="669"/>
      <c r="V300" s="651">
        <f t="shared" si="48"/>
        <v>0</v>
      </c>
      <c r="W300" s="652">
        <f>IF(AND(P300&lt;'[1]koment'!$F$1,N300&gt;='[1]koment'!$F$2),"Komentovat","")</f>
      </c>
      <c r="X300" s="653" t="e">
        <f t="shared" si="54"/>
        <v>#REF!</v>
      </c>
      <c r="Y300" s="651" t="str">
        <f t="shared" si="49"/>
        <v> </v>
      </c>
      <c r="Z300" s="654">
        <f t="shared" si="50"/>
        <v>0</v>
      </c>
      <c r="AA300" s="655" t="str">
        <f t="shared" si="51"/>
        <v>6700341933086201</v>
      </c>
      <c r="AB300" s="638"/>
      <c r="AC300" s="638"/>
      <c r="AD300" s="638"/>
      <c r="AE300" s="638"/>
      <c r="AF300" s="638"/>
    </row>
    <row r="301" spans="1:32" ht="12.75" outlineLevel="2">
      <c r="A301" s="639">
        <f t="shared" si="41"/>
        <v>299</v>
      </c>
      <c r="B301" s="658" t="s">
        <v>606</v>
      </c>
      <c r="C301" s="641" t="s">
        <v>943</v>
      </c>
      <c r="D301" s="641">
        <v>3433</v>
      </c>
      <c r="E301" s="641">
        <v>6121</v>
      </c>
      <c r="F301" s="649"/>
      <c r="G301" s="642" t="s">
        <v>948</v>
      </c>
      <c r="H301" s="665">
        <v>2003</v>
      </c>
      <c r="I301" s="641">
        <v>2016</v>
      </c>
      <c r="J301" s="660">
        <v>1977550</v>
      </c>
      <c r="K301" s="660"/>
      <c r="L301" s="660">
        <v>24177</v>
      </c>
      <c r="M301" s="661"/>
      <c r="N301" s="661"/>
      <c r="O301" s="660"/>
      <c r="P301" s="647" t="str">
        <f t="shared" si="42"/>
        <v> </v>
      </c>
      <c r="Q301" s="661"/>
      <c r="R301" s="661"/>
      <c r="S301" s="662"/>
      <c r="T301" s="649" t="s">
        <v>609</v>
      </c>
      <c r="U301" s="669"/>
      <c r="V301" s="651">
        <f t="shared" si="48"/>
        <v>1953373</v>
      </c>
      <c r="W301" s="652">
        <f>IF(AND(P301&lt;'[1]koment'!$F$1,N301&gt;='[1]koment'!$F$2),"Komentovat","")</f>
      </c>
      <c r="X301" s="653" t="e">
        <f t="shared" si="54"/>
        <v>#REF!</v>
      </c>
      <c r="Y301" s="651">
        <f t="shared" si="49"/>
        <v>5600</v>
      </c>
      <c r="Z301" s="654" t="str">
        <f t="shared" si="50"/>
        <v>ORG 3433 - Modernizace fotbal. stadionu za Lužánkami</v>
      </c>
      <c r="AA301" s="655" t="str">
        <f t="shared" si="51"/>
        <v>5600341934336121</v>
      </c>
      <c r="AB301" s="638"/>
      <c r="AC301" s="638"/>
      <c r="AD301" s="638"/>
      <c r="AE301" s="638"/>
      <c r="AF301" s="638"/>
    </row>
    <row r="302" spans="1:32" ht="12.75" outlineLevel="2">
      <c r="A302" s="639">
        <f t="shared" si="41"/>
        <v>300</v>
      </c>
      <c r="B302" s="658" t="s">
        <v>861</v>
      </c>
      <c r="C302" s="641" t="s">
        <v>943</v>
      </c>
      <c r="D302" s="641">
        <v>300700</v>
      </c>
      <c r="E302" s="641">
        <v>6122</v>
      </c>
      <c r="F302" s="659"/>
      <c r="G302" s="642" t="s">
        <v>949</v>
      </c>
      <c r="H302" s="641"/>
      <c r="I302" s="641"/>
      <c r="J302" s="660"/>
      <c r="K302" s="660"/>
      <c r="L302" s="660">
        <f>2144+603</f>
        <v>2747</v>
      </c>
      <c r="M302" s="661"/>
      <c r="N302" s="661">
        <v>1664</v>
      </c>
      <c r="O302" s="660">
        <v>1139</v>
      </c>
      <c r="P302" s="647">
        <f t="shared" si="42"/>
        <v>0.6844951923076923</v>
      </c>
      <c r="Q302" s="661"/>
      <c r="R302" s="661"/>
      <c r="S302" s="662"/>
      <c r="T302" s="649" t="s">
        <v>863</v>
      </c>
      <c r="U302" s="669"/>
      <c r="V302" s="651">
        <f t="shared" si="48"/>
        <v>0</v>
      </c>
      <c r="W302" s="652">
        <f>IF(AND(P302&lt;'[1]koment'!$F$1,N302&gt;='[1]koment'!$F$2),"Komentovat","")</f>
      </c>
      <c r="X302" s="653" t="e">
        <f t="shared" si="54"/>
        <v>#REF!</v>
      </c>
      <c r="Y302" s="651" t="str">
        <f t="shared" si="49"/>
        <v> </v>
      </c>
      <c r="Z302" s="654">
        <f t="shared" si="50"/>
        <v>0</v>
      </c>
      <c r="AA302" s="655" t="str">
        <f t="shared" si="51"/>
        <v>670034193007006122</v>
      </c>
      <c r="AB302" s="638"/>
      <c r="AC302" s="638"/>
      <c r="AD302" s="638"/>
      <c r="AE302" s="638"/>
      <c r="AF302" s="638"/>
    </row>
    <row r="303" spans="1:32" ht="12.75" outlineLevel="2">
      <c r="A303" s="639">
        <f t="shared" si="41"/>
        <v>301</v>
      </c>
      <c r="B303" s="658" t="s">
        <v>861</v>
      </c>
      <c r="C303" s="641" t="s">
        <v>943</v>
      </c>
      <c r="D303" s="641">
        <v>300799</v>
      </c>
      <c r="E303" s="641">
        <v>6322</v>
      </c>
      <c r="F303" s="649"/>
      <c r="G303" s="642" t="s">
        <v>950</v>
      </c>
      <c r="H303" s="641"/>
      <c r="I303" s="641"/>
      <c r="J303" s="660"/>
      <c r="K303" s="660"/>
      <c r="L303" s="660">
        <f>160+470+2991+2190</f>
        <v>5811</v>
      </c>
      <c r="M303" s="661"/>
      <c r="N303" s="661">
        <v>18745</v>
      </c>
      <c r="O303" s="660">
        <v>10244</v>
      </c>
      <c r="P303" s="647">
        <f t="shared" si="42"/>
        <v>0.5464923979727927</v>
      </c>
      <c r="Q303" s="661"/>
      <c r="R303" s="661"/>
      <c r="S303" s="662"/>
      <c r="T303" s="649" t="s">
        <v>863</v>
      </c>
      <c r="U303" s="681"/>
      <c r="V303" s="651">
        <f t="shared" si="48"/>
        <v>0</v>
      </c>
      <c r="W303" s="652" t="str">
        <f>IF(AND(P303&lt;'[1]koment'!$F$1,N303&gt;='[1]koment'!$F$2),"Komentovat","")</f>
        <v>Komentovat</v>
      </c>
      <c r="X303" s="653" t="e">
        <f t="shared" si="54"/>
        <v>#REF!</v>
      </c>
      <c r="Y303" s="651" t="str">
        <f t="shared" si="49"/>
        <v> </v>
      </c>
      <c r="Z303" s="654">
        <f t="shared" si="50"/>
        <v>0</v>
      </c>
      <c r="AA303" s="655" t="str">
        <f t="shared" si="51"/>
        <v>670034193007996322</v>
      </c>
      <c r="AB303" s="638"/>
      <c r="AC303" s="638"/>
      <c r="AD303" s="638"/>
      <c r="AE303" s="638"/>
      <c r="AF303" s="638"/>
    </row>
    <row r="304" spans="1:32" ht="12.75" outlineLevel="1">
      <c r="A304" s="639">
        <f t="shared" si="41"/>
        <v>302</v>
      </c>
      <c r="B304" s="658"/>
      <c r="C304" s="666" t="s">
        <v>951</v>
      </c>
      <c r="D304" s="641"/>
      <c r="E304" s="641"/>
      <c r="F304" s="649"/>
      <c r="G304" s="642"/>
      <c r="H304" s="641"/>
      <c r="I304" s="641"/>
      <c r="J304" s="660">
        <f aca="true" t="shared" si="59" ref="J304:O304">SUBTOTAL(9,J297:J303)</f>
        <v>2487304</v>
      </c>
      <c r="K304" s="660">
        <f t="shared" si="59"/>
        <v>0</v>
      </c>
      <c r="L304" s="660">
        <f t="shared" si="59"/>
        <v>511735</v>
      </c>
      <c r="M304" s="661">
        <f t="shared" si="59"/>
        <v>0</v>
      </c>
      <c r="N304" s="661">
        <f t="shared" si="59"/>
        <v>34163</v>
      </c>
      <c r="O304" s="660">
        <f t="shared" si="59"/>
        <v>24637</v>
      </c>
      <c r="P304" s="647">
        <f t="shared" si="42"/>
        <v>0.7211603196440594</v>
      </c>
      <c r="Q304" s="661">
        <f>SUBTOTAL(9,Q297:Q303)</f>
        <v>0</v>
      </c>
      <c r="R304" s="661">
        <f>SUBTOTAL(9,R297:R303)</f>
        <v>0</v>
      </c>
      <c r="S304" s="662">
        <f>SUBTOTAL(9,S297:S303)</f>
        <v>0</v>
      </c>
      <c r="T304" s="649"/>
      <c r="U304" s="681"/>
      <c r="V304" s="651"/>
      <c r="W304" s="652"/>
      <c r="X304" s="653"/>
      <c r="Y304" s="651" t="str">
        <f>IF($V304=0," ",IF(LEN($B304)=4,$B304*1,$B304))</f>
        <v> </v>
      </c>
      <c r="Z304" s="654">
        <f>IF($Y304=" ",0,"ORG "&amp;$D304&amp;" - "&amp;$G304)</f>
        <v>0</v>
      </c>
      <c r="AA304" s="655" t="str">
        <f>$B304&amp;LEFT($C304,4)&amp;$D304&amp;$E304&amp;$F304</f>
        <v>Celk</v>
      </c>
      <c r="AB304" s="638"/>
      <c r="AC304" s="638"/>
      <c r="AD304" s="638"/>
      <c r="AE304" s="638"/>
      <c r="AF304" s="638"/>
    </row>
    <row r="305" spans="1:32" ht="12.75" outlineLevel="2">
      <c r="A305" s="639">
        <f t="shared" si="41"/>
        <v>303</v>
      </c>
      <c r="B305" s="658" t="s">
        <v>235</v>
      </c>
      <c r="C305" s="641" t="s">
        <v>952</v>
      </c>
      <c r="D305" s="641">
        <v>5042</v>
      </c>
      <c r="E305" s="641">
        <v>6121</v>
      </c>
      <c r="F305" s="659" t="s">
        <v>665</v>
      </c>
      <c r="G305" s="642" t="s">
        <v>953</v>
      </c>
      <c r="H305" s="665">
        <v>2009</v>
      </c>
      <c r="I305" s="665">
        <v>2014</v>
      </c>
      <c r="J305" s="660">
        <v>101500</v>
      </c>
      <c r="K305" s="660">
        <v>81000</v>
      </c>
      <c r="L305" s="660">
        <f>1+2173+2336</f>
        <v>4510</v>
      </c>
      <c r="M305" s="661">
        <v>95049</v>
      </c>
      <c r="N305" s="661">
        <v>95049</v>
      </c>
      <c r="O305" s="660">
        <v>95049</v>
      </c>
      <c r="P305" s="647">
        <f t="shared" si="42"/>
        <v>1</v>
      </c>
      <c r="Q305" s="661"/>
      <c r="R305" s="661"/>
      <c r="S305" s="662"/>
      <c r="T305" s="649" t="s">
        <v>877</v>
      </c>
      <c r="U305" s="681"/>
      <c r="V305" s="651">
        <f t="shared" si="48"/>
        <v>1941</v>
      </c>
      <c r="W305" s="652">
        <f>IF(AND(P305&lt;'[1]koment'!$F$1,N305&gt;='[1]koment'!$F$2),"Komentovat","")</f>
      </c>
      <c r="X305" s="653" t="e">
        <f>IF(W305="Komentovat",X303+1,X303)</f>
        <v>#REF!</v>
      </c>
      <c r="Y305" s="651">
        <f t="shared" si="49"/>
        <v>4100</v>
      </c>
      <c r="Z305" s="654" t="str">
        <f t="shared" si="50"/>
        <v>ORG 5042 - Areál dopravní výchovy</v>
      </c>
      <c r="AA305" s="655" t="str">
        <f t="shared" si="51"/>
        <v>4100342150426121EU</v>
      </c>
      <c r="AB305" s="638"/>
      <c r="AC305" s="638"/>
      <c r="AD305" s="638"/>
      <c r="AE305" s="638"/>
      <c r="AF305" s="638"/>
    </row>
    <row r="306" spans="1:32" ht="12.75" outlineLevel="2">
      <c r="A306" s="639">
        <f t="shared" si="41"/>
        <v>304</v>
      </c>
      <c r="B306" s="658" t="s">
        <v>606</v>
      </c>
      <c r="C306" s="641" t="s">
        <v>952</v>
      </c>
      <c r="D306" s="641">
        <v>5055</v>
      </c>
      <c r="E306" s="641">
        <v>6121</v>
      </c>
      <c r="F306" s="659" t="s">
        <v>665</v>
      </c>
      <c r="G306" s="642" t="s">
        <v>954</v>
      </c>
      <c r="H306" s="665">
        <v>2009</v>
      </c>
      <c r="I306" s="641">
        <v>2014</v>
      </c>
      <c r="J306" s="660">
        <v>3900</v>
      </c>
      <c r="K306" s="660">
        <v>3480</v>
      </c>
      <c r="L306" s="660">
        <f>218+3475</f>
        <v>3693</v>
      </c>
      <c r="M306" s="661">
        <v>50</v>
      </c>
      <c r="N306" s="661">
        <v>50</v>
      </c>
      <c r="O306" s="660"/>
      <c r="P306" s="647">
        <f t="shared" si="42"/>
        <v>0</v>
      </c>
      <c r="Q306" s="661"/>
      <c r="R306" s="661"/>
      <c r="S306" s="662"/>
      <c r="T306" s="649" t="s">
        <v>609</v>
      </c>
      <c r="U306" s="681"/>
      <c r="V306" s="651">
        <f t="shared" si="48"/>
        <v>157</v>
      </c>
      <c r="W306" s="652">
        <f>IF(AND(P306&lt;'[1]koment'!$F$1,N306&gt;='[1]koment'!$F$2),"Komentovat","")</f>
      </c>
      <c r="X306" s="653" t="e">
        <f t="shared" si="54"/>
        <v>#REF!</v>
      </c>
      <c r="Y306" s="651">
        <f t="shared" si="49"/>
        <v>5600</v>
      </c>
      <c r="Z306" s="654" t="str">
        <f t="shared" si="50"/>
        <v>ORG 5055 - Zahrada v pohybu</v>
      </c>
      <c r="AA306" s="655" t="str">
        <f t="shared" si="51"/>
        <v>5600342150556121EU</v>
      </c>
      <c r="AB306" s="638"/>
      <c r="AC306" s="638"/>
      <c r="AD306" s="638"/>
      <c r="AE306" s="638"/>
      <c r="AF306" s="638"/>
    </row>
    <row r="307" spans="1:32" ht="12.75" outlineLevel="2">
      <c r="A307" s="639">
        <f t="shared" si="41"/>
        <v>305</v>
      </c>
      <c r="B307" s="658" t="s">
        <v>606</v>
      </c>
      <c r="C307" s="641" t="s">
        <v>952</v>
      </c>
      <c r="D307" s="641">
        <v>5057</v>
      </c>
      <c r="E307" s="641">
        <v>6121</v>
      </c>
      <c r="F307" s="659" t="s">
        <v>665</v>
      </c>
      <c r="G307" s="642" t="s">
        <v>955</v>
      </c>
      <c r="H307" s="665">
        <v>2009</v>
      </c>
      <c r="I307" s="641">
        <v>2014</v>
      </c>
      <c r="J307" s="660">
        <v>6922</v>
      </c>
      <c r="K307" s="660">
        <v>3044</v>
      </c>
      <c r="L307" s="660">
        <v>5060</v>
      </c>
      <c r="M307" s="661"/>
      <c r="N307" s="661">
        <v>850</v>
      </c>
      <c r="O307" s="660">
        <v>839</v>
      </c>
      <c r="P307" s="647">
        <f t="shared" si="42"/>
        <v>0.9870588235294118</v>
      </c>
      <c r="Q307" s="661"/>
      <c r="R307" s="661"/>
      <c r="S307" s="662"/>
      <c r="T307" s="649" t="s">
        <v>609</v>
      </c>
      <c r="U307" s="681"/>
      <c r="V307" s="651">
        <f t="shared" si="48"/>
        <v>1012</v>
      </c>
      <c r="W307" s="652">
        <f>IF(AND(P307&lt;'[1]koment'!$F$1,N307&gt;='[1]koment'!$F$2),"Komentovat","")</f>
      </c>
      <c r="X307" s="653" t="e">
        <f t="shared" si="54"/>
        <v>#REF!</v>
      </c>
      <c r="Y307" s="651">
        <f t="shared" si="49"/>
        <v>5600</v>
      </c>
      <c r="Z307" s="654" t="str">
        <f t="shared" si="50"/>
        <v>ORG 5057 - Areál volného času při ulici Mírová u pramene sv. Floriána</v>
      </c>
      <c r="AA307" s="655" t="str">
        <f t="shared" si="51"/>
        <v>5600342150576121EU</v>
      </c>
      <c r="AB307" s="638"/>
      <c r="AC307" s="638"/>
      <c r="AD307" s="638"/>
      <c r="AE307" s="638"/>
      <c r="AF307" s="638"/>
    </row>
    <row r="308" spans="1:32" ht="12.75" outlineLevel="2">
      <c r="A308" s="639">
        <f t="shared" si="41"/>
        <v>306</v>
      </c>
      <c r="B308" s="658" t="s">
        <v>606</v>
      </c>
      <c r="C308" s="641" t="s">
        <v>952</v>
      </c>
      <c r="D308" s="641">
        <v>5157</v>
      </c>
      <c r="E308" s="641">
        <v>6121</v>
      </c>
      <c r="F308" s="659" t="s">
        <v>665</v>
      </c>
      <c r="G308" s="642" t="s">
        <v>956</v>
      </c>
      <c r="H308" s="641">
        <v>2012</v>
      </c>
      <c r="I308" s="641">
        <v>2014</v>
      </c>
      <c r="J308" s="660">
        <v>6700</v>
      </c>
      <c r="K308" s="660">
        <v>2183</v>
      </c>
      <c r="L308" s="660">
        <f>124</f>
        <v>124</v>
      </c>
      <c r="M308" s="661">
        <v>3000</v>
      </c>
      <c r="N308" s="661">
        <v>5000</v>
      </c>
      <c r="O308" s="660">
        <v>4343</v>
      </c>
      <c r="P308" s="647">
        <f t="shared" si="42"/>
        <v>0.8686</v>
      </c>
      <c r="Q308" s="661"/>
      <c r="R308" s="661"/>
      <c r="S308" s="662"/>
      <c r="T308" s="649" t="s">
        <v>609</v>
      </c>
      <c r="U308" s="669"/>
      <c r="V308" s="651">
        <f t="shared" si="48"/>
        <v>1576</v>
      </c>
      <c r="W308" s="652">
        <f>IF(AND(P308&lt;'[1]koment'!$F$1,N308&gt;='[1]koment'!$F$2),"Komentovat","")</f>
      </c>
      <c r="X308" s="653" t="e">
        <f t="shared" si="54"/>
        <v>#REF!</v>
      </c>
      <c r="Y308" s="651">
        <f t="shared" si="49"/>
        <v>5600</v>
      </c>
      <c r="Z308" s="654" t="str">
        <f t="shared" si="50"/>
        <v>ORG 5157 - Zateplení SVČ Stamicova</v>
      </c>
      <c r="AA308" s="655" t="str">
        <f t="shared" si="51"/>
        <v>5600342151576121EU</v>
      </c>
      <c r="AB308" s="638"/>
      <c r="AC308" s="638"/>
      <c r="AD308" s="638"/>
      <c r="AE308" s="638"/>
      <c r="AF308" s="638"/>
    </row>
    <row r="309" spans="1:32" ht="12.75" outlineLevel="2">
      <c r="A309" s="639">
        <f t="shared" si="41"/>
        <v>307</v>
      </c>
      <c r="B309" s="658" t="s">
        <v>606</v>
      </c>
      <c r="C309" s="641" t="s">
        <v>952</v>
      </c>
      <c r="D309" s="641">
        <v>5179</v>
      </c>
      <c r="E309" s="641">
        <v>6121</v>
      </c>
      <c r="F309" s="659" t="s">
        <v>665</v>
      </c>
      <c r="G309" s="642" t="s">
        <v>957</v>
      </c>
      <c r="H309" s="641">
        <v>2013</v>
      </c>
      <c r="I309" s="641">
        <v>2015</v>
      </c>
      <c r="J309" s="660">
        <v>38926</v>
      </c>
      <c r="K309" s="660">
        <v>24800</v>
      </c>
      <c r="L309" s="660">
        <f>19</f>
        <v>19</v>
      </c>
      <c r="M309" s="661">
        <v>3000</v>
      </c>
      <c r="N309" s="661">
        <v>500</v>
      </c>
      <c r="O309" s="660">
        <v>1</v>
      </c>
      <c r="P309" s="647">
        <f t="shared" si="42"/>
        <v>0.002</v>
      </c>
      <c r="Q309" s="661">
        <v>10000</v>
      </c>
      <c r="R309" s="661"/>
      <c r="S309" s="662"/>
      <c r="T309" s="649" t="s">
        <v>609</v>
      </c>
      <c r="U309" s="669"/>
      <c r="V309" s="651">
        <f t="shared" si="48"/>
        <v>28407</v>
      </c>
      <c r="W309" s="652">
        <f>IF(AND(P309&lt;'[1]koment'!$F$1,N309&gt;='[1]koment'!$F$2),"Komentovat","")</f>
      </c>
      <c r="X309" s="653" t="e">
        <f t="shared" si="54"/>
        <v>#REF!</v>
      </c>
      <c r="Y309" s="651">
        <f t="shared" si="49"/>
        <v>5600</v>
      </c>
      <c r="Z309" s="654" t="str">
        <f t="shared" si="50"/>
        <v>ORG 5179 - Rekonstrukce sportovišť v MČ Brno-střed</v>
      </c>
      <c r="AA309" s="655" t="str">
        <f t="shared" si="51"/>
        <v>5600342151796121EU</v>
      </c>
      <c r="AB309" s="638"/>
      <c r="AC309" s="638"/>
      <c r="AD309" s="638"/>
      <c r="AE309" s="638"/>
      <c r="AF309" s="638"/>
    </row>
    <row r="310" spans="1:32" ht="12.75" outlineLevel="2">
      <c r="A310" s="639">
        <f t="shared" si="41"/>
        <v>308</v>
      </c>
      <c r="B310" s="658" t="s">
        <v>606</v>
      </c>
      <c r="C310" s="641" t="s">
        <v>952</v>
      </c>
      <c r="D310" s="641">
        <v>5180</v>
      </c>
      <c r="E310" s="641">
        <v>6121</v>
      </c>
      <c r="F310" s="659" t="s">
        <v>665</v>
      </c>
      <c r="G310" s="642" t="s">
        <v>958</v>
      </c>
      <c r="H310" s="641">
        <v>2013</v>
      </c>
      <c r="I310" s="641">
        <v>2015</v>
      </c>
      <c r="J310" s="660">
        <v>6164</v>
      </c>
      <c r="K310" s="660">
        <v>5065</v>
      </c>
      <c r="L310" s="660">
        <f>19</f>
        <v>19</v>
      </c>
      <c r="M310" s="661">
        <v>3000</v>
      </c>
      <c r="N310" s="661">
        <v>1000</v>
      </c>
      <c r="O310" s="660"/>
      <c r="P310" s="647">
        <f t="shared" si="42"/>
        <v>0</v>
      </c>
      <c r="Q310" s="661">
        <v>3000</v>
      </c>
      <c r="R310" s="661"/>
      <c r="S310" s="662"/>
      <c r="T310" s="649" t="s">
        <v>609</v>
      </c>
      <c r="U310" s="669"/>
      <c r="V310" s="651">
        <f t="shared" si="48"/>
        <v>2145</v>
      </c>
      <c r="W310" s="652">
        <f>IF(AND(P310&lt;'[1]koment'!$F$1,N310&gt;='[1]koment'!$F$2),"Komentovat","")</f>
      </c>
      <c r="X310" s="653" t="e">
        <f t="shared" si="54"/>
        <v>#REF!</v>
      </c>
      <c r="Y310" s="651">
        <f t="shared" si="49"/>
        <v>5600</v>
      </c>
      <c r="Z310" s="654" t="str">
        <f t="shared" si="50"/>
        <v>ORG 5180 - Regenerace sportovišť Vsetínská, Trýbova, Čechyňská</v>
      </c>
      <c r="AA310" s="655" t="str">
        <f t="shared" si="51"/>
        <v>5600342151806121EU</v>
      </c>
      <c r="AB310" s="638"/>
      <c r="AC310" s="638"/>
      <c r="AD310" s="638"/>
      <c r="AE310" s="638"/>
      <c r="AF310" s="638"/>
    </row>
    <row r="311" spans="1:32" ht="25.5" outlineLevel="2">
      <c r="A311" s="639">
        <f t="shared" si="41"/>
        <v>309</v>
      </c>
      <c r="B311" s="658" t="s">
        <v>606</v>
      </c>
      <c r="C311" s="641" t="s">
        <v>952</v>
      </c>
      <c r="D311" s="641">
        <v>5181</v>
      </c>
      <c r="E311" s="641">
        <v>6121</v>
      </c>
      <c r="F311" s="659" t="s">
        <v>665</v>
      </c>
      <c r="G311" s="682" t="s">
        <v>959</v>
      </c>
      <c r="H311" s="641">
        <v>2013</v>
      </c>
      <c r="I311" s="641">
        <v>2015</v>
      </c>
      <c r="J311" s="660">
        <v>7492</v>
      </c>
      <c r="K311" s="660">
        <v>5339</v>
      </c>
      <c r="L311" s="660">
        <f>5</f>
        <v>5</v>
      </c>
      <c r="M311" s="661">
        <v>3000</v>
      </c>
      <c r="N311" s="661">
        <v>300</v>
      </c>
      <c r="O311" s="660"/>
      <c r="P311" s="647">
        <f t="shared" si="42"/>
        <v>0</v>
      </c>
      <c r="Q311" s="661"/>
      <c r="R311" s="661"/>
      <c r="S311" s="662"/>
      <c r="T311" s="649" t="s">
        <v>609</v>
      </c>
      <c r="U311" s="669"/>
      <c r="V311" s="651">
        <f t="shared" si="48"/>
        <v>7187</v>
      </c>
      <c r="W311" s="652">
        <f>IF(AND(P311&lt;'[1]koment'!$F$1,N311&gt;='[1]koment'!$F$2),"Komentovat","")</f>
      </c>
      <c r="X311" s="653" t="e">
        <f t="shared" si="54"/>
        <v>#REF!</v>
      </c>
      <c r="Y311" s="651">
        <f t="shared" si="49"/>
        <v>5600</v>
      </c>
      <c r="Z311" s="654" t="str">
        <f t="shared" si="50"/>
        <v>ORG 5181 - Regenerace veř. prostranství pro volnočasové aktivity nekomerčního charakteru MČ Brno-sever</v>
      </c>
      <c r="AA311" s="655" t="str">
        <f t="shared" si="51"/>
        <v>5600342151816121EU</v>
      </c>
      <c r="AB311" s="638"/>
      <c r="AC311" s="638"/>
      <c r="AD311" s="638"/>
      <c r="AE311" s="638"/>
      <c r="AF311" s="638"/>
    </row>
    <row r="312" spans="1:32" ht="12.75" outlineLevel="2">
      <c r="A312" s="639">
        <f t="shared" si="41"/>
        <v>310</v>
      </c>
      <c r="B312" s="658" t="s">
        <v>606</v>
      </c>
      <c r="C312" s="641" t="s">
        <v>952</v>
      </c>
      <c r="D312" s="641">
        <v>5192</v>
      </c>
      <c r="E312" s="641">
        <v>6121</v>
      </c>
      <c r="F312" s="659" t="s">
        <v>665</v>
      </c>
      <c r="G312" s="642" t="s">
        <v>960</v>
      </c>
      <c r="H312" s="641">
        <v>2014</v>
      </c>
      <c r="I312" s="641">
        <v>2015</v>
      </c>
      <c r="J312" s="660">
        <v>3116</v>
      </c>
      <c r="K312" s="660">
        <v>1104</v>
      </c>
      <c r="L312" s="660"/>
      <c r="M312" s="661"/>
      <c r="N312" s="661">
        <v>800</v>
      </c>
      <c r="O312" s="660"/>
      <c r="P312" s="647">
        <f t="shared" si="42"/>
        <v>0</v>
      </c>
      <c r="Q312" s="661">
        <v>2000</v>
      </c>
      <c r="R312" s="661"/>
      <c r="S312" s="662"/>
      <c r="T312" s="649" t="s">
        <v>609</v>
      </c>
      <c r="U312" s="669"/>
      <c r="V312" s="651">
        <f t="shared" si="48"/>
        <v>316</v>
      </c>
      <c r="W312" s="652">
        <f>IF(AND(P312&lt;'[1]koment'!$F$1,N312&gt;='[1]koment'!$F$2),"Komentovat","")</f>
      </c>
      <c r="X312" s="653" t="e">
        <f t="shared" si="54"/>
        <v>#REF!</v>
      </c>
      <c r="Y312" s="651">
        <f t="shared" si="49"/>
        <v>5600</v>
      </c>
      <c r="Z312" s="654" t="str">
        <f t="shared" si="50"/>
        <v>ORG 5192 - Zateplení fasády objektu SVČ a KJM Lány 3 v MČ Brno-Bohunice</v>
      </c>
      <c r="AA312" s="655" t="str">
        <f t="shared" si="51"/>
        <v>5600342151926121EU</v>
      </c>
      <c r="AB312" s="638"/>
      <c r="AC312" s="638"/>
      <c r="AD312" s="638"/>
      <c r="AE312" s="638"/>
      <c r="AF312" s="638"/>
    </row>
    <row r="313" spans="1:32" ht="25.5" outlineLevel="2">
      <c r="A313" s="639">
        <f t="shared" si="41"/>
        <v>311</v>
      </c>
      <c r="B313" s="663" t="s">
        <v>606</v>
      </c>
      <c r="C313" s="641" t="s">
        <v>952</v>
      </c>
      <c r="D313" s="641">
        <v>5199</v>
      </c>
      <c r="E313" s="641">
        <v>6121</v>
      </c>
      <c r="F313" s="659" t="s">
        <v>665</v>
      </c>
      <c r="G313" s="682" t="s">
        <v>961</v>
      </c>
      <c r="H313" s="642">
        <v>2014</v>
      </c>
      <c r="I313" s="642">
        <v>2015</v>
      </c>
      <c r="J313" s="644">
        <v>6722</v>
      </c>
      <c r="K313" s="644">
        <v>5483</v>
      </c>
      <c r="L313" s="645"/>
      <c r="M313" s="646"/>
      <c r="N313" s="646">
        <v>500</v>
      </c>
      <c r="O313" s="644"/>
      <c r="P313" s="647">
        <f t="shared" si="42"/>
        <v>0</v>
      </c>
      <c r="Q313" s="646">
        <v>5000</v>
      </c>
      <c r="R313" s="646"/>
      <c r="S313" s="648"/>
      <c r="T313" s="649" t="s">
        <v>609</v>
      </c>
      <c r="U313" s="669"/>
      <c r="V313" s="651">
        <f t="shared" si="48"/>
        <v>1222</v>
      </c>
      <c r="W313" s="652">
        <f>IF(AND(P313&lt;'[1]koment'!$F$1,N313&gt;='[1]koment'!$F$2),"Komentovat","")</f>
      </c>
      <c r="X313" s="653" t="e">
        <f t="shared" si="54"/>
        <v>#REF!</v>
      </c>
      <c r="Y313" s="651">
        <f t="shared" si="49"/>
        <v>5600</v>
      </c>
      <c r="Z313" s="654" t="str">
        <f t="shared" si="50"/>
        <v>ORG 5199 - Regenerace veřejných prostranství pro volnočasové aktivity a revitalizace volně přístupných sportovišť v MČ Brno-Jundrov</v>
      </c>
      <c r="AA313" s="655" t="str">
        <f t="shared" si="51"/>
        <v>5600342151996121EU</v>
      </c>
      <c r="AB313" s="638"/>
      <c r="AC313" s="638"/>
      <c r="AD313" s="638"/>
      <c r="AE313" s="638"/>
      <c r="AF313" s="638"/>
    </row>
    <row r="314" spans="1:32" ht="25.5" outlineLevel="2">
      <c r="A314" s="639">
        <f t="shared" si="41"/>
        <v>312</v>
      </c>
      <c r="B314" s="663" t="s">
        <v>606</v>
      </c>
      <c r="C314" s="641" t="s">
        <v>952</v>
      </c>
      <c r="D314" s="641">
        <v>5200</v>
      </c>
      <c r="E314" s="641">
        <v>6121</v>
      </c>
      <c r="F314" s="659" t="s">
        <v>665</v>
      </c>
      <c r="G314" s="682" t="s">
        <v>962</v>
      </c>
      <c r="H314" s="642">
        <v>2014</v>
      </c>
      <c r="I314" s="642">
        <v>2015</v>
      </c>
      <c r="J314" s="644">
        <v>7785</v>
      </c>
      <c r="K314" s="644">
        <v>6336</v>
      </c>
      <c r="L314" s="645"/>
      <c r="M314" s="646"/>
      <c r="N314" s="646">
        <v>800</v>
      </c>
      <c r="O314" s="644"/>
      <c r="P314" s="647">
        <f t="shared" si="42"/>
        <v>0</v>
      </c>
      <c r="Q314" s="646">
        <v>5000</v>
      </c>
      <c r="R314" s="646"/>
      <c r="S314" s="648"/>
      <c r="T314" s="649" t="s">
        <v>609</v>
      </c>
      <c r="U314" s="669"/>
      <c r="V314" s="651">
        <f t="shared" si="48"/>
        <v>1985</v>
      </c>
      <c r="W314" s="652">
        <f>IF(AND(P314&lt;'[1]koment'!$F$1,N314&gt;='[1]koment'!$F$2),"Komentovat","")</f>
      </c>
      <c r="X314" s="653" t="e">
        <f t="shared" si="54"/>
        <v>#REF!</v>
      </c>
      <c r="Y314" s="651">
        <f t="shared" si="49"/>
        <v>5600</v>
      </c>
      <c r="Z314" s="654" t="str">
        <f t="shared" si="50"/>
        <v>ORG 5200 - Regenerace sportovišť v lokalitách Rybářská, Botanická a transformace sportoviště Vysoká na parkour</v>
      </c>
      <c r="AA314" s="655" t="str">
        <f t="shared" si="51"/>
        <v>5600342152006121EU</v>
      </c>
      <c r="AB314" s="638"/>
      <c r="AC314" s="638"/>
      <c r="AD314" s="638"/>
      <c r="AE314" s="638"/>
      <c r="AF314" s="638"/>
    </row>
    <row r="315" spans="1:32" ht="12.75" outlineLevel="1">
      <c r="A315" s="639">
        <f t="shared" si="41"/>
        <v>313</v>
      </c>
      <c r="B315" s="663"/>
      <c r="C315" s="666" t="s">
        <v>963</v>
      </c>
      <c r="D315" s="641"/>
      <c r="E315" s="641"/>
      <c r="F315" s="659"/>
      <c r="G315" s="682"/>
      <c r="H315" s="642"/>
      <c r="I315" s="642"/>
      <c r="J315" s="644">
        <f aca="true" t="shared" si="60" ref="J315:O315">SUBTOTAL(9,J305:J314)</f>
        <v>189227</v>
      </c>
      <c r="K315" s="644">
        <f t="shared" si="60"/>
        <v>137834</v>
      </c>
      <c r="L315" s="645">
        <f t="shared" si="60"/>
        <v>13430</v>
      </c>
      <c r="M315" s="646">
        <f t="shared" si="60"/>
        <v>107099</v>
      </c>
      <c r="N315" s="646">
        <f t="shared" si="60"/>
        <v>104849</v>
      </c>
      <c r="O315" s="644">
        <f t="shared" si="60"/>
        <v>100232</v>
      </c>
      <c r="P315" s="647">
        <f t="shared" si="42"/>
        <v>0.9559652452574655</v>
      </c>
      <c r="Q315" s="646">
        <f>SUBTOTAL(9,Q305:Q314)</f>
        <v>25000</v>
      </c>
      <c r="R315" s="646">
        <f>SUBTOTAL(9,R305:R314)</f>
        <v>0</v>
      </c>
      <c r="S315" s="648">
        <f>SUBTOTAL(9,S305:S314)</f>
        <v>0</v>
      </c>
      <c r="T315" s="649"/>
      <c r="U315" s="669"/>
      <c r="V315" s="651"/>
      <c r="W315" s="652"/>
      <c r="X315" s="653"/>
      <c r="Y315" s="651" t="str">
        <f>IF($V315=0," ",IF(LEN($B315)=4,$B315*1,$B315))</f>
        <v> </v>
      </c>
      <c r="Z315" s="654">
        <f>IF($Y315=" ",0,"ORG "&amp;$D315&amp;" - "&amp;$G315)</f>
        <v>0</v>
      </c>
      <c r="AA315" s="655" t="str">
        <f>$B315&amp;LEFT($C315,4)&amp;$D315&amp;$E315&amp;$F315</f>
        <v>Celk</v>
      </c>
      <c r="AB315" s="638"/>
      <c r="AC315" s="638"/>
      <c r="AD315" s="638"/>
      <c r="AE315" s="638"/>
      <c r="AF315" s="638"/>
    </row>
    <row r="316" spans="1:32" ht="12.75" outlineLevel="2">
      <c r="A316" s="639">
        <f t="shared" si="41"/>
        <v>314</v>
      </c>
      <c r="B316" s="658" t="s">
        <v>606</v>
      </c>
      <c r="C316" s="641" t="s">
        <v>964</v>
      </c>
      <c r="D316" s="641">
        <v>2824</v>
      </c>
      <c r="E316" s="641">
        <v>6121</v>
      </c>
      <c r="F316" s="649"/>
      <c r="G316" s="642" t="s">
        <v>965</v>
      </c>
      <c r="H316" s="641">
        <v>2014</v>
      </c>
      <c r="I316" s="641">
        <v>2014</v>
      </c>
      <c r="J316" s="660">
        <v>40000</v>
      </c>
      <c r="K316" s="660"/>
      <c r="L316" s="660"/>
      <c r="M316" s="661">
        <v>35000</v>
      </c>
      <c r="N316" s="661"/>
      <c r="O316" s="660"/>
      <c r="P316" s="647" t="str">
        <f t="shared" si="42"/>
        <v> </v>
      </c>
      <c r="Q316" s="661"/>
      <c r="R316" s="661"/>
      <c r="S316" s="662"/>
      <c r="T316" s="649" t="s">
        <v>966</v>
      </c>
      <c r="U316" s="669"/>
      <c r="V316" s="651">
        <f t="shared" si="48"/>
        <v>40000</v>
      </c>
      <c r="W316" s="652">
        <f>IF(AND(P316&lt;'[1]koment'!$F$1,N316&gt;='[1]koment'!$F$2),"Komentovat","")</f>
      </c>
      <c r="X316" s="653" t="e">
        <f>IF(W316="Komentovat",X314+1,X314)</f>
        <v>#REF!</v>
      </c>
      <c r="Y316" s="651">
        <f t="shared" si="49"/>
        <v>5600</v>
      </c>
      <c r="Z316" s="654" t="str">
        <f t="shared" si="50"/>
        <v>ORG 2824 - Přírodní koupací biotop Brno, Horní Heršpice</v>
      </c>
      <c r="AA316" s="655" t="str">
        <f t="shared" si="51"/>
        <v>5600342928246121</v>
      </c>
      <c r="AB316" s="638"/>
      <c r="AC316" s="638"/>
      <c r="AD316" s="638"/>
      <c r="AE316" s="638"/>
      <c r="AF316" s="638"/>
    </row>
    <row r="317" spans="1:32" ht="12.75" outlineLevel="2">
      <c r="A317" s="639">
        <f t="shared" si="41"/>
        <v>315</v>
      </c>
      <c r="B317" s="658" t="s">
        <v>606</v>
      </c>
      <c r="C317" s="641" t="s">
        <v>964</v>
      </c>
      <c r="D317" s="641">
        <v>2824</v>
      </c>
      <c r="E317" s="641">
        <v>6121</v>
      </c>
      <c r="F317" s="649">
        <v>41</v>
      </c>
      <c r="G317" s="642" t="s">
        <v>965</v>
      </c>
      <c r="H317" s="641"/>
      <c r="I317" s="641"/>
      <c r="J317" s="660"/>
      <c r="K317" s="660"/>
      <c r="L317" s="660"/>
      <c r="M317" s="661">
        <v>5000</v>
      </c>
      <c r="N317" s="661"/>
      <c r="O317" s="660"/>
      <c r="P317" s="647" t="str">
        <f t="shared" si="42"/>
        <v> </v>
      </c>
      <c r="Q317" s="661"/>
      <c r="R317" s="661"/>
      <c r="S317" s="662"/>
      <c r="T317" s="649" t="s">
        <v>966</v>
      </c>
      <c r="U317" s="669"/>
      <c r="V317" s="651">
        <f t="shared" si="48"/>
        <v>0</v>
      </c>
      <c r="W317" s="652">
        <f>IF(AND(P317&lt;'[1]koment'!$F$1,N317&gt;='[1]koment'!$F$2),"Komentovat","")</f>
      </c>
      <c r="X317" s="653" t="e">
        <f t="shared" si="54"/>
        <v>#REF!</v>
      </c>
      <c r="Y317" s="651" t="str">
        <f t="shared" si="49"/>
        <v> </v>
      </c>
      <c r="Z317" s="654">
        <f t="shared" si="50"/>
        <v>0</v>
      </c>
      <c r="AA317" s="655" t="str">
        <f t="shared" si="51"/>
        <v>560034292824612141</v>
      </c>
      <c r="AB317" s="638"/>
      <c r="AC317" s="638"/>
      <c r="AD317" s="638"/>
      <c r="AE317" s="638"/>
      <c r="AF317" s="638"/>
    </row>
    <row r="318" spans="1:32" ht="12.75" outlineLevel="2">
      <c r="A318" s="639">
        <f t="shared" si="41"/>
        <v>316</v>
      </c>
      <c r="B318" s="640" t="s">
        <v>235</v>
      </c>
      <c r="C318" s="641" t="s">
        <v>964</v>
      </c>
      <c r="D318" s="641">
        <v>5144</v>
      </c>
      <c r="E318" s="641">
        <v>6121</v>
      </c>
      <c r="F318" s="659" t="s">
        <v>665</v>
      </c>
      <c r="G318" s="642" t="s">
        <v>967</v>
      </c>
      <c r="H318" s="642"/>
      <c r="I318" s="642"/>
      <c r="J318" s="644"/>
      <c r="K318" s="644"/>
      <c r="L318" s="645"/>
      <c r="M318" s="646"/>
      <c r="N318" s="646">
        <v>30</v>
      </c>
      <c r="O318" s="644">
        <v>27</v>
      </c>
      <c r="P318" s="647">
        <f t="shared" si="42"/>
        <v>0.9</v>
      </c>
      <c r="Q318" s="646">
        <v>10000</v>
      </c>
      <c r="R318" s="646"/>
      <c r="S318" s="648"/>
      <c r="T318" s="649" t="s">
        <v>877</v>
      </c>
      <c r="U318" s="669"/>
      <c r="V318" s="651">
        <f t="shared" si="48"/>
        <v>-10030</v>
      </c>
      <c r="W318" s="652">
        <f>IF(AND(P318&lt;'[1]koment'!$F$1,N318&gt;='[1]koment'!$F$2),"Komentovat","")</f>
      </c>
      <c r="X318" s="653" t="e">
        <f t="shared" si="54"/>
        <v>#REF!</v>
      </c>
      <c r="Y318" s="651">
        <f t="shared" si="49"/>
        <v>4100</v>
      </c>
      <c r="Z318" s="654" t="str">
        <f t="shared" si="50"/>
        <v>ORG 5144 - Zvýšení atraktivity Brněnské přehrady</v>
      </c>
      <c r="AA318" s="655" t="str">
        <f t="shared" si="51"/>
        <v>4100342951446121EU</v>
      </c>
      <c r="AB318" s="638"/>
      <c r="AC318" s="638"/>
      <c r="AD318" s="638"/>
      <c r="AE318" s="638"/>
      <c r="AF318" s="638"/>
    </row>
    <row r="319" spans="1:32" ht="12.75" outlineLevel="2">
      <c r="A319" s="639">
        <f t="shared" si="41"/>
        <v>317</v>
      </c>
      <c r="B319" s="658" t="s">
        <v>606</v>
      </c>
      <c r="C319" s="641" t="s">
        <v>964</v>
      </c>
      <c r="D319" s="641">
        <v>5144</v>
      </c>
      <c r="E319" s="641">
        <v>6121</v>
      </c>
      <c r="F319" s="659" t="s">
        <v>665</v>
      </c>
      <c r="G319" s="642" t="s">
        <v>967</v>
      </c>
      <c r="H319" s="665">
        <v>2012</v>
      </c>
      <c r="I319" s="665">
        <v>2015</v>
      </c>
      <c r="J319" s="660">
        <v>23000</v>
      </c>
      <c r="K319" s="660">
        <v>21227</v>
      </c>
      <c r="L319" s="660">
        <f>132+593</f>
        <v>725</v>
      </c>
      <c r="M319" s="661">
        <v>5000</v>
      </c>
      <c r="N319" s="661">
        <v>5000</v>
      </c>
      <c r="O319" s="660">
        <v>306</v>
      </c>
      <c r="P319" s="647">
        <f t="shared" si="42"/>
        <v>0.0612</v>
      </c>
      <c r="Q319" s="661"/>
      <c r="R319" s="661"/>
      <c r="S319" s="662"/>
      <c r="T319" s="649" t="s">
        <v>609</v>
      </c>
      <c r="U319" s="669"/>
      <c r="V319" s="651">
        <f t="shared" si="48"/>
        <v>17275</v>
      </c>
      <c r="W319" s="652" t="str">
        <f>IF(AND(P319&lt;'[1]koment'!$F$1,N319&gt;='[1]koment'!$F$2),"Komentovat","")</f>
        <v>Komentovat</v>
      </c>
      <c r="X319" s="653" t="e">
        <f t="shared" si="54"/>
        <v>#REF!</v>
      </c>
      <c r="Y319" s="651">
        <f t="shared" si="49"/>
        <v>5600</v>
      </c>
      <c r="Z319" s="654" t="str">
        <f t="shared" si="50"/>
        <v>ORG 5144 - Zvýšení atraktivity Brněnské přehrady</v>
      </c>
      <c r="AA319" s="655" t="str">
        <f t="shared" si="51"/>
        <v>5600342951446121EU</v>
      </c>
      <c r="AB319" s="638"/>
      <c r="AC319" s="638"/>
      <c r="AD319" s="638"/>
      <c r="AE319" s="638"/>
      <c r="AF319" s="638"/>
    </row>
    <row r="320" spans="1:32" ht="12.75" outlineLevel="2">
      <c r="A320" s="639">
        <f t="shared" si="41"/>
        <v>318</v>
      </c>
      <c r="B320" s="658" t="s">
        <v>606</v>
      </c>
      <c r="C320" s="641" t="s">
        <v>964</v>
      </c>
      <c r="D320" s="641">
        <v>5182</v>
      </c>
      <c r="E320" s="641">
        <v>6121</v>
      </c>
      <c r="F320" s="659" t="s">
        <v>665</v>
      </c>
      <c r="G320" s="642" t="s">
        <v>968</v>
      </c>
      <c r="H320" s="665">
        <v>2013</v>
      </c>
      <c r="I320" s="665">
        <v>2015</v>
      </c>
      <c r="J320" s="660">
        <v>11495</v>
      </c>
      <c r="K320" s="660">
        <v>9325</v>
      </c>
      <c r="L320" s="660"/>
      <c r="M320" s="661">
        <v>3000</v>
      </c>
      <c r="N320" s="661">
        <v>500</v>
      </c>
      <c r="O320" s="660">
        <v>253</v>
      </c>
      <c r="P320" s="647">
        <f t="shared" si="42"/>
        <v>0.506</v>
      </c>
      <c r="Q320" s="661">
        <v>8000</v>
      </c>
      <c r="R320" s="661"/>
      <c r="S320" s="662"/>
      <c r="T320" s="649" t="s">
        <v>609</v>
      </c>
      <c r="U320" s="669"/>
      <c r="V320" s="651">
        <f t="shared" si="48"/>
        <v>2995</v>
      </c>
      <c r="W320" s="652">
        <f>IF(AND(P320&lt;'[1]koment'!$F$1,N320&gt;='[1]koment'!$F$2),"Komentovat","")</f>
      </c>
      <c r="X320" s="653" t="e">
        <f t="shared" si="54"/>
        <v>#REF!</v>
      </c>
      <c r="Y320" s="651">
        <f t="shared" si="49"/>
        <v>5600</v>
      </c>
      <c r="Z320" s="654" t="str">
        <f t="shared" si="50"/>
        <v>ORG 5182 - Sportovně-rekreační plocha Kartouzská</v>
      </c>
      <c r="AA320" s="655" t="str">
        <f t="shared" si="51"/>
        <v>5600342951826121EU</v>
      </c>
      <c r="AB320" s="638"/>
      <c r="AC320" s="638"/>
      <c r="AD320" s="638"/>
      <c r="AE320" s="638"/>
      <c r="AF320" s="638"/>
    </row>
    <row r="321" spans="1:32" ht="12.75" outlineLevel="1">
      <c r="A321" s="639">
        <f t="shared" si="41"/>
        <v>319</v>
      </c>
      <c r="B321" s="658"/>
      <c r="C321" s="666" t="s">
        <v>969</v>
      </c>
      <c r="D321" s="641"/>
      <c r="E321" s="641"/>
      <c r="F321" s="659"/>
      <c r="G321" s="642"/>
      <c r="H321" s="665"/>
      <c r="I321" s="665"/>
      <c r="J321" s="660">
        <f aca="true" t="shared" si="61" ref="J321:O321">SUBTOTAL(9,J316:J320)</f>
        <v>74495</v>
      </c>
      <c r="K321" s="660">
        <f t="shared" si="61"/>
        <v>30552</v>
      </c>
      <c r="L321" s="660">
        <f t="shared" si="61"/>
        <v>725</v>
      </c>
      <c r="M321" s="661">
        <f t="shared" si="61"/>
        <v>48000</v>
      </c>
      <c r="N321" s="661">
        <f t="shared" si="61"/>
        <v>5530</v>
      </c>
      <c r="O321" s="660">
        <f t="shared" si="61"/>
        <v>586</v>
      </c>
      <c r="P321" s="647">
        <f t="shared" si="42"/>
        <v>0.10596745027124774</v>
      </c>
      <c r="Q321" s="661">
        <f>SUBTOTAL(9,Q316:Q320)</f>
        <v>18000</v>
      </c>
      <c r="R321" s="661">
        <f>SUBTOTAL(9,R316:R320)</f>
        <v>0</v>
      </c>
      <c r="S321" s="662">
        <f>SUBTOTAL(9,S316:S320)</f>
        <v>0</v>
      </c>
      <c r="T321" s="649"/>
      <c r="U321" s="669"/>
      <c r="V321" s="651"/>
      <c r="W321" s="652"/>
      <c r="X321" s="653"/>
      <c r="Y321" s="651" t="str">
        <f>IF($V321=0," ",IF(LEN($B321)=4,$B321*1,$B321))</f>
        <v> </v>
      </c>
      <c r="Z321" s="654">
        <f>IF($Y321=" ",0,"ORG "&amp;$D321&amp;" - "&amp;$G321)</f>
        <v>0</v>
      </c>
      <c r="AA321" s="655" t="str">
        <f>$B321&amp;LEFT($C321,4)&amp;$D321&amp;$E321&amp;$F321</f>
        <v>Celk</v>
      </c>
      <c r="AB321" s="638"/>
      <c r="AC321" s="638"/>
      <c r="AD321" s="638"/>
      <c r="AE321" s="638"/>
      <c r="AF321" s="638"/>
    </row>
    <row r="322" spans="1:32" ht="12.75" outlineLevel="2">
      <c r="A322" s="639">
        <f t="shared" si="41"/>
        <v>320</v>
      </c>
      <c r="B322" s="658" t="s">
        <v>606</v>
      </c>
      <c r="C322" s="641" t="s">
        <v>970</v>
      </c>
      <c r="D322" s="641">
        <v>3075</v>
      </c>
      <c r="E322" s="641">
        <v>6121</v>
      </c>
      <c r="F322" s="649"/>
      <c r="G322" s="642" t="s">
        <v>971</v>
      </c>
      <c r="H322" s="665">
        <v>2009</v>
      </c>
      <c r="I322" s="641">
        <v>2016</v>
      </c>
      <c r="J322" s="660">
        <v>360590</v>
      </c>
      <c r="K322" s="660"/>
      <c r="L322" s="660">
        <f>2203+2685+97</f>
        <v>4985</v>
      </c>
      <c r="M322" s="661">
        <v>26891</v>
      </c>
      <c r="N322" s="661">
        <v>12421</v>
      </c>
      <c r="O322" s="660">
        <v>922</v>
      </c>
      <c r="P322" s="647">
        <f t="shared" si="42"/>
        <v>0.07422912808952581</v>
      </c>
      <c r="Q322" s="661">
        <v>33061</v>
      </c>
      <c r="R322" s="661"/>
      <c r="S322" s="662">
        <v>33060</v>
      </c>
      <c r="T322" s="649" t="s">
        <v>609</v>
      </c>
      <c r="U322" s="669"/>
      <c r="V322" s="651">
        <f t="shared" si="48"/>
        <v>277063</v>
      </c>
      <c r="W322" s="652" t="str">
        <f>IF(AND(P322&lt;'[1]koment'!$F$1,N322&gt;='[1]koment'!$F$2),"Komentovat","")</f>
        <v>Komentovat</v>
      </c>
      <c r="X322" s="653" t="e">
        <f>IF(W322="Komentovat",X320+1,X320)</f>
        <v>#REF!</v>
      </c>
      <c r="Y322" s="651">
        <f t="shared" si="49"/>
        <v>5600</v>
      </c>
      <c r="Z322" s="654" t="str">
        <f t="shared" si="50"/>
        <v>ORG 3075 - Rekonstrukce polikliniky Zahradníkova</v>
      </c>
      <c r="AA322" s="655" t="str">
        <f t="shared" si="51"/>
        <v>5600351130756121</v>
      </c>
      <c r="AB322" s="638"/>
      <c r="AC322" s="638"/>
      <c r="AD322" s="638"/>
      <c r="AE322" s="638"/>
      <c r="AF322" s="638"/>
    </row>
    <row r="323" spans="1:32" ht="12.75" outlineLevel="2">
      <c r="A323" s="639">
        <f t="shared" si="41"/>
        <v>321</v>
      </c>
      <c r="B323" s="658" t="s">
        <v>606</v>
      </c>
      <c r="C323" s="641" t="s">
        <v>970</v>
      </c>
      <c r="D323" s="641">
        <v>3439</v>
      </c>
      <c r="E323" s="641">
        <v>6121</v>
      </c>
      <c r="F323" s="649"/>
      <c r="G323" s="642" t="s">
        <v>972</v>
      </c>
      <c r="H323" s="665">
        <v>2004</v>
      </c>
      <c r="I323" s="665">
        <v>2015</v>
      </c>
      <c r="J323" s="660">
        <v>61774</v>
      </c>
      <c r="K323" s="660"/>
      <c r="L323" s="660">
        <v>9388</v>
      </c>
      <c r="M323" s="661"/>
      <c r="N323" s="661"/>
      <c r="O323" s="660"/>
      <c r="P323" s="647" t="str">
        <f t="shared" si="42"/>
        <v> </v>
      </c>
      <c r="Q323" s="661">
        <v>52386</v>
      </c>
      <c r="R323" s="661"/>
      <c r="S323" s="662"/>
      <c r="T323" s="649" t="s">
        <v>609</v>
      </c>
      <c r="U323" s="669"/>
      <c r="V323" s="651">
        <f t="shared" si="48"/>
        <v>0</v>
      </c>
      <c r="W323" s="652">
        <f>IF(AND(P323&lt;'[1]koment'!$F$1,N323&gt;='[1]koment'!$F$2),"Komentovat","")</f>
      </c>
      <c r="X323" s="653" t="e">
        <f t="shared" si="54"/>
        <v>#REF!</v>
      </c>
      <c r="Y323" s="651" t="str">
        <f t="shared" si="49"/>
        <v> </v>
      </c>
      <c r="Z323" s="654">
        <f t="shared" si="50"/>
        <v>0</v>
      </c>
      <c r="AA323" s="655" t="str">
        <f t="shared" si="51"/>
        <v>5600351134396121</v>
      </c>
      <c r="AB323" s="638"/>
      <c r="AC323" s="638"/>
      <c r="AD323" s="638"/>
      <c r="AE323" s="638"/>
      <c r="AF323" s="638"/>
    </row>
    <row r="324" spans="1:32" ht="12.75" outlineLevel="1">
      <c r="A324" s="639">
        <f aca="true" t="shared" si="62" ref="A324:A387">ROW()-2</f>
        <v>322</v>
      </c>
      <c r="B324" s="658"/>
      <c r="C324" s="666" t="s">
        <v>973</v>
      </c>
      <c r="D324" s="641"/>
      <c r="E324" s="641"/>
      <c r="F324" s="649"/>
      <c r="G324" s="642"/>
      <c r="H324" s="665"/>
      <c r="I324" s="665"/>
      <c r="J324" s="660">
        <f aca="true" t="shared" si="63" ref="J324:O324">SUBTOTAL(9,J322:J323)</f>
        <v>422364</v>
      </c>
      <c r="K324" s="660">
        <f t="shared" si="63"/>
        <v>0</v>
      </c>
      <c r="L324" s="660">
        <f t="shared" si="63"/>
        <v>14373</v>
      </c>
      <c r="M324" s="661">
        <f t="shared" si="63"/>
        <v>26891</v>
      </c>
      <c r="N324" s="661">
        <f t="shared" si="63"/>
        <v>12421</v>
      </c>
      <c r="O324" s="660">
        <f t="shared" si="63"/>
        <v>922</v>
      </c>
      <c r="P324" s="647">
        <f aca="true" t="shared" si="64" ref="P324:P387">IF(N324&lt;=0," ",O324/N324)</f>
        <v>0.07422912808952581</v>
      </c>
      <c r="Q324" s="661">
        <f>SUBTOTAL(9,Q322:Q323)</f>
        <v>85447</v>
      </c>
      <c r="R324" s="661">
        <f>SUBTOTAL(9,R322:R323)</f>
        <v>0</v>
      </c>
      <c r="S324" s="662">
        <f>SUBTOTAL(9,S322:S323)</f>
        <v>33060</v>
      </c>
      <c r="T324" s="649"/>
      <c r="U324" s="669"/>
      <c r="V324" s="651"/>
      <c r="W324" s="652"/>
      <c r="X324" s="653"/>
      <c r="Y324" s="651" t="str">
        <f>IF($V324=0," ",IF(LEN($B324)=4,$B324*1,$B324))</f>
        <v> </v>
      </c>
      <c r="Z324" s="654">
        <f>IF($Y324=" ",0,"ORG "&amp;$D324&amp;" - "&amp;$G324)</f>
        <v>0</v>
      </c>
      <c r="AA324" s="655" t="str">
        <f>$B324&amp;LEFT($C324,4)&amp;$D324&amp;$E324&amp;$F324</f>
        <v>Celk</v>
      </c>
      <c r="AB324" s="638"/>
      <c r="AC324" s="638"/>
      <c r="AD324" s="638"/>
      <c r="AE324" s="638"/>
      <c r="AF324" s="638"/>
    </row>
    <row r="325" spans="1:32" ht="12.75" outlineLevel="2">
      <c r="A325" s="639">
        <f t="shared" si="62"/>
        <v>323</v>
      </c>
      <c r="B325" s="640" t="s">
        <v>606</v>
      </c>
      <c r="C325" s="641" t="s">
        <v>974</v>
      </c>
      <c r="D325" s="642">
        <v>2775</v>
      </c>
      <c r="E325" s="641">
        <v>6351</v>
      </c>
      <c r="F325" s="643"/>
      <c r="G325" s="642" t="s">
        <v>975</v>
      </c>
      <c r="H325" s="642">
        <v>2014</v>
      </c>
      <c r="I325" s="642">
        <v>2015</v>
      </c>
      <c r="J325" s="644">
        <v>17100</v>
      </c>
      <c r="K325" s="644"/>
      <c r="L325" s="645"/>
      <c r="M325" s="646"/>
      <c r="N325" s="646">
        <v>14050</v>
      </c>
      <c r="O325" s="644">
        <v>14050</v>
      </c>
      <c r="P325" s="647">
        <f t="shared" si="64"/>
        <v>1</v>
      </c>
      <c r="Q325" s="646"/>
      <c r="R325" s="646"/>
      <c r="S325" s="648"/>
      <c r="T325" s="649" t="s">
        <v>976</v>
      </c>
      <c r="U325" s="669"/>
      <c r="V325" s="651">
        <f t="shared" si="48"/>
        <v>3050</v>
      </c>
      <c r="W325" s="652">
        <f>IF(AND(P325&lt;'[1]koment'!$F$1,N325&gt;='[1]koment'!$F$2),"Komentovat","")</f>
      </c>
      <c r="X325" s="653" t="e">
        <f>IF(W325="Komentovat",X323+1,X323)</f>
        <v>#REF!</v>
      </c>
      <c r="Y325" s="651">
        <f t="shared" si="49"/>
        <v>5600</v>
      </c>
      <c r="Z325" s="654" t="str">
        <f t="shared" si="50"/>
        <v>ORG 2775 - ÚN v Brně-zateplení fasády,výměna oken a přístavba výtahu Koliště 41</v>
      </c>
      <c r="AA325" s="655" t="str">
        <f t="shared" si="51"/>
        <v>5600352227756351</v>
      </c>
      <c r="AB325" s="638"/>
      <c r="AC325" s="638"/>
      <c r="AD325" s="638"/>
      <c r="AE325" s="638"/>
      <c r="AF325" s="638"/>
    </row>
    <row r="326" spans="1:32" ht="12.75" outlineLevel="2">
      <c r="A326" s="639">
        <f t="shared" si="62"/>
        <v>324</v>
      </c>
      <c r="B326" s="658" t="s">
        <v>606</v>
      </c>
      <c r="C326" s="641" t="s">
        <v>974</v>
      </c>
      <c r="D326" s="641">
        <v>2798</v>
      </c>
      <c r="E326" s="641">
        <v>6351</v>
      </c>
      <c r="F326" s="649"/>
      <c r="G326" s="642" t="s">
        <v>977</v>
      </c>
      <c r="H326" s="665">
        <v>2014</v>
      </c>
      <c r="I326" s="665">
        <v>2014</v>
      </c>
      <c r="J326" s="660">
        <v>5000</v>
      </c>
      <c r="K326" s="660"/>
      <c r="L326" s="660"/>
      <c r="M326" s="661"/>
      <c r="N326" s="661">
        <v>5000</v>
      </c>
      <c r="O326" s="660">
        <v>5000</v>
      </c>
      <c r="P326" s="647">
        <f t="shared" si="64"/>
        <v>1</v>
      </c>
      <c r="Q326" s="661"/>
      <c r="R326" s="661"/>
      <c r="S326" s="662"/>
      <c r="T326" s="649" t="s">
        <v>976</v>
      </c>
      <c r="U326" s="669"/>
      <c r="V326" s="651">
        <f t="shared" si="48"/>
        <v>0</v>
      </c>
      <c r="W326" s="652">
        <f>IF(AND(P326&lt;'[1]koment'!$F$1,N326&gt;='[1]koment'!$F$2),"Komentovat","")</f>
      </c>
      <c r="X326" s="653" t="e">
        <f t="shared" si="54"/>
        <v>#REF!</v>
      </c>
      <c r="Y326" s="651" t="str">
        <f t="shared" si="49"/>
        <v> </v>
      </c>
      <c r="Z326" s="654">
        <f t="shared" si="50"/>
        <v>0</v>
      </c>
      <c r="AA326" s="655" t="str">
        <f t="shared" si="51"/>
        <v>5600352227986351</v>
      </c>
      <c r="AB326" s="638"/>
      <c r="AC326" s="638"/>
      <c r="AD326" s="638"/>
      <c r="AE326" s="638"/>
      <c r="AF326" s="638"/>
    </row>
    <row r="327" spans="1:32" ht="12.75" outlineLevel="2">
      <c r="A327" s="639">
        <f t="shared" si="62"/>
        <v>325</v>
      </c>
      <c r="B327" s="663">
        <v>5600</v>
      </c>
      <c r="C327" s="641" t="s">
        <v>974</v>
      </c>
      <c r="D327" s="641">
        <v>2923</v>
      </c>
      <c r="E327" s="641">
        <v>6351</v>
      </c>
      <c r="F327" s="649"/>
      <c r="G327" s="642" t="s">
        <v>978</v>
      </c>
      <c r="H327" s="641">
        <v>2012</v>
      </c>
      <c r="I327" s="641">
        <v>2014</v>
      </c>
      <c r="J327" s="660">
        <f>45000+10500</f>
        <v>55500</v>
      </c>
      <c r="K327" s="660"/>
      <c r="L327" s="660">
        <f>17000+16000</f>
        <v>33000</v>
      </c>
      <c r="M327" s="661">
        <v>12000</v>
      </c>
      <c r="N327" s="661">
        <v>22500</v>
      </c>
      <c r="O327" s="660">
        <v>22500</v>
      </c>
      <c r="P327" s="647">
        <f t="shared" si="64"/>
        <v>1</v>
      </c>
      <c r="Q327" s="661"/>
      <c r="R327" s="661"/>
      <c r="S327" s="662"/>
      <c r="T327" s="649" t="s">
        <v>979</v>
      </c>
      <c r="U327" s="669"/>
      <c r="V327" s="651">
        <f t="shared" si="48"/>
        <v>0</v>
      </c>
      <c r="W327" s="652">
        <f>IF(AND(P327&lt;'[1]koment'!$F$1,N327&gt;='[1]koment'!$F$2),"Komentovat","")</f>
      </c>
      <c r="X327" s="653" t="e">
        <f t="shared" si="54"/>
        <v>#REF!</v>
      </c>
      <c r="Y327" s="651" t="str">
        <f t="shared" si="49"/>
        <v> </v>
      </c>
      <c r="Z327" s="654">
        <f t="shared" si="50"/>
        <v>0</v>
      </c>
      <c r="AA327" s="655" t="str">
        <f t="shared" si="51"/>
        <v>5600352229236351</v>
      </c>
      <c r="AB327" s="638"/>
      <c r="AC327" s="638"/>
      <c r="AD327" s="638"/>
      <c r="AE327" s="638"/>
      <c r="AF327" s="638"/>
    </row>
    <row r="328" spans="1:32" ht="12.75" outlineLevel="2">
      <c r="A328" s="639">
        <f t="shared" si="62"/>
        <v>326</v>
      </c>
      <c r="B328" s="663" t="s">
        <v>235</v>
      </c>
      <c r="C328" s="641" t="s">
        <v>974</v>
      </c>
      <c r="D328" s="641">
        <v>5175</v>
      </c>
      <c r="E328" s="641">
        <v>6451</v>
      </c>
      <c r="F328" s="659" t="s">
        <v>665</v>
      </c>
      <c r="G328" s="642" t="s">
        <v>980</v>
      </c>
      <c r="H328" s="641">
        <v>2013</v>
      </c>
      <c r="I328" s="641">
        <v>2014</v>
      </c>
      <c r="J328" s="660">
        <v>18603</v>
      </c>
      <c r="K328" s="660">
        <v>18603</v>
      </c>
      <c r="L328" s="660">
        <f>5000</f>
        <v>5000</v>
      </c>
      <c r="M328" s="661">
        <v>13603</v>
      </c>
      <c r="N328" s="661">
        <v>13603</v>
      </c>
      <c r="O328" s="660">
        <v>13602</v>
      </c>
      <c r="P328" s="647">
        <f t="shared" si="64"/>
        <v>0.9999264868043813</v>
      </c>
      <c r="Q328" s="661"/>
      <c r="R328" s="661"/>
      <c r="S328" s="662"/>
      <c r="T328" s="649" t="s">
        <v>979</v>
      </c>
      <c r="U328" s="669"/>
      <c r="V328" s="651">
        <f t="shared" si="48"/>
        <v>0</v>
      </c>
      <c r="W328" s="652">
        <f>IF(AND(P328&lt;'[1]koment'!$F$1,N328&gt;='[1]koment'!$F$2),"Komentovat","")</f>
      </c>
      <c r="X328" s="653" t="e">
        <f t="shared" si="54"/>
        <v>#REF!</v>
      </c>
      <c r="Y328" s="651" t="str">
        <f t="shared" si="49"/>
        <v> </v>
      </c>
      <c r="Z328" s="654">
        <f t="shared" si="50"/>
        <v>0</v>
      </c>
      <c r="AA328" s="655" t="str">
        <f t="shared" si="51"/>
        <v>4100352251756451EU</v>
      </c>
      <c r="AB328" s="638"/>
      <c r="AC328" s="638"/>
      <c r="AD328" s="638"/>
      <c r="AE328" s="638"/>
      <c r="AF328" s="638"/>
    </row>
    <row r="329" spans="1:32" ht="25.5" outlineLevel="2">
      <c r="A329" s="639">
        <f t="shared" si="62"/>
        <v>327</v>
      </c>
      <c r="B329" s="663" t="s">
        <v>606</v>
      </c>
      <c r="C329" s="641" t="s">
        <v>974</v>
      </c>
      <c r="D329" s="641">
        <v>5176</v>
      </c>
      <c r="E329" s="641">
        <v>6351</v>
      </c>
      <c r="F329" s="659" t="s">
        <v>665</v>
      </c>
      <c r="G329" s="682" t="s">
        <v>981</v>
      </c>
      <c r="H329" s="641">
        <v>2013</v>
      </c>
      <c r="I329" s="641">
        <v>2015</v>
      </c>
      <c r="J329" s="660">
        <v>76897</v>
      </c>
      <c r="K329" s="660">
        <v>52613</v>
      </c>
      <c r="L329" s="660">
        <f>9284</f>
        <v>9284</v>
      </c>
      <c r="M329" s="661">
        <v>30000</v>
      </c>
      <c r="N329" s="661">
        <v>52613</v>
      </c>
      <c r="O329" s="660">
        <v>52612</v>
      </c>
      <c r="P329" s="647">
        <f t="shared" si="64"/>
        <v>0.9999809932906316</v>
      </c>
      <c r="Q329" s="661">
        <v>15000</v>
      </c>
      <c r="R329" s="661"/>
      <c r="S329" s="662"/>
      <c r="T329" s="649" t="s">
        <v>976</v>
      </c>
      <c r="U329" s="669"/>
      <c r="V329" s="651">
        <f t="shared" si="48"/>
        <v>0</v>
      </c>
      <c r="W329" s="652">
        <f>IF(AND(P329&lt;'[1]koment'!$F$1,N329&gt;='[1]koment'!$F$2),"Komentovat","")</f>
      </c>
      <c r="X329" s="653" t="e">
        <f t="shared" si="54"/>
        <v>#REF!</v>
      </c>
      <c r="Y329" s="651" t="str">
        <f t="shared" si="49"/>
        <v> </v>
      </c>
      <c r="Z329" s="654">
        <f t="shared" si="50"/>
        <v>0</v>
      </c>
      <c r="AA329" s="655" t="str">
        <f t="shared" si="51"/>
        <v>5600352251766351EU</v>
      </c>
      <c r="AB329" s="638"/>
      <c r="AC329" s="638"/>
      <c r="AD329" s="638"/>
      <c r="AE329" s="638"/>
      <c r="AF329" s="638"/>
    </row>
    <row r="330" spans="1:32" ht="12.75" outlineLevel="2">
      <c r="A330" s="639">
        <f t="shared" si="62"/>
        <v>328</v>
      </c>
      <c r="B330" s="640" t="s">
        <v>982</v>
      </c>
      <c r="C330" s="641" t="s">
        <v>974</v>
      </c>
      <c r="D330" s="656">
        <v>30049147</v>
      </c>
      <c r="E330" s="641">
        <v>6351</v>
      </c>
      <c r="F330" s="643"/>
      <c r="G330" s="642" t="s">
        <v>983</v>
      </c>
      <c r="H330" s="642"/>
      <c r="I330" s="642"/>
      <c r="J330" s="644"/>
      <c r="K330" s="644"/>
      <c r="L330" s="645"/>
      <c r="M330" s="646"/>
      <c r="N330" s="646">
        <v>14050</v>
      </c>
      <c r="O330" s="644">
        <v>11191</v>
      </c>
      <c r="P330" s="647">
        <f t="shared" si="64"/>
        <v>0.7965124555160142</v>
      </c>
      <c r="Q330" s="646"/>
      <c r="R330" s="646"/>
      <c r="S330" s="648"/>
      <c r="T330" s="649" t="s">
        <v>976</v>
      </c>
      <c r="U330" s="669"/>
      <c r="V330" s="651">
        <f t="shared" si="48"/>
        <v>0</v>
      </c>
      <c r="W330" s="652">
        <f>IF(AND(P330&lt;'[1]koment'!$F$1,N330&gt;='[1]koment'!$F$2),"Komentovat","")</f>
      </c>
      <c r="X330" s="653" t="e">
        <f t="shared" si="54"/>
        <v>#REF!</v>
      </c>
      <c r="Y330" s="651" t="str">
        <f t="shared" si="49"/>
        <v> </v>
      </c>
      <c r="Z330" s="654">
        <f t="shared" si="50"/>
        <v>0</v>
      </c>
      <c r="AA330" s="655" t="str">
        <f t="shared" si="51"/>
        <v>71003522300491476351</v>
      </c>
      <c r="AB330" s="638"/>
      <c r="AC330" s="638"/>
      <c r="AD330" s="638"/>
      <c r="AE330" s="638"/>
      <c r="AF330" s="638"/>
    </row>
    <row r="331" spans="1:32" ht="12.75" outlineLevel="1">
      <c r="A331" s="639">
        <f t="shared" si="62"/>
        <v>329</v>
      </c>
      <c r="B331" s="640"/>
      <c r="C331" s="666" t="s">
        <v>984</v>
      </c>
      <c r="D331" s="656"/>
      <c r="E331" s="641"/>
      <c r="F331" s="643"/>
      <c r="G331" s="642"/>
      <c r="H331" s="642"/>
      <c r="I331" s="642"/>
      <c r="J331" s="644">
        <f aca="true" t="shared" si="65" ref="J331:O331">SUBTOTAL(9,J325:J330)</f>
        <v>173100</v>
      </c>
      <c r="K331" s="644">
        <f t="shared" si="65"/>
        <v>71216</v>
      </c>
      <c r="L331" s="645">
        <f t="shared" si="65"/>
        <v>47284</v>
      </c>
      <c r="M331" s="646">
        <f t="shared" si="65"/>
        <v>55603</v>
      </c>
      <c r="N331" s="646">
        <f t="shared" si="65"/>
        <v>121816</v>
      </c>
      <c r="O331" s="644">
        <f t="shared" si="65"/>
        <v>118955</v>
      </c>
      <c r="P331" s="647">
        <f t="shared" si="64"/>
        <v>0.9765137584553754</v>
      </c>
      <c r="Q331" s="646">
        <f>SUBTOTAL(9,Q325:Q330)</f>
        <v>15000</v>
      </c>
      <c r="R331" s="646">
        <f>SUBTOTAL(9,R325:R330)</f>
        <v>0</v>
      </c>
      <c r="S331" s="648">
        <f>SUBTOTAL(9,S325:S330)</f>
        <v>0</v>
      </c>
      <c r="T331" s="649"/>
      <c r="U331" s="669"/>
      <c r="V331" s="651"/>
      <c r="W331" s="652"/>
      <c r="X331" s="653"/>
      <c r="Y331" s="651" t="str">
        <f>IF($V331=0," ",IF(LEN($B331)=4,$B331*1,$B331))</f>
        <v> </v>
      </c>
      <c r="Z331" s="654">
        <f>IF($Y331=" ",0,"ORG "&amp;$D331&amp;" - "&amp;$G331)</f>
        <v>0</v>
      </c>
      <c r="AA331" s="655" t="str">
        <f>$B331&amp;LEFT($C331,4)&amp;$D331&amp;$E331&amp;$F331</f>
        <v>Celk</v>
      </c>
      <c r="AB331" s="638"/>
      <c r="AC331" s="638"/>
      <c r="AD331" s="638"/>
      <c r="AE331" s="638"/>
      <c r="AF331" s="638"/>
    </row>
    <row r="332" spans="1:32" ht="12.75" outlineLevel="2">
      <c r="A332" s="639">
        <f t="shared" si="62"/>
        <v>330</v>
      </c>
      <c r="B332" s="663" t="s">
        <v>606</v>
      </c>
      <c r="C332" s="641" t="s">
        <v>985</v>
      </c>
      <c r="D332" s="641">
        <v>2821</v>
      </c>
      <c r="E332" s="641">
        <v>6351</v>
      </c>
      <c r="F332" s="649"/>
      <c r="G332" s="642" t="s">
        <v>986</v>
      </c>
      <c r="H332" s="641">
        <v>2014</v>
      </c>
      <c r="I332" s="641">
        <v>2014</v>
      </c>
      <c r="J332" s="660">
        <v>15700</v>
      </c>
      <c r="K332" s="660"/>
      <c r="L332" s="660"/>
      <c r="M332" s="661">
        <v>20000</v>
      </c>
      <c r="N332" s="661">
        <v>5950</v>
      </c>
      <c r="O332" s="660">
        <v>5950</v>
      </c>
      <c r="P332" s="647">
        <f t="shared" si="64"/>
        <v>1</v>
      </c>
      <c r="Q332" s="661"/>
      <c r="R332" s="661"/>
      <c r="S332" s="662"/>
      <c r="T332" s="649" t="s">
        <v>976</v>
      </c>
      <c r="U332" s="669"/>
      <c r="V332" s="651">
        <f t="shared" si="48"/>
        <v>9750</v>
      </c>
      <c r="W332" s="652">
        <f>IF(AND(P332&lt;'[1]koment'!$F$1,N332&gt;='[1]koment'!$F$2),"Komentovat","")</f>
      </c>
      <c r="X332" s="653" t="e">
        <f>IF(W332="Komentovat",X330+1,X330)</f>
        <v>#REF!</v>
      </c>
      <c r="Y332" s="651">
        <f t="shared" si="49"/>
        <v>5600</v>
      </c>
      <c r="Z332" s="654" t="str">
        <f t="shared" si="50"/>
        <v>ORG 2821 - ÚN v Brně - rek. střechy a půdní vestavba kanceláří Koliště 41</v>
      </c>
      <c r="AA332" s="655" t="str">
        <f t="shared" si="51"/>
        <v>5600352328216351</v>
      </c>
      <c r="AB332" s="638"/>
      <c r="AC332" s="638"/>
      <c r="AD332" s="638"/>
      <c r="AE332" s="638"/>
      <c r="AF332" s="638"/>
    </row>
    <row r="333" spans="1:32" ht="12.75" outlineLevel="2">
      <c r="A333" s="639">
        <f t="shared" si="62"/>
        <v>331</v>
      </c>
      <c r="B333" s="663" t="s">
        <v>606</v>
      </c>
      <c r="C333" s="641" t="s">
        <v>985</v>
      </c>
      <c r="D333" s="641">
        <v>2821</v>
      </c>
      <c r="E333" s="641">
        <v>6351</v>
      </c>
      <c r="F333" s="649">
        <v>41</v>
      </c>
      <c r="G333" s="642" t="s">
        <v>986</v>
      </c>
      <c r="H333" s="641"/>
      <c r="I333" s="641"/>
      <c r="J333" s="660"/>
      <c r="K333" s="660"/>
      <c r="L333" s="660"/>
      <c r="M333" s="661">
        <v>9750</v>
      </c>
      <c r="N333" s="661">
        <v>9750</v>
      </c>
      <c r="O333" s="660">
        <v>9750</v>
      </c>
      <c r="P333" s="647">
        <f t="shared" si="64"/>
        <v>1</v>
      </c>
      <c r="Q333" s="661"/>
      <c r="R333" s="661"/>
      <c r="S333" s="662"/>
      <c r="T333" s="649" t="s">
        <v>976</v>
      </c>
      <c r="U333" s="669"/>
      <c r="V333" s="651">
        <f t="shared" si="48"/>
        <v>-9750</v>
      </c>
      <c r="W333" s="652">
        <f>IF(AND(P333&lt;'[1]koment'!$F$1,N333&gt;='[1]koment'!$F$2),"Komentovat","")</f>
      </c>
      <c r="X333" s="653" t="e">
        <f t="shared" si="54"/>
        <v>#REF!</v>
      </c>
      <c r="Y333" s="651">
        <f t="shared" si="49"/>
        <v>5600</v>
      </c>
      <c r="Z333" s="654" t="str">
        <f t="shared" si="50"/>
        <v>ORG 2821 - ÚN v Brně - rek. střechy a půdní vestavba kanceláří Koliště 41</v>
      </c>
      <c r="AA333" s="655" t="str">
        <f t="shared" si="51"/>
        <v>560035232821635141</v>
      </c>
      <c r="AB333" s="638"/>
      <c r="AC333" s="638"/>
      <c r="AD333" s="638"/>
      <c r="AE333" s="638"/>
      <c r="AF333" s="638"/>
    </row>
    <row r="334" spans="1:32" ht="12.75" outlineLevel="2">
      <c r="A334" s="639">
        <f t="shared" si="62"/>
        <v>332</v>
      </c>
      <c r="B334" s="663" t="s">
        <v>606</v>
      </c>
      <c r="C334" s="641" t="s">
        <v>985</v>
      </c>
      <c r="D334" s="641">
        <v>2879</v>
      </c>
      <c r="E334" s="641">
        <v>6351</v>
      </c>
      <c r="F334" s="649"/>
      <c r="G334" s="656" t="s">
        <v>987</v>
      </c>
      <c r="H334" s="641">
        <v>2013</v>
      </c>
      <c r="I334" s="641">
        <v>2014</v>
      </c>
      <c r="J334" s="660"/>
      <c r="K334" s="660"/>
      <c r="L334" s="660">
        <f>16000</f>
        <v>16000</v>
      </c>
      <c r="M334" s="661">
        <v>3000</v>
      </c>
      <c r="N334" s="661">
        <v>3000</v>
      </c>
      <c r="O334" s="660">
        <v>3000</v>
      </c>
      <c r="P334" s="647">
        <f t="shared" si="64"/>
        <v>1</v>
      </c>
      <c r="Q334" s="661"/>
      <c r="R334" s="661"/>
      <c r="S334" s="662"/>
      <c r="T334" s="649" t="s">
        <v>609</v>
      </c>
      <c r="U334" s="669"/>
      <c r="V334" s="651">
        <f t="shared" si="48"/>
        <v>-19000</v>
      </c>
      <c r="W334" s="652">
        <f>IF(AND(P334&lt;'[1]koment'!$F$1,N334&gt;='[1]koment'!$F$2),"Komentovat","")</f>
      </c>
      <c r="X334" s="653" t="e">
        <f t="shared" si="54"/>
        <v>#REF!</v>
      </c>
      <c r="Y334" s="651">
        <f t="shared" si="49"/>
        <v>5600</v>
      </c>
      <c r="Z334" s="654" t="str">
        <f t="shared" si="50"/>
        <v>ORG 2879 - ÚN v Brně - rek. 7. NP budovy Ponávka 10 na lůžk. jednotku traumatologie</v>
      </c>
      <c r="AA334" s="655" t="str">
        <f t="shared" si="51"/>
        <v>5600352328796351</v>
      </c>
      <c r="AB334" s="638"/>
      <c r="AC334" s="638"/>
      <c r="AD334" s="638"/>
      <c r="AE334" s="638"/>
      <c r="AF334" s="638"/>
    </row>
    <row r="335" spans="1:32" ht="12.75" outlineLevel="1">
      <c r="A335" s="639">
        <f t="shared" si="62"/>
        <v>333</v>
      </c>
      <c r="B335" s="663"/>
      <c r="C335" s="666" t="s">
        <v>988</v>
      </c>
      <c r="D335" s="641"/>
      <c r="E335" s="641"/>
      <c r="F335" s="649"/>
      <c r="G335" s="642"/>
      <c r="H335" s="641"/>
      <c r="I335" s="641"/>
      <c r="J335" s="660">
        <f aca="true" t="shared" si="66" ref="J335:O335">SUBTOTAL(9,J332:J334)</f>
        <v>15700</v>
      </c>
      <c r="K335" s="660">
        <f t="shared" si="66"/>
        <v>0</v>
      </c>
      <c r="L335" s="660">
        <f t="shared" si="66"/>
        <v>16000</v>
      </c>
      <c r="M335" s="661">
        <f t="shared" si="66"/>
        <v>32750</v>
      </c>
      <c r="N335" s="661">
        <f t="shared" si="66"/>
        <v>18700</v>
      </c>
      <c r="O335" s="660">
        <f t="shared" si="66"/>
        <v>18700</v>
      </c>
      <c r="P335" s="647">
        <f t="shared" si="64"/>
        <v>1</v>
      </c>
      <c r="Q335" s="661">
        <f>SUBTOTAL(9,Q332:Q334)</f>
        <v>0</v>
      </c>
      <c r="R335" s="661">
        <f>SUBTOTAL(9,R332:R334)</f>
        <v>0</v>
      </c>
      <c r="S335" s="662">
        <f>SUBTOTAL(9,S332:S334)</f>
        <v>0</v>
      </c>
      <c r="T335" s="649"/>
      <c r="U335" s="669"/>
      <c r="V335" s="651"/>
      <c r="W335" s="652"/>
      <c r="X335" s="653"/>
      <c r="Y335" s="651" t="str">
        <f>IF($V335=0," ",IF(LEN($B335)=4,$B335*1,$B335))</f>
        <v> </v>
      </c>
      <c r="Z335" s="654">
        <f>IF($Y335=" ",0,"ORG "&amp;$D335&amp;" - "&amp;$G335)</f>
        <v>0</v>
      </c>
      <c r="AA335" s="655" t="str">
        <f>$B335&amp;LEFT($C335,4)&amp;$D335&amp;$E335&amp;$F335</f>
        <v>Celk</v>
      </c>
      <c r="AB335" s="638"/>
      <c r="AC335" s="638"/>
      <c r="AD335" s="638"/>
      <c r="AE335" s="638"/>
      <c r="AF335" s="638"/>
    </row>
    <row r="336" spans="1:32" ht="12.75" outlineLevel="2">
      <c r="A336" s="639">
        <f t="shared" si="62"/>
        <v>334</v>
      </c>
      <c r="B336" s="640" t="s">
        <v>982</v>
      </c>
      <c r="C336" s="641" t="s">
        <v>989</v>
      </c>
      <c r="D336" s="642">
        <v>3004</v>
      </c>
      <c r="E336" s="641">
        <v>6129</v>
      </c>
      <c r="F336" s="643"/>
      <c r="G336" s="642" t="s">
        <v>990</v>
      </c>
      <c r="H336" s="642"/>
      <c r="I336" s="642"/>
      <c r="J336" s="644"/>
      <c r="K336" s="644"/>
      <c r="L336" s="645"/>
      <c r="M336" s="646"/>
      <c r="N336" s="646">
        <v>64</v>
      </c>
      <c r="O336" s="644">
        <v>63</v>
      </c>
      <c r="P336" s="647">
        <f t="shared" si="64"/>
        <v>0.984375</v>
      </c>
      <c r="Q336" s="646"/>
      <c r="R336" s="646"/>
      <c r="S336" s="648"/>
      <c r="T336" s="649" t="s">
        <v>991</v>
      </c>
      <c r="U336" s="669"/>
      <c r="V336" s="651">
        <f t="shared" si="48"/>
        <v>-64</v>
      </c>
      <c r="W336" s="652">
        <f>IF(AND(P336&lt;'[1]koment'!$F$1,N336&gt;='[1]koment'!$F$2),"Komentovat","")</f>
      </c>
      <c r="X336" s="653" t="e">
        <f>IF(W336="Komentovat",X334+1,X334)</f>
        <v>#REF!</v>
      </c>
      <c r="Y336" s="651">
        <f t="shared" si="49"/>
        <v>7100</v>
      </c>
      <c r="Z336" s="654" t="str">
        <f t="shared" si="50"/>
        <v>ORG 3004 - Nestavební investice OZ</v>
      </c>
      <c r="AA336" s="655" t="str">
        <f t="shared" si="51"/>
        <v>7100359930046129</v>
      </c>
      <c r="AB336" s="638"/>
      <c r="AC336" s="638"/>
      <c r="AD336" s="638"/>
      <c r="AE336" s="638"/>
      <c r="AF336" s="638"/>
    </row>
    <row r="337" spans="1:32" ht="12.75" outlineLevel="2">
      <c r="A337" s="639">
        <f t="shared" si="62"/>
        <v>335</v>
      </c>
      <c r="B337" s="658" t="s">
        <v>982</v>
      </c>
      <c r="C337" s="641" t="s">
        <v>989</v>
      </c>
      <c r="D337" s="641">
        <v>3078</v>
      </c>
      <c r="E337" s="641">
        <v>6121</v>
      </c>
      <c r="F337" s="649"/>
      <c r="G337" s="642" t="s">
        <v>992</v>
      </c>
      <c r="H337" s="665">
        <v>2009</v>
      </c>
      <c r="I337" s="641">
        <v>2014</v>
      </c>
      <c r="J337" s="660">
        <v>2540</v>
      </c>
      <c r="K337" s="660"/>
      <c r="L337" s="660">
        <f>540+771</f>
        <v>1311</v>
      </c>
      <c r="M337" s="661">
        <v>800</v>
      </c>
      <c r="N337" s="661"/>
      <c r="O337" s="660"/>
      <c r="P337" s="647" t="str">
        <f t="shared" si="64"/>
        <v> </v>
      </c>
      <c r="Q337" s="661"/>
      <c r="R337" s="661"/>
      <c r="S337" s="662"/>
      <c r="T337" s="649" t="s">
        <v>991</v>
      </c>
      <c r="U337" s="669"/>
      <c r="V337" s="651">
        <f t="shared" si="48"/>
        <v>1229</v>
      </c>
      <c r="W337" s="652">
        <f>IF(AND(P337&lt;'[1]koment'!$F$1,N337&gt;='[1]koment'!$F$2),"Komentovat","")</f>
      </c>
      <c r="X337" s="653" t="e">
        <f t="shared" si="54"/>
        <v>#REF!</v>
      </c>
      <c r="Y337" s="651">
        <f t="shared" si="49"/>
        <v>7100</v>
      </c>
      <c r="Z337" s="654" t="str">
        <f t="shared" si="50"/>
        <v>ORG 3078 - Generel přístupnosti města (odstr.bariér) </v>
      </c>
      <c r="AA337" s="655" t="str">
        <f t="shared" si="51"/>
        <v>7100359930786121</v>
      </c>
      <c r="AB337" s="638"/>
      <c r="AC337" s="638"/>
      <c r="AD337" s="638"/>
      <c r="AE337" s="638"/>
      <c r="AF337" s="638"/>
    </row>
    <row r="338" spans="1:32" ht="12.75" outlineLevel="2">
      <c r="A338" s="639">
        <f t="shared" si="62"/>
        <v>336</v>
      </c>
      <c r="B338" s="640" t="s">
        <v>982</v>
      </c>
      <c r="C338" s="641" t="s">
        <v>989</v>
      </c>
      <c r="D338" s="642">
        <v>5198</v>
      </c>
      <c r="E338" s="641">
        <v>6121</v>
      </c>
      <c r="F338" s="683" t="s">
        <v>665</v>
      </c>
      <c r="G338" s="642" t="s">
        <v>993</v>
      </c>
      <c r="H338" s="642">
        <v>2014</v>
      </c>
      <c r="I338" s="642">
        <v>2015</v>
      </c>
      <c r="J338" s="644">
        <v>7611</v>
      </c>
      <c r="K338" s="644">
        <v>2700</v>
      </c>
      <c r="L338" s="645"/>
      <c r="M338" s="646"/>
      <c r="N338" s="646">
        <v>500</v>
      </c>
      <c r="O338" s="644"/>
      <c r="P338" s="647">
        <f t="shared" si="64"/>
        <v>0</v>
      </c>
      <c r="Q338" s="646">
        <v>5000</v>
      </c>
      <c r="R338" s="646"/>
      <c r="S338" s="648"/>
      <c r="T338" s="649" t="s">
        <v>609</v>
      </c>
      <c r="U338" s="669"/>
      <c r="V338" s="651">
        <f t="shared" si="48"/>
        <v>2111</v>
      </c>
      <c r="W338" s="652">
        <f>IF(AND(P338&lt;'[1]koment'!$F$1,N338&gt;='[1]koment'!$F$2),"Komentovat","")</f>
      </c>
      <c r="X338" s="653" t="e">
        <f t="shared" si="54"/>
        <v>#REF!</v>
      </c>
      <c r="Y338" s="651">
        <f t="shared" si="49"/>
        <v>7100</v>
      </c>
      <c r="Z338" s="654" t="str">
        <f t="shared" si="50"/>
        <v>ORG 5198 - Zateplení logopedického stacionáře Synkova</v>
      </c>
      <c r="AA338" s="655" t="str">
        <f t="shared" si="51"/>
        <v>7100359951986121EU</v>
      </c>
      <c r="AB338" s="638"/>
      <c r="AC338" s="638"/>
      <c r="AD338" s="638"/>
      <c r="AE338" s="638"/>
      <c r="AF338" s="638"/>
    </row>
    <row r="339" spans="1:32" ht="12.75" outlineLevel="2">
      <c r="A339" s="639">
        <f t="shared" si="62"/>
        <v>337</v>
      </c>
      <c r="B339" s="640" t="s">
        <v>982</v>
      </c>
      <c r="C339" s="641" t="s">
        <v>989</v>
      </c>
      <c r="D339" s="642">
        <v>300499</v>
      </c>
      <c r="E339" s="641">
        <v>6322</v>
      </c>
      <c r="F339" s="643"/>
      <c r="G339" s="642" t="s">
        <v>994</v>
      </c>
      <c r="H339" s="642"/>
      <c r="I339" s="642"/>
      <c r="J339" s="644"/>
      <c r="K339" s="644"/>
      <c r="L339" s="645"/>
      <c r="M339" s="646"/>
      <c r="N339" s="646">
        <v>500</v>
      </c>
      <c r="O339" s="644">
        <v>500</v>
      </c>
      <c r="P339" s="647">
        <f t="shared" si="64"/>
        <v>1</v>
      </c>
      <c r="Q339" s="646"/>
      <c r="R339" s="646"/>
      <c r="S339" s="648"/>
      <c r="T339" s="649" t="s">
        <v>991</v>
      </c>
      <c r="U339" s="669"/>
      <c r="V339" s="651">
        <f t="shared" si="48"/>
        <v>0</v>
      </c>
      <c r="W339" s="652">
        <f>IF(AND(P339&lt;'[1]koment'!$F$1,N339&gt;='[1]koment'!$F$2),"Komentovat","")</f>
      </c>
      <c r="X339" s="653" t="e">
        <f t="shared" si="54"/>
        <v>#REF!</v>
      </c>
      <c r="Y339" s="651" t="str">
        <f t="shared" si="49"/>
        <v> </v>
      </c>
      <c r="Z339" s="654">
        <f t="shared" si="50"/>
        <v>0</v>
      </c>
      <c r="AA339" s="655" t="str">
        <f t="shared" si="51"/>
        <v>710035993004996322</v>
      </c>
      <c r="AB339" s="638"/>
      <c r="AC339" s="638"/>
      <c r="AD339" s="638"/>
      <c r="AE339" s="638"/>
      <c r="AF339" s="638"/>
    </row>
    <row r="340" spans="1:32" ht="12.75" outlineLevel="1">
      <c r="A340" s="639">
        <f t="shared" si="62"/>
        <v>338</v>
      </c>
      <c r="B340" s="640"/>
      <c r="C340" s="666" t="s">
        <v>995</v>
      </c>
      <c r="D340" s="642"/>
      <c r="E340" s="641"/>
      <c r="F340" s="643"/>
      <c r="G340" s="642"/>
      <c r="H340" s="642"/>
      <c r="I340" s="642"/>
      <c r="J340" s="644">
        <f aca="true" t="shared" si="67" ref="J340:O340">SUBTOTAL(9,J336:J339)</f>
        <v>10151</v>
      </c>
      <c r="K340" s="644">
        <f t="shared" si="67"/>
        <v>2700</v>
      </c>
      <c r="L340" s="645">
        <f t="shared" si="67"/>
        <v>1311</v>
      </c>
      <c r="M340" s="646">
        <f t="shared" si="67"/>
        <v>800</v>
      </c>
      <c r="N340" s="646">
        <f t="shared" si="67"/>
        <v>1064</v>
      </c>
      <c r="O340" s="644">
        <f t="shared" si="67"/>
        <v>563</v>
      </c>
      <c r="P340" s="647">
        <f t="shared" si="64"/>
        <v>0.5291353383458647</v>
      </c>
      <c r="Q340" s="646">
        <f>SUBTOTAL(9,Q336:Q339)</f>
        <v>5000</v>
      </c>
      <c r="R340" s="646">
        <f>SUBTOTAL(9,R336:R339)</f>
        <v>0</v>
      </c>
      <c r="S340" s="648">
        <f>SUBTOTAL(9,S336:S339)</f>
        <v>0</v>
      </c>
      <c r="T340" s="649"/>
      <c r="U340" s="669"/>
      <c r="V340" s="651"/>
      <c r="W340" s="652"/>
      <c r="X340" s="653"/>
      <c r="Y340" s="651" t="str">
        <f>IF($V340=0," ",IF(LEN($B340)=4,$B340*1,$B340))</f>
        <v> </v>
      </c>
      <c r="Z340" s="654">
        <f>IF($Y340=" ",0,"ORG "&amp;$D340&amp;" - "&amp;$G340)</f>
        <v>0</v>
      </c>
      <c r="AA340" s="655" t="str">
        <f>$B340&amp;LEFT($C340,4)&amp;$D340&amp;$E340&amp;$F340</f>
        <v>Celk</v>
      </c>
      <c r="AB340" s="638"/>
      <c r="AC340" s="638"/>
      <c r="AD340" s="638"/>
      <c r="AE340" s="638"/>
      <c r="AF340" s="638"/>
    </row>
    <row r="341" spans="1:32" ht="12.75" outlineLevel="2">
      <c r="A341" s="639">
        <f t="shared" si="62"/>
        <v>339</v>
      </c>
      <c r="B341" s="658" t="s">
        <v>170</v>
      </c>
      <c r="C341" s="641" t="s">
        <v>996</v>
      </c>
      <c r="D341" s="641">
        <v>0</v>
      </c>
      <c r="E341" s="641"/>
      <c r="F341" s="649">
        <v>40</v>
      </c>
      <c r="G341" s="642" t="s">
        <v>997</v>
      </c>
      <c r="H341" s="641"/>
      <c r="I341" s="641"/>
      <c r="J341" s="660"/>
      <c r="K341" s="660"/>
      <c r="L341" s="660">
        <f>5906</f>
        <v>5906</v>
      </c>
      <c r="M341" s="661"/>
      <c r="N341" s="661">
        <v>13985</v>
      </c>
      <c r="O341" s="660">
        <v>7000</v>
      </c>
      <c r="P341" s="647">
        <f t="shared" si="64"/>
        <v>0.5005362888809438</v>
      </c>
      <c r="Q341" s="661"/>
      <c r="R341" s="661"/>
      <c r="S341" s="662"/>
      <c r="T341" s="649" t="s">
        <v>998</v>
      </c>
      <c r="U341" s="669"/>
      <c r="V341" s="651">
        <f t="shared" si="48"/>
        <v>0</v>
      </c>
      <c r="W341" s="652" t="str">
        <f>IF(AND(P341&lt;'[1]koment'!$F$1,N341&gt;='[1]koment'!$F$2),"Komentovat","")</f>
        <v>Komentovat</v>
      </c>
      <c r="X341" s="653" t="e">
        <f>IF(W341="Komentovat",X339+1,X339)</f>
        <v>#REF!</v>
      </c>
      <c r="Y341" s="651" t="str">
        <f t="shared" si="49"/>
        <v> </v>
      </c>
      <c r="Z341" s="654">
        <f t="shared" si="50"/>
        <v>0</v>
      </c>
      <c r="AA341" s="655" t="str">
        <f t="shared" si="51"/>
        <v>62003612040</v>
      </c>
      <c r="AB341" s="638"/>
      <c r="AC341" s="638"/>
      <c r="AD341" s="638"/>
      <c r="AE341" s="638"/>
      <c r="AF341" s="638"/>
    </row>
    <row r="342" spans="1:32" ht="12.75" outlineLevel="2">
      <c r="A342" s="639">
        <f t="shared" si="62"/>
        <v>340</v>
      </c>
      <c r="B342" s="658" t="s">
        <v>170</v>
      </c>
      <c r="C342" s="641" t="s">
        <v>996</v>
      </c>
      <c r="D342" s="642">
        <v>2797</v>
      </c>
      <c r="E342" s="641">
        <v>6121</v>
      </c>
      <c r="F342" s="643">
        <v>41</v>
      </c>
      <c r="G342" s="642" t="s">
        <v>999</v>
      </c>
      <c r="H342" s="642">
        <v>2014</v>
      </c>
      <c r="I342" s="642">
        <v>2016</v>
      </c>
      <c r="J342" s="644">
        <v>7000</v>
      </c>
      <c r="K342" s="644"/>
      <c r="L342" s="645"/>
      <c r="M342" s="646"/>
      <c r="N342" s="646">
        <v>200</v>
      </c>
      <c r="O342" s="644">
        <v>24</v>
      </c>
      <c r="P342" s="647">
        <f t="shared" si="64"/>
        <v>0.12</v>
      </c>
      <c r="Q342" s="646"/>
      <c r="R342" s="646"/>
      <c r="S342" s="648"/>
      <c r="T342" s="649" t="s">
        <v>998</v>
      </c>
      <c r="U342" s="669"/>
      <c r="V342" s="651">
        <f t="shared" si="48"/>
        <v>6800</v>
      </c>
      <c r="W342" s="652">
        <f>IF(AND(P342&lt;'[1]koment'!$F$1,N342&gt;='[1]koment'!$F$2),"Komentovat","")</f>
      </c>
      <c r="X342" s="653" t="e">
        <f aca="true" t="shared" si="68" ref="X342:X405">IF(W342="Komentovat",X341+1,X341)</f>
        <v>#REF!</v>
      </c>
      <c r="Y342" s="651">
        <f t="shared" si="49"/>
        <v>6200</v>
      </c>
      <c r="Z342" s="654" t="str">
        <f t="shared" si="50"/>
        <v>ORG 2797 - Zámečnická 2 - sdílené bydlení</v>
      </c>
      <c r="AA342" s="655" t="str">
        <f t="shared" si="51"/>
        <v>620036122797612141</v>
      </c>
      <c r="AB342" s="638"/>
      <c r="AC342" s="638"/>
      <c r="AD342" s="638"/>
      <c r="AE342" s="638"/>
      <c r="AF342" s="638"/>
    </row>
    <row r="343" spans="1:32" ht="12.75" outlineLevel="2">
      <c r="A343" s="639">
        <f t="shared" si="62"/>
        <v>341</v>
      </c>
      <c r="B343" s="658" t="s">
        <v>606</v>
      </c>
      <c r="C343" s="641" t="s">
        <v>996</v>
      </c>
      <c r="D343" s="641">
        <v>2852</v>
      </c>
      <c r="E343" s="641">
        <v>6121</v>
      </c>
      <c r="F343" s="649">
        <v>41</v>
      </c>
      <c r="G343" s="642" t="s">
        <v>1000</v>
      </c>
      <c r="H343" s="641">
        <v>2013</v>
      </c>
      <c r="I343" s="641">
        <v>2015</v>
      </c>
      <c r="J343" s="660">
        <v>23279</v>
      </c>
      <c r="K343" s="660"/>
      <c r="L343" s="660"/>
      <c r="M343" s="661">
        <v>20410</v>
      </c>
      <c r="N343" s="661">
        <v>400</v>
      </c>
      <c r="O343" s="660">
        <v>357</v>
      </c>
      <c r="P343" s="647">
        <f t="shared" si="64"/>
        <v>0.8925</v>
      </c>
      <c r="Q343" s="661">
        <v>20110</v>
      </c>
      <c r="R343" s="661"/>
      <c r="S343" s="662"/>
      <c r="T343" s="649" t="s">
        <v>609</v>
      </c>
      <c r="U343" s="669"/>
      <c r="V343" s="651">
        <f t="shared" si="48"/>
        <v>2769</v>
      </c>
      <c r="W343" s="652">
        <f>IF(AND(P343&lt;'[1]koment'!$F$1,N343&gt;='[1]koment'!$F$2),"Komentovat","")</f>
      </c>
      <c r="X343" s="653" t="e">
        <f t="shared" si="68"/>
        <v>#REF!</v>
      </c>
      <c r="Y343" s="651">
        <f t="shared" si="49"/>
        <v>5600</v>
      </c>
      <c r="Z343" s="654" t="str">
        <f t="shared" si="50"/>
        <v>ORG 2852 - Protihluková opatření - výměna oken</v>
      </c>
      <c r="AA343" s="655" t="str">
        <f t="shared" si="51"/>
        <v>560036122852612141</v>
      </c>
      <c r="AB343" s="638"/>
      <c r="AC343" s="638"/>
      <c r="AD343" s="638"/>
      <c r="AE343" s="638"/>
      <c r="AF343" s="638"/>
    </row>
    <row r="344" spans="1:32" ht="25.5" outlineLevel="2">
      <c r="A344" s="639">
        <f t="shared" si="62"/>
        <v>342</v>
      </c>
      <c r="B344" s="658" t="s">
        <v>170</v>
      </c>
      <c r="C344" s="641" t="s">
        <v>996</v>
      </c>
      <c r="D344" s="641">
        <v>2905</v>
      </c>
      <c r="E344" s="641">
        <v>6121</v>
      </c>
      <c r="F344" s="649">
        <v>41</v>
      </c>
      <c r="G344" s="682" t="s">
        <v>1001</v>
      </c>
      <c r="H344" s="641">
        <v>2012</v>
      </c>
      <c r="I344" s="641">
        <v>2014</v>
      </c>
      <c r="J344" s="660">
        <v>8000</v>
      </c>
      <c r="K344" s="660"/>
      <c r="L344" s="660">
        <f>70</f>
        <v>70</v>
      </c>
      <c r="M344" s="661"/>
      <c r="N344" s="661"/>
      <c r="O344" s="660"/>
      <c r="P344" s="647" t="str">
        <f t="shared" si="64"/>
        <v> </v>
      </c>
      <c r="Q344" s="661"/>
      <c r="R344" s="661"/>
      <c r="S344" s="662"/>
      <c r="T344" s="672" t="s">
        <v>998</v>
      </c>
      <c r="U344" s="669"/>
      <c r="V344" s="651">
        <f t="shared" si="48"/>
        <v>7930</v>
      </c>
      <c r="W344" s="652">
        <f>IF(AND(P344&lt;'[1]koment'!$F$1,N344&gt;='[1]koment'!$F$2),"Komentovat","")</f>
      </c>
      <c r="X344" s="653" t="e">
        <f t="shared" si="68"/>
        <v>#REF!</v>
      </c>
      <c r="Y344" s="651">
        <f t="shared" si="49"/>
        <v>6200</v>
      </c>
      <c r="Z344" s="654" t="str">
        <f t="shared" si="50"/>
        <v>ORG 2905 - Stavební úpravy objektu Kobližná 10 a využití 3.NP a 4. NP pro funkci bydlení</v>
      </c>
      <c r="AA344" s="655" t="str">
        <f t="shared" si="51"/>
        <v>620036122905612141</v>
      </c>
      <c r="AB344" s="638"/>
      <c r="AC344" s="638"/>
      <c r="AD344" s="638"/>
      <c r="AE344" s="638"/>
      <c r="AF344" s="638"/>
    </row>
    <row r="345" spans="1:32" ht="12.75" outlineLevel="2">
      <c r="A345" s="639">
        <f t="shared" si="62"/>
        <v>343</v>
      </c>
      <c r="B345" s="658">
        <v>6600</v>
      </c>
      <c r="C345" s="641" t="s">
        <v>996</v>
      </c>
      <c r="D345" s="641">
        <v>2925</v>
      </c>
      <c r="E345" s="641">
        <v>6121</v>
      </c>
      <c r="F345" s="649">
        <v>41</v>
      </c>
      <c r="G345" s="642" t="s">
        <v>1002</v>
      </c>
      <c r="H345" s="641">
        <v>2012</v>
      </c>
      <c r="I345" s="641">
        <v>2015</v>
      </c>
      <c r="J345" s="660">
        <v>15000</v>
      </c>
      <c r="K345" s="660"/>
      <c r="L345" s="660">
        <f>112+970</f>
        <v>1082</v>
      </c>
      <c r="M345" s="661">
        <v>1000</v>
      </c>
      <c r="N345" s="661">
        <v>320</v>
      </c>
      <c r="O345" s="660">
        <v>138</v>
      </c>
      <c r="P345" s="647">
        <f t="shared" si="64"/>
        <v>0.43125</v>
      </c>
      <c r="Q345" s="661">
        <v>3000</v>
      </c>
      <c r="R345" s="661"/>
      <c r="S345" s="662"/>
      <c r="T345" s="672" t="s">
        <v>926</v>
      </c>
      <c r="U345" s="669"/>
      <c r="V345" s="651">
        <f t="shared" si="48"/>
        <v>10598</v>
      </c>
      <c r="W345" s="652">
        <f>IF(AND(P345&lt;'[1]koment'!$F$1,N345&gt;='[1]koment'!$F$2),"Komentovat","")</f>
      </c>
      <c r="X345" s="653" t="e">
        <f t="shared" si="68"/>
        <v>#REF!</v>
      </c>
      <c r="Y345" s="651">
        <f t="shared" si="49"/>
        <v>6600</v>
      </c>
      <c r="Z345" s="654" t="str">
        <f t="shared" si="50"/>
        <v>ORG 2925 - Technické zhodnocení sociálních bytů</v>
      </c>
      <c r="AA345" s="655" t="str">
        <f t="shared" si="51"/>
        <v>660036122925612141</v>
      </c>
      <c r="AB345" s="638"/>
      <c r="AC345" s="638"/>
      <c r="AD345" s="638"/>
      <c r="AE345" s="638"/>
      <c r="AF345" s="638"/>
    </row>
    <row r="346" spans="1:32" ht="12.75" outlineLevel="2">
      <c r="A346" s="639">
        <f t="shared" si="62"/>
        <v>344</v>
      </c>
      <c r="B346" s="658" t="s">
        <v>170</v>
      </c>
      <c r="C346" s="641" t="s">
        <v>996</v>
      </c>
      <c r="D346" s="641">
        <v>2932</v>
      </c>
      <c r="E346" s="641">
        <v>6121</v>
      </c>
      <c r="F346" s="649">
        <v>41</v>
      </c>
      <c r="G346" s="642" t="s">
        <v>1003</v>
      </c>
      <c r="H346" s="641">
        <v>2012</v>
      </c>
      <c r="I346" s="641">
        <v>2017</v>
      </c>
      <c r="J346" s="660">
        <v>320000</v>
      </c>
      <c r="K346" s="660"/>
      <c r="L346" s="660">
        <f>322+70</f>
        <v>392</v>
      </c>
      <c r="M346" s="661">
        <v>50000</v>
      </c>
      <c r="N346" s="661">
        <v>2000</v>
      </c>
      <c r="O346" s="660">
        <v>774</v>
      </c>
      <c r="P346" s="647">
        <f t="shared" si="64"/>
        <v>0.387</v>
      </c>
      <c r="Q346" s="661">
        <v>98000</v>
      </c>
      <c r="R346" s="661"/>
      <c r="S346" s="662">
        <v>100000</v>
      </c>
      <c r="T346" s="672" t="s">
        <v>998</v>
      </c>
      <c r="U346" s="669"/>
      <c r="V346" s="651">
        <f t="shared" si="48"/>
        <v>119608</v>
      </c>
      <c r="W346" s="652">
        <f>IF(AND(P346&lt;'[1]koment'!$F$1,N346&gt;='[1]koment'!$F$2),"Komentovat","")</f>
      </c>
      <c r="X346" s="653" t="e">
        <f t="shared" si="68"/>
        <v>#REF!</v>
      </c>
      <c r="Y346" s="651">
        <f t="shared" si="49"/>
        <v>6200</v>
      </c>
      <c r="Z346" s="654" t="str">
        <f t="shared" si="50"/>
        <v>ORG 2932 - Bytové domy Vojtova</v>
      </c>
      <c r="AA346" s="655" t="str">
        <f t="shared" si="51"/>
        <v>620036122932612141</v>
      </c>
      <c r="AB346" s="638"/>
      <c r="AC346" s="638"/>
      <c r="AD346" s="638"/>
      <c r="AE346" s="638"/>
      <c r="AF346" s="638"/>
    </row>
    <row r="347" spans="1:32" ht="12.75" outlineLevel="2">
      <c r="A347" s="639">
        <f t="shared" si="62"/>
        <v>345</v>
      </c>
      <c r="B347" s="658" t="s">
        <v>170</v>
      </c>
      <c r="C347" s="641" t="s">
        <v>996</v>
      </c>
      <c r="D347" s="641">
        <v>2978</v>
      </c>
      <c r="E347" s="641">
        <v>6121</v>
      </c>
      <c r="F347" s="649">
        <v>41</v>
      </c>
      <c r="G347" s="642" t="s">
        <v>1004</v>
      </c>
      <c r="H347" s="665">
        <v>2010</v>
      </c>
      <c r="I347" s="641">
        <v>2014</v>
      </c>
      <c r="J347" s="660">
        <v>300000</v>
      </c>
      <c r="K347" s="660"/>
      <c r="L347" s="660">
        <f>96</f>
        <v>96</v>
      </c>
      <c r="M347" s="661"/>
      <c r="N347" s="661"/>
      <c r="O347" s="660"/>
      <c r="P347" s="647" t="str">
        <f t="shared" si="64"/>
        <v> </v>
      </c>
      <c r="Q347" s="661"/>
      <c r="R347" s="661"/>
      <c r="S347" s="662"/>
      <c r="T347" s="649" t="s">
        <v>998</v>
      </c>
      <c r="U347" s="669"/>
      <c r="V347" s="651">
        <f t="shared" si="48"/>
        <v>299904</v>
      </c>
      <c r="W347" s="652">
        <f>IF(AND(P347&lt;'[1]koment'!$F$1,N347&gt;='[1]koment'!$F$2),"Komentovat","")</f>
      </c>
      <c r="X347" s="653" t="e">
        <f t="shared" si="68"/>
        <v>#REF!</v>
      </c>
      <c r="Y347" s="651">
        <f t="shared" si="49"/>
        <v>6200</v>
      </c>
      <c r="Z347" s="654" t="str">
        <f t="shared" si="50"/>
        <v>ORG 2978 - Startovací byty - nákup 200-250 b.j.</v>
      </c>
      <c r="AA347" s="655" t="str">
        <f t="shared" si="51"/>
        <v>620036122978612141</v>
      </c>
      <c r="AB347" s="638"/>
      <c r="AC347" s="638"/>
      <c r="AD347" s="638"/>
      <c r="AE347" s="638"/>
      <c r="AF347" s="638"/>
    </row>
    <row r="348" spans="1:32" ht="12.75" outlineLevel="2">
      <c r="A348" s="639">
        <f t="shared" si="62"/>
        <v>346</v>
      </c>
      <c r="B348" s="658" t="s">
        <v>170</v>
      </c>
      <c r="C348" s="641" t="s">
        <v>996</v>
      </c>
      <c r="D348" s="641">
        <v>3022</v>
      </c>
      <c r="E348" s="641">
        <v>6121</v>
      </c>
      <c r="F348" s="649">
        <v>41</v>
      </c>
      <c r="G348" s="642" t="s">
        <v>1005</v>
      </c>
      <c r="H348" s="665">
        <v>2010</v>
      </c>
      <c r="I348" s="665">
        <v>2013</v>
      </c>
      <c r="J348" s="660">
        <v>68200</v>
      </c>
      <c r="K348" s="660"/>
      <c r="L348" s="660">
        <f>312+2944+64822+228</f>
        <v>68306</v>
      </c>
      <c r="M348" s="661"/>
      <c r="N348" s="661"/>
      <c r="O348" s="660"/>
      <c r="P348" s="647" t="str">
        <f t="shared" si="64"/>
        <v> </v>
      </c>
      <c r="Q348" s="661"/>
      <c r="R348" s="661"/>
      <c r="S348" s="662"/>
      <c r="T348" s="649" t="s">
        <v>998</v>
      </c>
      <c r="U348" s="669"/>
      <c r="V348" s="651">
        <f t="shared" si="48"/>
        <v>-106</v>
      </c>
      <c r="W348" s="652">
        <f>IF(AND(P348&lt;'[1]koment'!$F$1,N348&gt;='[1]koment'!$F$2),"Komentovat","")</f>
      </c>
      <c r="X348" s="653" t="e">
        <f t="shared" si="68"/>
        <v>#REF!</v>
      </c>
      <c r="Y348" s="651">
        <f t="shared" si="49"/>
        <v>6200</v>
      </c>
      <c r="Z348" s="654" t="str">
        <f t="shared" si="50"/>
        <v>ORG 3022 - Přestavba ubytovny JUVENTUS</v>
      </c>
      <c r="AA348" s="655" t="str">
        <f t="shared" si="51"/>
        <v>620036123022612141</v>
      </c>
      <c r="AB348" s="638"/>
      <c r="AC348" s="638"/>
      <c r="AD348" s="638"/>
      <c r="AE348" s="638"/>
      <c r="AF348" s="638"/>
    </row>
    <row r="349" spans="1:32" ht="12.75" outlineLevel="2">
      <c r="A349" s="639">
        <f t="shared" si="62"/>
        <v>347</v>
      </c>
      <c r="B349" s="658" t="s">
        <v>195</v>
      </c>
      <c r="C349" s="641" t="s">
        <v>996</v>
      </c>
      <c r="D349" s="641">
        <v>3036</v>
      </c>
      <c r="E349" s="641">
        <v>6121</v>
      </c>
      <c r="F349" s="649">
        <v>41</v>
      </c>
      <c r="G349" s="642" t="s">
        <v>1006</v>
      </c>
      <c r="H349" s="665">
        <v>2010</v>
      </c>
      <c r="I349" s="641">
        <v>2014</v>
      </c>
      <c r="J349" s="660">
        <v>52690</v>
      </c>
      <c r="K349" s="660"/>
      <c r="L349" s="660">
        <f>15390+12856+11707+2965</f>
        <v>42918</v>
      </c>
      <c r="M349" s="661">
        <v>6100</v>
      </c>
      <c r="N349" s="661">
        <v>4500</v>
      </c>
      <c r="O349" s="660">
        <v>3637</v>
      </c>
      <c r="P349" s="647">
        <f t="shared" si="64"/>
        <v>0.8082222222222222</v>
      </c>
      <c r="Q349" s="661">
        <v>5300</v>
      </c>
      <c r="R349" s="661"/>
      <c r="S349" s="662"/>
      <c r="T349" s="649" t="s">
        <v>926</v>
      </c>
      <c r="U349" s="669"/>
      <c r="V349" s="651">
        <f t="shared" si="48"/>
        <v>-28</v>
      </c>
      <c r="W349" s="652">
        <f>IF(AND(P349&lt;'[1]koment'!$F$1,N349&gt;='[1]koment'!$F$2),"Komentovat","")</f>
      </c>
      <c r="X349" s="653" t="e">
        <f t="shared" si="68"/>
        <v>#REF!</v>
      </c>
      <c r="Y349" s="651">
        <f t="shared" si="49"/>
        <v>6600</v>
      </c>
      <c r="Z349" s="654" t="str">
        <f t="shared" si="50"/>
        <v>ORG 3036 - Technické zhodnocení bytových domů</v>
      </c>
      <c r="AA349" s="655" t="str">
        <f t="shared" si="51"/>
        <v>660036123036612141</v>
      </c>
      <c r="AB349" s="638"/>
      <c r="AC349" s="638"/>
      <c r="AD349" s="638"/>
      <c r="AE349" s="638"/>
      <c r="AF349" s="638"/>
    </row>
    <row r="350" spans="1:32" ht="12.75" outlineLevel="2">
      <c r="A350" s="639">
        <f t="shared" si="62"/>
        <v>348</v>
      </c>
      <c r="B350" s="658" t="s">
        <v>170</v>
      </c>
      <c r="C350" s="641" t="s">
        <v>996</v>
      </c>
      <c r="D350" s="641">
        <v>3129</v>
      </c>
      <c r="E350" s="641">
        <v>6121</v>
      </c>
      <c r="F350" s="649">
        <v>41</v>
      </c>
      <c r="G350" s="642" t="s">
        <v>1007</v>
      </c>
      <c r="H350" s="665">
        <v>2008</v>
      </c>
      <c r="I350" s="641">
        <v>2016</v>
      </c>
      <c r="J350" s="660">
        <v>81200</v>
      </c>
      <c r="K350" s="660"/>
      <c r="L350" s="660"/>
      <c r="M350" s="661">
        <v>700</v>
      </c>
      <c r="N350" s="661"/>
      <c r="O350" s="660"/>
      <c r="P350" s="647" t="str">
        <f t="shared" si="64"/>
        <v> </v>
      </c>
      <c r="Q350" s="661">
        <v>700</v>
      </c>
      <c r="R350" s="661"/>
      <c r="S350" s="662"/>
      <c r="T350" s="649" t="s">
        <v>998</v>
      </c>
      <c r="U350" s="669"/>
      <c r="V350" s="651">
        <f aca="true" t="shared" si="69" ref="V350:V430">IF(LEN($D350)=4,(J350-L350-N350-Q350-R350-S350),0)</f>
        <v>80500</v>
      </c>
      <c r="W350" s="652">
        <f>IF(AND(P350&lt;'[1]koment'!$F$1,N350&gt;='[1]koment'!$F$2),"Komentovat","")</f>
      </c>
      <c r="X350" s="653" t="e">
        <f t="shared" si="68"/>
        <v>#REF!</v>
      </c>
      <c r="Y350" s="651">
        <f aca="true" t="shared" si="70" ref="Y350:Y430">IF($V350=0," ",IF(LEN($B350)=4,$B350*1,$B350))</f>
        <v>6200</v>
      </c>
      <c r="Z350" s="654" t="str">
        <f aca="true" t="shared" si="71" ref="Z350:Z430">IF($Y350=" ",0,"ORG "&amp;$D350&amp;" - "&amp;$G350)</f>
        <v>ORG 3129 - Bytov. dům B vč. komunik. a TI Jeneweinova</v>
      </c>
      <c r="AA350" s="655" t="str">
        <f aca="true" t="shared" si="72" ref="AA350:AA430">$B350&amp;LEFT($C350,4)&amp;$D350&amp;$E350&amp;$F350</f>
        <v>620036123129612141</v>
      </c>
      <c r="AB350" s="638"/>
      <c r="AC350" s="638"/>
      <c r="AD350" s="638"/>
      <c r="AE350" s="638"/>
      <c r="AF350" s="638"/>
    </row>
    <row r="351" spans="1:32" ht="12.75" outlineLevel="2">
      <c r="A351" s="639">
        <f t="shared" si="62"/>
        <v>349</v>
      </c>
      <c r="B351" s="658" t="s">
        <v>170</v>
      </c>
      <c r="C351" s="641" t="s">
        <v>996</v>
      </c>
      <c r="D351" s="641">
        <v>3196</v>
      </c>
      <c r="E351" s="641">
        <v>6121</v>
      </c>
      <c r="F351" s="649">
        <v>41</v>
      </c>
      <c r="G351" s="642" t="s">
        <v>1008</v>
      </c>
      <c r="H351" s="665">
        <v>2006</v>
      </c>
      <c r="I351" s="641">
        <v>2017</v>
      </c>
      <c r="J351" s="660">
        <v>37000</v>
      </c>
      <c r="K351" s="660"/>
      <c r="L351" s="660">
        <f>660+360+256</f>
        <v>1276</v>
      </c>
      <c r="M351" s="661">
        <v>10000</v>
      </c>
      <c r="N351" s="661">
        <v>500</v>
      </c>
      <c r="O351" s="660">
        <v>278</v>
      </c>
      <c r="P351" s="647">
        <f t="shared" si="64"/>
        <v>0.556</v>
      </c>
      <c r="Q351" s="661">
        <v>9500</v>
      </c>
      <c r="R351" s="661"/>
      <c r="S351" s="662"/>
      <c r="T351" s="649" t="s">
        <v>998</v>
      </c>
      <c r="U351" s="669"/>
      <c r="V351" s="651">
        <f t="shared" si="69"/>
        <v>25724</v>
      </c>
      <c r="W351" s="652">
        <f>IF(AND(P351&lt;'[1]koment'!$F$1,N351&gt;='[1]koment'!$F$2),"Komentovat","")</f>
      </c>
      <c r="X351" s="653" t="e">
        <f t="shared" si="68"/>
        <v>#REF!</v>
      </c>
      <c r="Y351" s="651">
        <f t="shared" si="70"/>
        <v>6200</v>
      </c>
      <c r="Z351" s="654" t="str">
        <f t="shared" si="71"/>
        <v>ORG 3196 - Lokalita bydlení Holásky - TI</v>
      </c>
      <c r="AA351" s="655" t="str">
        <f t="shared" si="72"/>
        <v>620036123196612141</v>
      </c>
      <c r="AB351" s="638"/>
      <c r="AC351" s="638"/>
      <c r="AD351" s="638"/>
      <c r="AE351" s="638"/>
      <c r="AF351" s="638"/>
    </row>
    <row r="352" spans="1:32" ht="12.75" outlineLevel="2">
      <c r="A352" s="639">
        <f t="shared" si="62"/>
        <v>350</v>
      </c>
      <c r="B352" s="658" t="s">
        <v>170</v>
      </c>
      <c r="C352" s="641" t="s">
        <v>996</v>
      </c>
      <c r="D352" s="641">
        <v>5068</v>
      </c>
      <c r="E352" s="641">
        <v>6121</v>
      </c>
      <c r="F352" s="659" t="s">
        <v>665</v>
      </c>
      <c r="G352" s="642" t="s">
        <v>1009</v>
      </c>
      <c r="H352" s="665">
        <v>2009</v>
      </c>
      <c r="I352" s="641">
        <v>2015</v>
      </c>
      <c r="J352" s="660">
        <v>71000</v>
      </c>
      <c r="K352" s="660">
        <v>19389</v>
      </c>
      <c r="L352" s="660">
        <f>273+396+1715+653</f>
        <v>3037</v>
      </c>
      <c r="M352" s="661">
        <v>12000</v>
      </c>
      <c r="N352" s="661">
        <v>18155</v>
      </c>
      <c r="O352" s="660">
        <v>8594</v>
      </c>
      <c r="P352" s="647">
        <f t="shared" si="64"/>
        <v>0.4733682181217296</v>
      </c>
      <c r="Q352" s="661">
        <v>10000</v>
      </c>
      <c r="R352" s="661"/>
      <c r="S352" s="662"/>
      <c r="T352" s="649" t="s">
        <v>998</v>
      </c>
      <c r="U352" s="669"/>
      <c r="V352" s="651">
        <f t="shared" si="69"/>
        <v>39808</v>
      </c>
      <c r="W352" s="652" t="str">
        <f>IF(AND(P352&lt;'[1]koment'!$F$1,N352&gt;='[1]koment'!$F$2),"Komentovat","")</f>
        <v>Komentovat</v>
      </c>
      <c r="X352" s="653" t="e">
        <f t="shared" si="68"/>
        <v>#REF!</v>
      </c>
      <c r="Y352" s="651">
        <f t="shared" si="70"/>
        <v>6200</v>
      </c>
      <c r="Z352" s="654" t="str">
        <f t="shared" si="71"/>
        <v>ORG 5068 - Rek. bytového domu Francouzská 42</v>
      </c>
      <c r="AA352" s="655" t="str">
        <f t="shared" si="72"/>
        <v>6200361250686121EU</v>
      </c>
      <c r="AB352" s="638"/>
      <c r="AC352" s="638"/>
      <c r="AD352" s="638"/>
      <c r="AE352" s="638"/>
      <c r="AF352" s="638"/>
    </row>
    <row r="353" spans="1:32" ht="12.75" outlineLevel="2">
      <c r="A353" s="639">
        <f t="shared" si="62"/>
        <v>351</v>
      </c>
      <c r="B353" s="658" t="s">
        <v>170</v>
      </c>
      <c r="C353" s="641" t="s">
        <v>996</v>
      </c>
      <c r="D353" s="641">
        <v>5071</v>
      </c>
      <c r="E353" s="641">
        <v>6121</v>
      </c>
      <c r="F353" s="659" t="s">
        <v>665</v>
      </c>
      <c r="G353" s="642" t="s">
        <v>1010</v>
      </c>
      <c r="H353" s="665">
        <v>2009</v>
      </c>
      <c r="I353" s="641">
        <v>2015</v>
      </c>
      <c r="J353" s="660">
        <v>52900</v>
      </c>
      <c r="K353" s="660">
        <v>12470</v>
      </c>
      <c r="L353" s="660">
        <f>302+298+2422+852</f>
        <v>3874</v>
      </c>
      <c r="M353" s="661">
        <v>12000</v>
      </c>
      <c r="N353" s="661">
        <v>25910</v>
      </c>
      <c r="O353" s="660">
        <v>19432</v>
      </c>
      <c r="P353" s="647">
        <f t="shared" si="64"/>
        <v>0.7499807024314936</v>
      </c>
      <c r="Q353" s="661">
        <v>10000</v>
      </c>
      <c r="R353" s="661"/>
      <c r="S353" s="662"/>
      <c r="T353" s="649" t="s">
        <v>998</v>
      </c>
      <c r="U353" s="669"/>
      <c r="V353" s="651">
        <f t="shared" si="69"/>
        <v>13116</v>
      </c>
      <c r="W353" s="652" t="str">
        <f>IF(AND(P353&lt;'[1]koment'!$F$1,N353&gt;='[1]koment'!$F$2),"Komentovat","")</f>
        <v>Komentovat</v>
      </c>
      <c r="X353" s="653" t="e">
        <f t="shared" si="68"/>
        <v>#REF!</v>
      </c>
      <c r="Y353" s="651">
        <f t="shared" si="70"/>
        <v>6200</v>
      </c>
      <c r="Z353" s="654" t="str">
        <f t="shared" si="71"/>
        <v>ORG 5071 - Rek. bytového domu Bratislavská 39</v>
      </c>
      <c r="AA353" s="655" t="str">
        <f t="shared" si="72"/>
        <v>6200361250716121EU</v>
      </c>
      <c r="AB353" s="638"/>
      <c r="AC353" s="638"/>
      <c r="AD353" s="638"/>
      <c r="AE353" s="638"/>
      <c r="AF353" s="638"/>
    </row>
    <row r="354" spans="1:32" ht="12.75" outlineLevel="2">
      <c r="A354" s="639">
        <f t="shared" si="62"/>
        <v>352</v>
      </c>
      <c r="B354" s="658" t="s">
        <v>170</v>
      </c>
      <c r="C354" s="641" t="s">
        <v>996</v>
      </c>
      <c r="D354" s="641">
        <v>5072</v>
      </c>
      <c r="E354" s="641">
        <v>6121</v>
      </c>
      <c r="F354" s="659" t="s">
        <v>665</v>
      </c>
      <c r="G354" s="642" t="s">
        <v>1011</v>
      </c>
      <c r="H354" s="665">
        <v>2009</v>
      </c>
      <c r="I354" s="641">
        <v>2014</v>
      </c>
      <c r="J354" s="660">
        <v>32000</v>
      </c>
      <c r="K354" s="660">
        <v>8286</v>
      </c>
      <c r="L354" s="660">
        <f>230+300+1110+801</f>
        <v>2441</v>
      </c>
      <c r="M354" s="661">
        <v>12000</v>
      </c>
      <c r="N354" s="661">
        <v>29500</v>
      </c>
      <c r="O354" s="660">
        <v>28594</v>
      </c>
      <c r="P354" s="647">
        <f t="shared" si="64"/>
        <v>0.9692881355932204</v>
      </c>
      <c r="Q354" s="661"/>
      <c r="R354" s="661"/>
      <c r="S354" s="662"/>
      <c r="T354" s="649" t="s">
        <v>998</v>
      </c>
      <c r="U354" s="669"/>
      <c r="V354" s="651">
        <f t="shared" si="69"/>
        <v>59</v>
      </c>
      <c r="W354" s="652">
        <f>IF(AND(P354&lt;'[1]koment'!$F$1,N354&gt;='[1]koment'!$F$2),"Komentovat","")</f>
      </c>
      <c r="X354" s="653" t="e">
        <f t="shared" si="68"/>
        <v>#REF!</v>
      </c>
      <c r="Y354" s="651">
        <f t="shared" si="70"/>
        <v>6200</v>
      </c>
      <c r="Z354" s="654" t="str">
        <f t="shared" si="71"/>
        <v>ORG 5072 - Rek. bytového domu Bratislavská 36a</v>
      </c>
      <c r="AA354" s="655" t="str">
        <f t="shared" si="72"/>
        <v>6200361250726121EU</v>
      </c>
      <c r="AB354" s="638"/>
      <c r="AC354" s="638"/>
      <c r="AD354" s="638"/>
      <c r="AE354" s="638"/>
      <c r="AF354" s="638"/>
    </row>
    <row r="355" spans="1:32" ht="12.75" outlineLevel="2">
      <c r="A355" s="639">
        <f t="shared" si="62"/>
        <v>353</v>
      </c>
      <c r="B355" s="658" t="s">
        <v>170</v>
      </c>
      <c r="C355" s="641" t="s">
        <v>996</v>
      </c>
      <c r="D355" s="641">
        <v>5073</v>
      </c>
      <c r="E355" s="641">
        <v>6121</v>
      </c>
      <c r="F355" s="659" t="s">
        <v>665</v>
      </c>
      <c r="G355" s="642" t="s">
        <v>1012</v>
      </c>
      <c r="H355" s="665">
        <v>2009</v>
      </c>
      <c r="I355" s="641">
        <v>2014</v>
      </c>
      <c r="J355" s="660">
        <v>29000</v>
      </c>
      <c r="K355" s="660">
        <v>7759</v>
      </c>
      <c r="L355" s="660">
        <f>255+681+599+3071</f>
        <v>4606</v>
      </c>
      <c r="M355" s="661">
        <v>12000</v>
      </c>
      <c r="N355" s="661">
        <v>15000</v>
      </c>
      <c r="O355" s="660">
        <v>13655</v>
      </c>
      <c r="P355" s="647">
        <f t="shared" si="64"/>
        <v>0.9103333333333333</v>
      </c>
      <c r="Q355" s="661"/>
      <c r="R355" s="661"/>
      <c r="S355" s="662"/>
      <c r="T355" s="649" t="s">
        <v>998</v>
      </c>
      <c r="U355" s="669"/>
      <c r="V355" s="651">
        <f t="shared" si="69"/>
        <v>9394</v>
      </c>
      <c r="W355" s="652">
        <f>IF(AND(P355&lt;'[1]koment'!$F$1,N355&gt;='[1]koment'!$F$2),"Komentovat","")</f>
      </c>
      <c r="X355" s="653" t="e">
        <f t="shared" si="68"/>
        <v>#REF!</v>
      </c>
      <c r="Y355" s="651">
        <f t="shared" si="70"/>
        <v>6200</v>
      </c>
      <c r="Z355" s="654" t="str">
        <f t="shared" si="71"/>
        <v>ORG 5073 - Rek. bytového domu Bratislavská 60</v>
      </c>
      <c r="AA355" s="655" t="str">
        <f t="shared" si="72"/>
        <v>6200361250736121EU</v>
      </c>
      <c r="AB355" s="638"/>
      <c r="AC355" s="638"/>
      <c r="AD355" s="638"/>
      <c r="AE355" s="638"/>
      <c r="AF355" s="638"/>
    </row>
    <row r="356" spans="1:32" ht="12.75" outlineLevel="1">
      <c r="A356" s="639">
        <f t="shared" si="62"/>
        <v>354</v>
      </c>
      <c r="B356" s="658"/>
      <c r="C356" s="666" t="s">
        <v>1013</v>
      </c>
      <c r="D356" s="641"/>
      <c r="E356" s="641"/>
      <c r="F356" s="659"/>
      <c r="G356" s="642"/>
      <c r="H356" s="665"/>
      <c r="I356" s="641"/>
      <c r="J356" s="660">
        <f aca="true" t="shared" si="73" ref="J356:O356">SUBTOTAL(9,J341:J355)</f>
        <v>1097269</v>
      </c>
      <c r="K356" s="660">
        <f t="shared" si="73"/>
        <v>47904</v>
      </c>
      <c r="L356" s="660">
        <f t="shared" si="73"/>
        <v>134004</v>
      </c>
      <c r="M356" s="661">
        <f t="shared" si="73"/>
        <v>136210</v>
      </c>
      <c r="N356" s="661">
        <f t="shared" si="73"/>
        <v>110470</v>
      </c>
      <c r="O356" s="660">
        <f t="shared" si="73"/>
        <v>82483</v>
      </c>
      <c r="P356" s="647">
        <f t="shared" si="64"/>
        <v>0.7466552005069249</v>
      </c>
      <c r="Q356" s="661">
        <f>SUBTOTAL(9,Q341:Q355)</f>
        <v>156610</v>
      </c>
      <c r="R356" s="661">
        <f>SUBTOTAL(9,R341:R355)</f>
        <v>0</v>
      </c>
      <c r="S356" s="662">
        <f>SUBTOTAL(9,S341:S355)</f>
        <v>100000</v>
      </c>
      <c r="T356" s="649"/>
      <c r="U356" s="669"/>
      <c r="V356" s="651"/>
      <c r="W356" s="652"/>
      <c r="X356" s="653"/>
      <c r="Y356" s="651" t="str">
        <f>IF($V356=0," ",IF(LEN($B356)=4,$B356*1,$B356))</f>
        <v> </v>
      </c>
      <c r="Z356" s="654">
        <f>IF($Y356=" ",0,"ORG "&amp;$D356&amp;" - "&amp;$G356)</f>
        <v>0</v>
      </c>
      <c r="AA356" s="655" t="str">
        <f>$B356&amp;LEFT($C356,4)&amp;$D356&amp;$E356&amp;$F356</f>
        <v>Celk</v>
      </c>
      <c r="AB356" s="638"/>
      <c r="AC356" s="638"/>
      <c r="AD356" s="638"/>
      <c r="AE356" s="638"/>
      <c r="AF356" s="638"/>
    </row>
    <row r="357" spans="1:32" ht="12.75" outlineLevel="2">
      <c r="A357" s="639">
        <f t="shared" si="62"/>
        <v>355</v>
      </c>
      <c r="B357" s="658">
        <v>6200</v>
      </c>
      <c r="C357" s="641" t="s">
        <v>1014</v>
      </c>
      <c r="D357" s="641">
        <v>3496</v>
      </c>
      <c r="E357" s="641">
        <v>6460</v>
      </c>
      <c r="F357" s="649">
        <v>40</v>
      </c>
      <c r="G357" s="642" t="s">
        <v>1015</v>
      </c>
      <c r="H357" s="663"/>
      <c r="I357" s="663"/>
      <c r="J357" s="660"/>
      <c r="K357" s="660"/>
      <c r="L357" s="660">
        <f>2600+1250+1455</f>
        <v>5305</v>
      </c>
      <c r="M357" s="661"/>
      <c r="N357" s="661">
        <v>850</v>
      </c>
      <c r="O357" s="660">
        <v>90</v>
      </c>
      <c r="P357" s="647">
        <f t="shared" si="64"/>
        <v>0.10588235294117647</v>
      </c>
      <c r="Q357" s="661"/>
      <c r="R357" s="661"/>
      <c r="S357" s="662"/>
      <c r="T357" s="649" t="s">
        <v>998</v>
      </c>
      <c r="U357" s="669"/>
      <c r="V357" s="651">
        <f t="shared" si="69"/>
        <v>-6155</v>
      </c>
      <c r="W357" s="652">
        <f>IF(AND(P357&lt;'[1]koment'!$F$1,N357&gt;='[1]koment'!$F$2),"Komentovat","")</f>
      </c>
      <c r="X357" s="653" t="e">
        <f>IF(W357="Komentovat",X355+1,X355)</f>
        <v>#REF!</v>
      </c>
      <c r="Y357" s="651">
        <f t="shared" si="70"/>
        <v>6200</v>
      </c>
      <c r="Z357" s="654" t="str">
        <f t="shared" si="71"/>
        <v>ORG 3496 - Investiční zápůjčky z FRB</v>
      </c>
      <c r="AA357" s="655" t="str">
        <f t="shared" si="72"/>
        <v>620036193496646040</v>
      </c>
      <c r="AB357" s="638"/>
      <c r="AC357" s="638"/>
      <c r="AD357" s="638"/>
      <c r="AE357" s="638"/>
      <c r="AF357" s="638"/>
    </row>
    <row r="358" spans="1:32" ht="12.75" outlineLevel="1">
      <c r="A358" s="639">
        <f t="shared" si="62"/>
        <v>356</v>
      </c>
      <c r="B358" s="658"/>
      <c r="C358" s="666" t="s">
        <v>1016</v>
      </c>
      <c r="D358" s="641"/>
      <c r="E358" s="641"/>
      <c r="F358" s="649"/>
      <c r="G358" s="642"/>
      <c r="H358" s="663"/>
      <c r="I358" s="663"/>
      <c r="J358" s="660">
        <f aca="true" t="shared" si="74" ref="J358:O358">SUBTOTAL(9,J357:J357)</f>
        <v>0</v>
      </c>
      <c r="K358" s="660">
        <f t="shared" si="74"/>
        <v>0</v>
      </c>
      <c r="L358" s="660">
        <f t="shared" si="74"/>
        <v>5305</v>
      </c>
      <c r="M358" s="661">
        <f t="shared" si="74"/>
        <v>0</v>
      </c>
      <c r="N358" s="661">
        <f t="shared" si="74"/>
        <v>850</v>
      </c>
      <c r="O358" s="660">
        <f t="shared" si="74"/>
        <v>90</v>
      </c>
      <c r="P358" s="647">
        <f t="shared" si="64"/>
        <v>0.10588235294117647</v>
      </c>
      <c r="Q358" s="661">
        <f>SUBTOTAL(9,Q357:Q357)</f>
        <v>0</v>
      </c>
      <c r="R358" s="661">
        <f>SUBTOTAL(9,R357:R357)</f>
        <v>0</v>
      </c>
      <c r="S358" s="662">
        <f>SUBTOTAL(9,S357:S357)</f>
        <v>0</v>
      </c>
      <c r="T358" s="649"/>
      <c r="U358" s="669"/>
      <c r="V358" s="651"/>
      <c r="W358" s="652"/>
      <c r="X358" s="653"/>
      <c r="Y358" s="651" t="str">
        <f>IF($V358=0," ",IF(LEN($B358)=4,$B358*1,$B358))</f>
        <v> </v>
      </c>
      <c r="Z358" s="654">
        <f>IF($Y358=" ",0,"ORG "&amp;$D358&amp;" - "&amp;$G358)</f>
        <v>0</v>
      </c>
      <c r="AA358" s="655" t="str">
        <f>$B358&amp;LEFT($C358,4)&amp;$D358&amp;$E358&amp;$F358</f>
        <v>Celk</v>
      </c>
      <c r="AB358" s="638"/>
      <c r="AC358" s="638"/>
      <c r="AD358" s="638"/>
      <c r="AE358" s="638"/>
      <c r="AF358" s="638"/>
    </row>
    <row r="359" spans="1:32" ht="12.75" outlineLevel="2">
      <c r="A359" s="639">
        <f t="shared" si="62"/>
        <v>357</v>
      </c>
      <c r="B359" s="658" t="s">
        <v>606</v>
      </c>
      <c r="C359" s="641" t="s">
        <v>1017</v>
      </c>
      <c r="D359" s="641">
        <v>301099</v>
      </c>
      <c r="E359" s="641">
        <v>6313</v>
      </c>
      <c r="F359" s="649"/>
      <c r="G359" s="642" t="s">
        <v>1018</v>
      </c>
      <c r="H359" s="663"/>
      <c r="I359" s="663"/>
      <c r="J359" s="660"/>
      <c r="K359" s="660"/>
      <c r="L359" s="660"/>
      <c r="M359" s="661"/>
      <c r="N359" s="661">
        <v>5000</v>
      </c>
      <c r="O359" s="660">
        <v>5000</v>
      </c>
      <c r="P359" s="647">
        <f t="shared" si="64"/>
        <v>1</v>
      </c>
      <c r="Q359" s="661"/>
      <c r="R359" s="661"/>
      <c r="S359" s="662"/>
      <c r="T359" s="649" t="s">
        <v>609</v>
      </c>
      <c r="U359" s="669"/>
      <c r="V359" s="651">
        <f t="shared" si="69"/>
        <v>0</v>
      </c>
      <c r="W359" s="652">
        <f>IF(AND(P359&lt;'[1]koment'!$F$1,N359&gt;='[1]koment'!$F$2),"Komentovat","")</f>
      </c>
      <c r="X359" s="653" t="e">
        <f>IF(W359="Komentovat",X357+1,X357)</f>
        <v>#REF!</v>
      </c>
      <c r="Y359" s="651" t="str">
        <f t="shared" si="70"/>
        <v> </v>
      </c>
      <c r="Z359" s="654">
        <f t="shared" si="71"/>
        <v>0</v>
      </c>
      <c r="AA359" s="655" t="str">
        <f t="shared" si="72"/>
        <v>560036313010996313</v>
      </c>
      <c r="AB359" s="638"/>
      <c r="AC359" s="638"/>
      <c r="AD359" s="638"/>
      <c r="AE359" s="638"/>
      <c r="AF359" s="638"/>
    </row>
    <row r="360" spans="1:32" ht="12.75" outlineLevel="1">
      <c r="A360" s="639">
        <f t="shared" si="62"/>
        <v>358</v>
      </c>
      <c r="B360" s="658"/>
      <c r="C360" s="666" t="s">
        <v>1019</v>
      </c>
      <c r="D360" s="641"/>
      <c r="E360" s="641"/>
      <c r="F360" s="649"/>
      <c r="G360" s="642"/>
      <c r="H360" s="663"/>
      <c r="I360" s="663"/>
      <c r="J360" s="660">
        <f aca="true" t="shared" si="75" ref="J360:O360">SUBTOTAL(9,J359:J359)</f>
        <v>0</v>
      </c>
      <c r="K360" s="660">
        <f t="shared" si="75"/>
        <v>0</v>
      </c>
      <c r="L360" s="660">
        <f t="shared" si="75"/>
        <v>0</v>
      </c>
      <c r="M360" s="661">
        <f t="shared" si="75"/>
        <v>0</v>
      </c>
      <c r="N360" s="661">
        <f t="shared" si="75"/>
        <v>5000</v>
      </c>
      <c r="O360" s="660">
        <f t="shared" si="75"/>
        <v>5000</v>
      </c>
      <c r="P360" s="647">
        <f t="shared" si="64"/>
        <v>1</v>
      </c>
      <c r="Q360" s="661">
        <f>SUBTOTAL(9,Q359:Q359)</f>
        <v>0</v>
      </c>
      <c r="R360" s="661">
        <f>SUBTOTAL(9,R359:R359)</f>
        <v>0</v>
      </c>
      <c r="S360" s="662">
        <f>SUBTOTAL(9,S359:S359)</f>
        <v>0</v>
      </c>
      <c r="T360" s="649"/>
      <c r="U360" s="669"/>
      <c r="V360" s="651"/>
      <c r="W360" s="652"/>
      <c r="X360" s="653"/>
      <c r="Y360" s="651" t="str">
        <f>IF($V360=0," ",IF(LEN($B360)=4,$B360*1,$B360))</f>
        <v> </v>
      </c>
      <c r="Z360" s="654">
        <f>IF($Y360=" ",0,"ORG "&amp;$D360&amp;" - "&amp;$G360)</f>
        <v>0</v>
      </c>
      <c r="AA360" s="655" t="str">
        <f>$B360&amp;LEFT($C360,4)&amp;$D360&amp;$E360&amp;$F360</f>
        <v>Celk</v>
      </c>
      <c r="AB360" s="638"/>
      <c r="AC360" s="638"/>
      <c r="AD360" s="638"/>
      <c r="AE360" s="638"/>
      <c r="AF360" s="638"/>
    </row>
    <row r="361" spans="1:32" ht="12.75" outlineLevel="2">
      <c r="A361" s="639">
        <f t="shared" si="62"/>
        <v>359</v>
      </c>
      <c r="B361" s="658" t="s">
        <v>606</v>
      </c>
      <c r="C361" s="641" t="s">
        <v>1020</v>
      </c>
      <c r="D361" s="641">
        <v>2805</v>
      </c>
      <c r="E361" s="641">
        <v>6351</v>
      </c>
      <c r="F361" s="649"/>
      <c r="G361" s="642" t="s">
        <v>1021</v>
      </c>
      <c r="H361" s="663" t="s">
        <v>1022</v>
      </c>
      <c r="I361" s="663" t="s">
        <v>1023</v>
      </c>
      <c r="J361" s="660">
        <v>10400</v>
      </c>
      <c r="K361" s="660"/>
      <c r="L361" s="660"/>
      <c r="M361" s="661"/>
      <c r="N361" s="661">
        <v>250</v>
      </c>
      <c r="O361" s="660">
        <v>250</v>
      </c>
      <c r="P361" s="647">
        <f t="shared" si="64"/>
        <v>1</v>
      </c>
      <c r="Q361" s="661"/>
      <c r="R361" s="661"/>
      <c r="S361" s="662"/>
      <c r="T361" s="649" t="s">
        <v>1024</v>
      </c>
      <c r="U361" s="681"/>
      <c r="V361" s="651">
        <f t="shared" si="69"/>
        <v>10150</v>
      </c>
      <c r="W361" s="652">
        <f>IF(AND(P361&lt;'[1]koment'!$F$1,N361&gt;='[1]koment'!$F$2),"Komentovat","")</f>
      </c>
      <c r="X361" s="653" t="e">
        <f>IF(W361="Komentovat",X359+1,X359)</f>
        <v>#REF!</v>
      </c>
      <c r="Y361" s="651">
        <f t="shared" si="70"/>
        <v>5600</v>
      </c>
      <c r="Z361" s="654" t="str">
        <f t="shared" si="71"/>
        <v>ORG 2805 - Vybudování kolumbária na ÚH-inv.transfer</v>
      </c>
      <c r="AA361" s="655" t="str">
        <f t="shared" si="72"/>
        <v>5600363228056351</v>
      </c>
      <c r="AB361" s="638"/>
      <c r="AC361" s="638"/>
      <c r="AD361" s="638"/>
      <c r="AE361" s="638"/>
      <c r="AF361" s="638"/>
    </row>
    <row r="362" spans="1:32" ht="12.75" outlineLevel="2">
      <c r="A362" s="639">
        <f t="shared" si="62"/>
        <v>360</v>
      </c>
      <c r="B362" s="658" t="s">
        <v>606</v>
      </c>
      <c r="C362" s="641" t="s">
        <v>1020</v>
      </c>
      <c r="D362" s="641">
        <v>2823</v>
      </c>
      <c r="E362" s="641">
        <v>6121</v>
      </c>
      <c r="F362" s="649"/>
      <c r="G362" s="642" t="s">
        <v>1025</v>
      </c>
      <c r="H362" s="663" t="s">
        <v>1022</v>
      </c>
      <c r="I362" s="663" t="s">
        <v>1023</v>
      </c>
      <c r="J362" s="660">
        <v>4020</v>
      </c>
      <c r="K362" s="660"/>
      <c r="L362" s="660"/>
      <c r="M362" s="661">
        <v>300</v>
      </c>
      <c r="N362" s="661"/>
      <c r="O362" s="660"/>
      <c r="P362" s="647" t="str">
        <f t="shared" si="64"/>
        <v> </v>
      </c>
      <c r="Q362" s="661">
        <v>3720</v>
      </c>
      <c r="R362" s="661"/>
      <c r="S362" s="662"/>
      <c r="T362" s="649" t="s">
        <v>609</v>
      </c>
      <c r="U362" s="681"/>
      <c r="V362" s="651">
        <f t="shared" si="69"/>
        <v>300</v>
      </c>
      <c r="W362" s="652">
        <f>IF(AND(P362&lt;'[1]koment'!$F$1,N362&gt;='[1]koment'!$F$2),"Komentovat","")</f>
      </c>
      <c r="X362" s="653" t="e">
        <f t="shared" si="68"/>
        <v>#REF!</v>
      </c>
      <c r="Y362" s="651">
        <f t="shared" si="70"/>
        <v>5600</v>
      </c>
      <c r="Z362" s="654" t="str">
        <f t="shared" si="71"/>
        <v>ORG 2823 - Rozšíření hřbitova Slatina</v>
      </c>
      <c r="AA362" s="655" t="str">
        <f t="shared" si="72"/>
        <v>5600363228236121</v>
      </c>
      <c r="AB362" s="638"/>
      <c r="AC362" s="638"/>
      <c r="AD362" s="638"/>
      <c r="AE362" s="638"/>
      <c r="AF362" s="638"/>
    </row>
    <row r="363" spans="1:32" ht="12.75" outlineLevel="2">
      <c r="A363" s="639">
        <f t="shared" si="62"/>
        <v>361</v>
      </c>
      <c r="B363" s="658" t="s">
        <v>606</v>
      </c>
      <c r="C363" s="641" t="s">
        <v>1020</v>
      </c>
      <c r="D363" s="641">
        <v>4859</v>
      </c>
      <c r="E363" s="641">
        <v>6121</v>
      </c>
      <c r="F363" s="649"/>
      <c r="G363" s="642" t="s">
        <v>1026</v>
      </c>
      <c r="H363" s="665">
        <v>2001</v>
      </c>
      <c r="I363" s="641">
        <v>2016</v>
      </c>
      <c r="J363" s="660">
        <v>4560</v>
      </c>
      <c r="K363" s="660"/>
      <c r="L363" s="660"/>
      <c r="M363" s="661"/>
      <c r="N363" s="661"/>
      <c r="O363" s="660"/>
      <c r="P363" s="647" t="str">
        <f t="shared" si="64"/>
        <v> </v>
      </c>
      <c r="Q363" s="661"/>
      <c r="R363" s="661"/>
      <c r="S363" s="662">
        <v>4560</v>
      </c>
      <c r="T363" s="649" t="s">
        <v>609</v>
      </c>
      <c r="U363" s="669"/>
      <c r="V363" s="651">
        <f t="shared" si="69"/>
        <v>0</v>
      </c>
      <c r="W363" s="652">
        <f>IF(AND(P363&lt;'[1]koment'!$F$1,N363&gt;='[1]koment'!$F$2),"Komentovat","")</f>
      </c>
      <c r="X363" s="653" t="e">
        <f t="shared" si="68"/>
        <v>#REF!</v>
      </c>
      <c r="Y363" s="651" t="str">
        <f t="shared" si="70"/>
        <v> </v>
      </c>
      <c r="Z363" s="654">
        <f t="shared" si="71"/>
        <v>0</v>
      </c>
      <c r="AA363" s="655" t="str">
        <f t="shared" si="72"/>
        <v>5600363248596121</v>
      </c>
      <c r="AB363" s="638"/>
      <c r="AC363" s="638"/>
      <c r="AD363" s="638"/>
      <c r="AE363" s="638"/>
      <c r="AF363" s="638"/>
    </row>
    <row r="364" spans="1:32" ht="12.75" outlineLevel="2">
      <c r="A364" s="639">
        <f t="shared" si="62"/>
        <v>362</v>
      </c>
      <c r="B364" s="658" t="s">
        <v>606</v>
      </c>
      <c r="C364" s="641" t="s">
        <v>1020</v>
      </c>
      <c r="D364" s="641">
        <v>4870</v>
      </c>
      <c r="E364" s="641">
        <v>6121</v>
      </c>
      <c r="F364" s="649"/>
      <c r="G364" s="642" t="s">
        <v>1027</v>
      </c>
      <c r="H364" s="665">
        <v>2001</v>
      </c>
      <c r="I364" s="641">
        <v>2016</v>
      </c>
      <c r="J364" s="660">
        <v>30350</v>
      </c>
      <c r="K364" s="660"/>
      <c r="L364" s="660">
        <v>14100</v>
      </c>
      <c r="M364" s="661"/>
      <c r="N364" s="661">
        <v>250</v>
      </c>
      <c r="O364" s="660"/>
      <c r="P364" s="647">
        <f t="shared" si="64"/>
        <v>0</v>
      </c>
      <c r="Q364" s="661"/>
      <c r="R364" s="661"/>
      <c r="S364" s="662">
        <v>3200</v>
      </c>
      <c r="T364" s="649" t="s">
        <v>609</v>
      </c>
      <c r="U364" s="669"/>
      <c r="V364" s="651">
        <f t="shared" si="69"/>
        <v>12800</v>
      </c>
      <c r="W364" s="652">
        <f>IF(AND(P364&lt;'[1]koment'!$F$1,N364&gt;='[1]koment'!$F$2),"Komentovat","")</f>
      </c>
      <c r="X364" s="653" t="e">
        <f t="shared" si="68"/>
        <v>#REF!</v>
      </c>
      <c r="Y364" s="651">
        <f t="shared" si="70"/>
        <v>5600</v>
      </c>
      <c r="Z364" s="654" t="str">
        <f t="shared" si="71"/>
        <v>ORG 4870 - Rozšíření hřbitova v Líšni</v>
      </c>
      <c r="AA364" s="655" t="str">
        <f t="shared" si="72"/>
        <v>5600363248706121</v>
      </c>
      <c r="AB364" s="638"/>
      <c r="AC364" s="638"/>
      <c r="AD364" s="638"/>
      <c r="AE364" s="638"/>
      <c r="AF364" s="638"/>
    </row>
    <row r="365" spans="1:32" ht="12.75" outlineLevel="2">
      <c r="A365" s="639">
        <f t="shared" si="62"/>
        <v>363</v>
      </c>
      <c r="B365" s="658" t="s">
        <v>1028</v>
      </c>
      <c r="C365" s="641" t="s">
        <v>1020</v>
      </c>
      <c r="D365" s="641">
        <v>30019106</v>
      </c>
      <c r="E365" s="641">
        <v>6351</v>
      </c>
      <c r="F365" s="649"/>
      <c r="G365" s="642" t="s">
        <v>1029</v>
      </c>
      <c r="H365" s="663"/>
      <c r="I365" s="663"/>
      <c r="J365" s="660"/>
      <c r="K365" s="660"/>
      <c r="L365" s="660">
        <f>852+2633</f>
        <v>3485</v>
      </c>
      <c r="M365" s="661"/>
      <c r="N365" s="661">
        <v>5070</v>
      </c>
      <c r="O365" s="660">
        <v>4025</v>
      </c>
      <c r="P365" s="647">
        <f t="shared" si="64"/>
        <v>0.7938856015779092</v>
      </c>
      <c r="Q365" s="661"/>
      <c r="R365" s="661"/>
      <c r="S365" s="662"/>
      <c r="T365" s="649" t="s">
        <v>1024</v>
      </c>
      <c r="U365" s="669"/>
      <c r="V365" s="651">
        <f t="shared" si="69"/>
        <v>0</v>
      </c>
      <c r="W365" s="652">
        <f>IF(AND(P365&lt;'[1]koment'!$F$1,N365&gt;='[1]koment'!$F$2),"Komentovat","")</f>
      </c>
      <c r="X365" s="653" t="e">
        <f t="shared" si="68"/>
        <v>#REF!</v>
      </c>
      <c r="Y365" s="651" t="str">
        <f t="shared" si="70"/>
        <v> </v>
      </c>
      <c r="Z365" s="654">
        <f t="shared" si="71"/>
        <v>0</v>
      </c>
      <c r="AA365" s="655" t="str">
        <f t="shared" si="72"/>
        <v>42003632300191066351</v>
      </c>
      <c r="AB365" s="638"/>
      <c r="AC365" s="638"/>
      <c r="AD365" s="638"/>
      <c r="AE365" s="638"/>
      <c r="AF365" s="638"/>
    </row>
    <row r="366" spans="1:32" ht="12.75" outlineLevel="1">
      <c r="A366" s="639">
        <f t="shared" si="62"/>
        <v>364</v>
      </c>
      <c r="B366" s="658"/>
      <c r="C366" s="666" t="s">
        <v>1030</v>
      </c>
      <c r="D366" s="641"/>
      <c r="E366" s="641"/>
      <c r="F366" s="649"/>
      <c r="G366" s="642"/>
      <c r="H366" s="663"/>
      <c r="I366" s="663"/>
      <c r="J366" s="660">
        <f aca="true" t="shared" si="76" ref="J366:O366">SUBTOTAL(9,J361:J365)</f>
        <v>49330</v>
      </c>
      <c r="K366" s="660">
        <f t="shared" si="76"/>
        <v>0</v>
      </c>
      <c r="L366" s="660">
        <f t="shared" si="76"/>
        <v>17585</v>
      </c>
      <c r="M366" s="661">
        <f t="shared" si="76"/>
        <v>300</v>
      </c>
      <c r="N366" s="661">
        <f t="shared" si="76"/>
        <v>5570</v>
      </c>
      <c r="O366" s="660">
        <f t="shared" si="76"/>
        <v>4275</v>
      </c>
      <c r="P366" s="647">
        <f t="shared" si="64"/>
        <v>0.7675044883303411</v>
      </c>
      <c r="Q366" s="661">
        <f>SUBTOTAL(9,Q361:Q365)</f>
        <v>3720</v>
      </c>
      <c r="R366" s="661">
        <f>SUBTOTAL(9,R361:R365)</f>
        <v>0</v>
      </c>
      <c r="S366" s="662">
        <f>SUBTOTAL(9,S361:S365)</f>
        <v>7760</v>
      </c>
      <c r="T366" s="649"/>
      <c r="U366" s="669"/>
      <c r="V366" s="651"/>
      <c r="W366" s="652"/>
      <c r="X366" s="653"/>
      <c r="Y366" s="651" t="str">
        <f>IF($V366=0," ",IF(LEN($B366)=4,$B366*1,$B366))</f>
        <v> </v>
      </c>
      <c r="Z366" s="654">
        <f>IF($Y366=" ",0,"ORG "&amp;$D366&amp;" - "&amp;$G366)</f>
        <v>0</v>
      </c>
      <c r="AA366" s="655" t="str">
        <f>$B366&amp;LEFT($C366,4)&amp;$D366&amp;$E366&amp;$F366</f>
        <v>Celk</v>
      </c>
      <c r="AB366" s="638"/>
      <c r="AC366" s="638"/>
      <c r="AD366" s="638"/>
      <c r="AE366" s="638"/>
      <c r="AF366" s="638"/>
    </row>
    <row r="367" spans="1:32" ht="12.75" outlineLevel="2">
      <c r="A367" s="639">
        <f t="shared" si="62"/>
        <v>365</v>
      </c>
      <c r="B367" s="658" t="s">
        <v>606</v>
      </c>
      <c r="C367" s="641" t="s">
        <v>1031</v>
      </c>
      <c r="D367" s="641">
        <v>2958</v>
      </c>
      <c r="E367" s="641">
        <v>6121</v>
      </c>
      <c r="F367" s="649"/>
      <c r="G367" s="642" t="s">
        <v>1032</v>
      </c>
      <c r="H367" s="641">
        <v>2012</v>
      </c>
      <c r="I367" s="641">
        <v>2016</v>
      </c>
      <c r="J367" s="660">
        <v>113521</v>
      </c>
      <c r="K367" s="660"/>
      <c r="L367" s="660"/>
      <c r="M367" s="661"/>
      <c r="N367" s="661"/>
      <c r="O367" s="660"/>
      <c r="P367" s="647" t="str">
        <f t="shared" si="64"/>
        <v> </v>
      </c>
      <c r="Q367" s="661"/>
      <c r="R367" s="661"/>
      <c r="S367" s="662">
        <v>113521</v>
      </c>
      <c r="T367" s="649" t="s">
        <v>609</v>
      </c>
      <c r="U367" s="669"/>
      <c r="V367" s="651">
        <f t="shared" si="69"/>
        <v>0</v>
      </c>
      <c r="W367" s="652">
        <f>IF(AND(P367&lt;'[1]koment'!$F$1,N367&gt;='[1]koment'!$F$2),"Komentovat","")</f>
      </c>
      <c r="X367" s="653" t="e">
        <f>IF(W367="Komentovat",X365+1,X365)</f>
        <v>#REF!</v>
      </c>
      <c r="Y367" s="651" t="str">
        <f t="shared" si="70"/>
        <v> </v>
      </c>
      <c r="Z367" s="654">
        <f t="shared" si="71"/>
        <v>0</v>
      </c>
      <c r="AA367" s="655" t="str">
        <f t="shared" si="72"/>
        <v>5600363329586121</v>
      </c>
      <c r="AB367" s="638"/>
      <c r="AC367" s="638"/>
      <c r="AD367" s="638"/>
      <c r="AE367" s="638"/>
      <c r="AF367" s="638"/>
    </row>
    <row r="368" spans="1:32" ht="12.75" outlineLevel="1">
      <c r="A368" s="639">
        <f t="shared" si="62"/>
        <v>366</v>
      </c>
      <c r="B368" s="658"/>
      <c r="C368" s="666" t="s">
        <v>1033</v>
      </c>
      <c r="D368" s="641"/>
      <c r="E368" s="641"/>
      <c r="F368" s="649"/>
      <c r="G368" s="642"/>
      <c r="H368" s="641"/>
      <c r="I368" s="641"/>
      <c r="J368" s="660">
        <f aca="true" t="shared" si="77" ref="J368:O368">SUBTOTAL(9,J367:J367)</f>
        <v>113521</v>
      </c>
      <c r="K368" s="660">
        <f t="shared" si="77"/>
        <v>0</v>
      </c>
      <c r="L368" s="660">
        <f t="shared" si="77"/>
        <v>0</v>
      </c>
      <c r="M368" s="661">
        <f t="shared" si="77"/>
        <v>0</v>
      </c>
      <c r="N368" s="661">
        <f t="shared" si="77"/>
        <v>0</v>
      </c>
      <c r="O368" s="660">
        <f t="shared" si="77"/>
        <v>0</v>
      </c>
      <c r="P368" s="647" t="str">
        <f t="shared" si="64"/>
        <v> </v>
      </c>
      <c r="Q368" s="661">
        <f>SUBTOTAL(9,Q367:Q367)</f>
        <v>0</v>
      </c>
      <c r="R368" s="661">
        <f>SUBTOTAL(9,R367:R367)</f>
        <v>0</v>
      </c>
      <c r="S368" s="662">
        <f>SUBTOTAL(9,S367:S367)</f>
        <v>113521</v>
      </c>
      <c r="T368" s="649"/>
      <c r="U368" s="669"/>
      <c r="V368" s="651"/>
      <c r="W368" s="652"/>
      <c r="X368" s="653"/>
      <c r="Y368" s="651" t="str">
        <f>IF($V368=0," ",IF(LEN($B368)=4,$B368*1,$B368))</f>
        <v> </v>
      </c>
      <c r="Z368" s="654">
        <f>IF($Y368=" ",0,"ORG "&amp;$D368&amp;" - "&amp;$G368)</f>
        <v>0</v>
      </c>
      <c r="AA368" s="655" t="str">
        <f>$B368&amp;LEFT($C368,4)&amp;$D368&amp;$E368&amp;$F368</f>
        <v>Celk</v>
      </c>
      <c r="AB368" s="638"/>
      <c r="AC368" s="638"/>
      <c r="AD368" s="638"/>
      <c r="AE368" s="638"/>
      <c r="AF368" s="638"/>
    </row>
    <row r="369" spans="1:32" ht="12.75" outlineLevel="2">
      <c r="A369" s="639">
        <f t="shared" si="62"/>
        <v>367</v>
      </c>
      <c r="B369" s="658" t="s">
        <v>633</v>
      </c>
      <c r="C369" s="641" t="s">
        <v>1034</v>
      </c>
      <c r="D369" s="641">
        <v>2850</v>
      </c>
      <c r="E369" s="641">
        <v>6121</v>
      </c>
      <c r="F369" s="649"/>
      <c r="G369" s="642" t="s">
        <v>1035</v>
      </c>
      <c r="H369" s="641">
        <v>2013</v>
      </c>
      <c r="I369" s="641">
        <v>2014</v>
      </c>
      <c r="J369" s="660">
        <v>600</v>
      </c>
      <c r="K369" s="660"/>
      <c r="L369" s="660"/>
      <c r="M369" s="661">
        <v>2000</v>
      </c>
      <c r="N369" s="661">
        <v>597</v>
      </c>
      <c r="O369" s="660">
        <v>581</v>
      </c>
      <c r="P369" s="647">
        <f t="shared" si="64"/>
        <v>0.9731993299832495</v>
      </c>
      <c r="Q369" s="661"/>
      <c r="R369" s="661"/>
      <c r="S369" s="662">
        <v>113521</v>
      </c>
      <c r="T369" s="649" t="s">
        <v>635</v>
      </c>
      <c r="U369" s="669"/>
      <c r="V369" s="651">
        <f t="shared" si="69"/>
        <v>-113518</v>
      </c>
      <c r="W369" s="652">
        <f>IF(AND(P369&lt;'[1]koment'!$F$1,N369&gt;='[1]koment'!$F$2),"Komentovat","")</f>
      </c>
      <c r="X369" s="653" t="e">
        <f>IF(W369="Komentovat",X367+1,X367)</f>
        <v>#REF!</v>
      </c>
      <c r="Y369" s="651">
        <f t="shared" si="70"/>
        <v>5400</v>
      </c>
      <c r="Z369" s="654" t="str">
        <f t="shared" si="71"/>
        <v>ORG 2850 - Plán udržitelné městské mobility</v>
      </c>
      <c r="AA369" s="655" t="str">
        <f t="shared" si="72"/>
        <v>5400363628506121</v>
      </c>
      <c r="AB369" s="638"/>
      <c r="AC369" s="638"/>
      <c r="AD369" s="638"/>
      <c r="AE369" s="638"/>
      <c r="AF369" s="638"/>
    </row>
    <row r="370" spans="1:32" ht="12.75" outlineLevel="1">
      <c r="A370" s="639">
        <f t="shared" si="62"/>
        <v>368</v>
      </c>
      <c r="B370" s="658"/>
      <c r="C370" s="666" t="s">
        <v>1036</v>
      </c>
      <c r="D370" s="641"/>
      <c r="E370" s="641"/>
      <c r="F370" s="649"/>
      <c r="G370" s="642"/>
      <c r="H370" s="641"/>
      <c r="I370" s="641"/>
      <c r="J370" s="675">
        <f aca="true" t="shared" si="78" ref="J370:O370">SUBTOTAL(9,J369:J369)</f>
        <v>600</v>
      </c>
      <c r="K370" s="660">
        <f t="shared" si="78"/>
        <v>0</v>
      </c>
      <c r="L370" s="660">
        <f t="shared" si="78"/>
        <v>0</v>
      </c>
      <c r="M370" s="661">
        <f t="shared" si="78"/>
        <v>2000</v>
      </c>
      <c r="N370" s="661">
        <f t="shared" si="78"/>
        <v>597</v>
      </c>
      <c r="O370" s="660">
        <f t="shared" si="78"/>
        <v>581</v>
      </c>
      <c r="P370" s="647">
        <f t="shared" si="64"/>
        <v>0.9731993299832495</v>
      </c>
      <c r="Q370" s="661">
        <f>SUBTOTAL(9,Q369:Q369)</f>
        <v>0</v>
      </c>
      <c r="R370" s="661">
        <f>SUBTOTAL(9,R369:R369)</f>
        <v>0</v>
      </c>
      <c r="S370" s="662">
        <f>SUBTOTAL(9,S369:S369)</f>
        <v>113521</v>
      </c>
      <c r="T370" s="649"/>
      <c r="U370" s="669"/>
      <c r="V370" s="651"/>
      <c r="W370" s="652"/>
      <c r="X370" s="653"/>
      <c r="Y370" s="651" t="str">
        <f>IF($V370=0," ",IF(LEN($B370)=4,$B370*1,$B370))</f>
        <v> </v>
      </c>
      <c r="Z370" s="654">
        <f>IF($Y370=" ",0,"ORG "&amp;$D370&amp;" - "&amp;$G370)</f>
        <v>0</v>
      </c>
      <c r="AA370" s="655" t="str">
        <f>$B370&amp;LEFT($C370,4)&amp;$D370&amp;$E370&amp;$F370</f>
        <v>Celk</v>
      </c>
      <c r="AB370" s="638"/>
      <c r="AC370" s="638"/>
      <c r="AD370" s="638"/>
      <c r="AE370" s="638"/>
      <c r="AF370" s="638"/>
    </row>
    <row r="371" spans="1:32" ht="12.75" outlineLevel="2">
      <c r="A371" s="639">
        <f t="shared" si="62"/>
        <v>369</v>
      </c>
      <c r="B371" s="658" t="s">
        <v>1037</v>
      </c>
      <c r="C371" s="641" t="s">
        <v>1038</v>
      </c>
      <c r="D371" s="642">
        <v>2806</v>
      </c>
      <c r="E371" s="641">
        <v>6130</v>
      </c>
      <c r="F371" s="643">
        <v>41</v>
      </c>
      <c r="G371" s="642" t="s">
        <v>1039</v>
      </c>
      <c r="H371" s="642"/>
      <c r="I371" s="642"/>
      <c r="J371" s="644"/>
      <c r="K371" s="644"/>
      <c r="L371" s="645"/>
      <c r="M371" s="646"/>
      <c r="N371" s="646">
        <v>2854</v>
      </c>
      <c r="O371" s="644">
        <v>2853</v>
      </c>
      <c r="P371" s="647">
        <f t="shared" si="64"/>
        <v>0.9996496145760336</v>
      </c>
      <c r="Q371" s="646"/>
      <c r="R371" s="646"/>
      <c r="S371" s="648"/>
      <c r="T371" s="649" t="s">
        <v>1040</v>
      </c>
      <c r="U371" s="669"/>
      <c r="V371" s="651">
        <f t="shared" si="69"/>
        <v>-2854</v>
      </c>
      <c r="W371" s="652">
        <f>IF(AND(P371&lt;'[1]koment'!$F$1,N371&gt;='[1]koment'!$F$2),"Komentovat","")</f>
      </c>
      <c r="X371" s="653" t="e">
        <f>IF(W371="Komentovat",X369+1,X369)</f>
        <v>#REF!</v>
      </c>
      <c r="Y371" s="651">
        <f t="shared" si="70"/>
        <v>6300</v>
      </c>
      <c r="Z371" s="654" t="str">
        <f t="shared" si="71"/>
        <v>ORG 2806 - Nabytí pozemků v k.ú. Židenice</v>
      </c>
      <c r="AA371" s="655" t="str">
        <f t="shared" si="72"/>
        <v>630036392806613041</v>
      </c>
      <c r="AB371" s="638"/>
      <c r="AC371" s="638"/>
      <c r="AD371" s="638"/>
      <c r="AE371" s="638"/>
      <c r="AF371" s="638"/>
    </row>
    <row r="372" spans="1:32" ht="12.75" outlineLevel="2">
      <c r="A372" s="639">
        <f t="shared" si="62"/>
        <v>370</v>
      </c>
      <c r="B372" s="658" t="s">
        <v>606</v>
      </c>
      <c r="C372" s="641" t="s">
        <v>1038</v>
      </c>
      <c r="D372" s="641">
        <v>2818</v>
      </c>
      <c r="E372" s="641">
        <v>6901</v>
      </c>
      <c r="F372" s="649">
        <v>41</v>
      </c>
      <c r="G372" s="642" t="s">
        <v>1041</v>
      </c>
      <c r="H372" s="641"/>
      <c r="I372" s="641"/>
      <c r="J372" s="660"/>
      <c r="K372" s="660"/>
      <c r="L372" s="660"/>
      <c r="M372" s="661">
        <v>20000</v>
      </c>
      <c r="N372" s="661">
        <v>8587</v>
      </c>
      <c r="O372" s="660"/>
      <c r="P372" s="647">
        <f t="shared" si="64"/>
        <v>0</v>
      </c>
      <c r="Q372" s="661"/>
      <c r="R372" s="661"/>
      <c r="S372" s="662"/>
      <c r="T372" s="649" t="s">
        <v>609</v>
      </c>
      <c r="U372" s="669"/>
      <c r="V372" s="651">
        <f t="shared" si="69"/>
        <v>-8587</v>
      </c>
      <c r="W372" s="652" t="str">
        <f>IF(AND(P372&lt;'[1]koment'!$F$1,N372&gt;='[1]koment'!$F$2),"Komentovat","")</f>
        <v>Komentovat</v>
      </c>
      <c r="X372" s="653" t="e">
        <f t="shared" si="68"/>
        <v>#REF!</v>
      </c>
      <c r="Y372" s="651">
        <f t="shared" si="70"/>
        <v>5600</v>
      </c>
      <c r="Z372" s="654" t="str">
        <f t="shared" si="71"/>
        <v>ORG 2818 - Použití finančních prostředků FBV - rezerva</v>
      </c>
      <c r="AA372" s="655" t="str">
        <f t="shared" si="72"/>
        <v>560036392818690141</v>
      </c>
      <c r="AB372" s="638"/>
      <c r="AC372" s="638"/>
      <c r="AD372" s="638"/>
      <c r="AE372" s="638"/>
      <c r="AF372" s="638"/>
    </row>
    <row r="373" spans="1:32" ht="12.75" outlineLevel="2">
      <c r="A373" s="639">
        <f t="shared" si="62"/>
        <v>371</v>
      </c>
      <c r="B373" s="658" t="s">
        <v>606</v>
      </c>
      <c r="C373" s="641" t="s">
        <v>1038</v>
      </c>
      <c r="D373" s="641">
        <v>2960</v>
      </c>
      <c r="E373" s="641">
        <v>6121</v>
      </c>
      <c r="F373" s="649"/>
      <c r="G373" s="642" t="s">
        <v>1042</v>
      </c>
      <c r="H373" s="665">
        <v>2011</v>
      </c>
      <c r="I373" s="641">
        <v>2013</v>
      </c>
      <c r="J373" s="660">
        <v>2000</v>
      </c>
      <c r="K373" s="660"/>
      <c r="L373" s="660">
        <f>23+359+74</f>
        <v>456</v>
      </c>
      <c r="M373" s="661"/>
      <c r="N373" s="661"/>
      <c r="O373" s="660"/>
      <c r="P373" s="647" t="str">
        <f t="shared" si="64"/>
        <v> </v>
      </c>
      <c r="Q373" s="661"/>
      <c r="R373" s="661"/>
      <c r="S373" s="662"/>
      <c r="T373" s="649" t="s">
        <v>609</v>
      </c>
      <c r="U373" s="669"/>
      <c r="V373" s="651">
        <f t="shared" si="69"/>
        <v>1544</v>
      </c>
      <c r="W373" s="652">
        <f>IF(AND(P373&lt;'[1]koment'!$F$1,N373&gt;='[1]koment'!$F$2),"Komentovat","")</f>
      </c>
      <c r="X373" s="653" t="e">
        <f t="shared" si="68"/>
        <v>#REF!</v>
      </c>
      <c r="Y373" s="651">
        <f t="shared" si="70"/>
        <v>5600</v>
      </c>
      <c r="Z373" s="654" t="str">
        <f t="shared" si="71"/>
        <v>ORG 2960 - Dům pánů z Kunštátu - úprava vstupu</v>
      </c>
      <c r="AA373" s="655" t="str">
        <f t="shared" si="72"/>
        <v>5600363929606121</v>
      </c>
      <c r="AB373" s="638"/>
      <c r="AC373" s="638"/>
      <c r="AD373" s="638"/>
      <c r="AE373" s="638"/>
      <c r="AF373" s="638"/>
    </row>
    <row r="374" spans="1:32" ht="12.75" outlineLevel="2">
      <c r="A374" s="639">
        <f t="shared" si="62"/>
        <v>372</v>
      </c>
      <c r="B374" s="658" t="s">
        <v>606</v>
      </c>
      <c r="C374" s="641" t="s">
        <v>1038</v>
      </c>
      <c r="D374" s="641">
        <v>3130</v>
      </c>
      <c r="E374" s="641">
        <v>6121</v>
      </c>
      <c r="F374" s="649"/>
      <c r="G374" s="642" t="s">
        <v>1043</v>
      </c>
      <c r="H374" s="641"/>
      <c r="I374" s="641"/>
      <c r="J374" s="660"/>
      <c r="K374" s="660"/>
      <c r="L374" s="660">
        <f>10481+67</f>
        <v>10548</v>
      </c>
      <c r="M374" s="661">
        <v>1000</v>
      </c>
      <c r="N374" s="661"/>
      <c r="O374" s="660"/>
      <c r="P374" s="647" t="str">
        <f t="shared" si="64"/>
        <v> </v>
      </c>
      <c r="Q374" s="661"/>
      <c r="R374" s="661"/>
      <c r="S374" s="662"/>
      <c r="T374" s="649" t="s">
        <v>609</v>
      </c>
      <c r="U374" s="669"/>
      <c r="V374" s="651">
        <f t="shared" si="69"/>
        <v>-10548</v>
      </c>
      <c r="W374" s="652">
        <f>IF(AND(P374&lt;'[1]koment'!$F$1,N374&gt;='[1]koment'!$F$2),"Komentovat","")</f>
      </c>
      <c r="X374" s="653" t="e">
        <f t="shared" si="68"/>
        <v>#REF!</v>
      </c>
      <c r="Y374" s="651">
        <f t="shared" si="70"/>
        <v>5600</v>
      </c>
      <c r="Z374" s="654" t="str">
        <f t="shared" si="71"/>
        <v>ORG 3130 - Majetkopráv.vypořádání a příprava staveb j.n. </v>
      </c>
      <c r="AA374" s="655" t="str">
        <f t="shared" si="72"/>
        <v>5600363931306121</v>
      </c>
      <c r="AB374" s="638"/>
      <c r="AC374" s="638"/>
      <c r="AD374" s="638"/>
      <c r="AE374" s="638"/>
      <c r="AF374" s="638"/>
    </row>
    <row r="375" spans="1:32" ht="12.75" outlineLevel="2">
      <c r="A375" s="639">
        <f t="shared" si="62"/>
        <v>373</v>
      </c>
      <c r="B375" s="658" t="s">
        <v>195</v>
      </c>
      <c r="C375" s="641" t="s">
        <v>1038</v>
      </c>
      <c r="D375" s="641">
        <v>3283</v>
      </c>
      <c r="E375" s="641">
        <v>6121</v>
      </c>
      <c r="F375" s="649"/>
      <c r="G375" s="642" t="s">
        <v>1044</v>
      </c>
      <c r="H375" s="665">
        <v>2005</v>
      </c>
      <c r="I375" s="641">
        <v>2015</v>
      </c>
      <c r="J375" s="660">
        <v>36957</v>
      </c>
      <c r="K375" s="660"/>
      <c r="L375" s="660">
        <f>19457+2665+3147+2952</f>
        <v>28221</v>
      </c>
      <c r="M375" s="661"/>
      <c r="N375" s="661">
        <v>4500</v>
      </c>
      <c r="O375" s="660">
        <v>4491</v>
      </c>
      <c r="P375" s="647">
        <f t="shared" si="64"/>
        <v>0.998</v>
      </c>
      <c r="Q375" s="661"/>
      <c r="R375" s="661"/>
      <c r="S375" s="662"/>
      <c r="T375" s="649" t="s">
        <v>926</v>
      </c>
      <c r="U375" s="669"/>
      <c r="V375" s="651">
        <f t="shared" si="69"/>
        <v>4236</v>
      </c>
      <c r="W375" s="652">
        <f>IF(AND(P375&lt;'[1]koment'!$F$1,N375&gt;='[1]koment'!$F$2),"Komentovat","")</f>
      </c>
      <c r="X375" s="653" t="e">
        <f t="shared" si="68"/>
        <v>#REF!</v>
      </c>
      <c r="Y375" s="651">
        <f t="shared" si="70"/>
        <v>6600</v>
      </c>
      <c r="Z375" s="654" t="str">
        <f t="shared" si="71"/>
        <v>ORG 3283 - Technické zhodnocení objektů města</v>
      </c>
      <c r="AA375" s="655" t="str">
        <f t="shared" si="72"/>
        <v>6600363932836121</v>
      </c>
      <c r="AB375" s="638"/>
      <c r="AC375" s="638"/>
      <c r="AD375" s="638"/>
      <c r="AE375" s="638"/>
      <c r="AF375" s="638"/>
    </row>
    <row r="376" spans="1:32" ht="12.75" outlineLevel="2">
      <c r="A376" s="639">
        <f t="shared" si="62"/>
        <v>374</v>
      </c>
      <c r="B376" s="658" t="s">
        <v>1037</v>
      </c>
      <c r="C376" s="641" t="s">
        <v>1038</v>
      </c>
      <c r="D376" s="641">
        <v>3437</v>
      </c>
      <c r="E376" s="641">
        <v>6130</v>
      </c>
      <c r="F376" s="649"/>
      <c r="G376" s="642" t="s">
        <v>1045</v>
      </c>
      <c r="H376" s="641"/>
      <c r="I376" s="641"/>
      <c r="J376" s="660"/>
      <c r="K376" s="660"/>
      <c r="L376" s="660">
        <f>198140+18830+12751+10453</f>
        <v>240174</v>
      </c>
      <c r="M376" s="661">
        <v>2500</v>
      </c>
      <c r="N376" s="661">
        <v>19167</v>
      </c>
      <c r="O376" s="660">
        <v>16231</v>
      </c>
      <c r="P376" s="647">
        <f t="shared" si="64"/>
        <v>0.846820055303386</v>
      </c>
      <c r="Q376" s="661"/>
      <c r="R376" s="661"/>
      <c r="S376" s="662"/>
      <c r="T376" s="649" t="s">
        <v>1040</v>
      </c>
      <c r="U376" s="669"/>
      <c r="V376" s="651">
        <f t="shared" si="69"/>
        <v>-259341</v>
      </c>
      <c r="W376" s="652">
        <f>IF(AND(P376&lt;'[1]koment'!$F$1,N376&gt;='[1]koment'!$F$2),"Komentovat","")</f>
      </c>
      <c r="X376" s="653" t="e">
        <f t="shared" si="68"/>
        <v>#REF!</v>
      </c>
      <c r="Y376" s="651">
        <f t="shared" si="70"/>
        <v>6300</v>
      </c>
      <c r="Z376" s="654" t="str">
        <f t="shared" si="71"/>
        <v>ORG 3437 - MO - výkupy pozemků a objektů</v>
      </c>
      <c r="AA376" s="655" t="str">
        <f t="shared" si="72"/>
        <v>6300363934376130</v>
      </c>
      <c r="AB376" s="638"/>
      <c r="AC376" s="638"/>
      <c r="AD376" s="638"/>
      <c r="AE376" s="638"/>
      <c r="AF376" s="638"/>
    </row>
    <row r="377" spans="1:32" ht="12.75" outlineLevel="2">
      <c r="A377" s="639">
        <f t="shared" si="62"/>
        <v>375</v>
      </c>
      <c r="B377" s="658" t="s">
        <v>235</v>
      </c>
      <c r="C377" s="641" t="s">
        <v>1038</v>
      </c>
      <c r="D377" s="641">
        <v>4914</v>
      </c>
      <c r="E377" s="641">
        <v>6119</v>
      </c>
      <c r="F377" s="649"/>
      <c r="G377" s="642" t="s">
        <v>1046</v>
      </c>
      <c r="H377" s="641"/>
      <c r="I377" s="641"/>
      <c r="J377" s="660"/>
      <c r="K377" s="660"/>
      <c r="L377" s="660">
        <f>78719+5450+3938+561</f>
        <v>88668</v>
      </c>
      <c r="M377" s="661">
        <v>5000</v>
      </c>
      <c r="N377" s="661">
        <v>3500</v>
      </c>
      <c r="O377" s="660">
        <v>2691</v>
      </c>
      <c r="P377" s="647">
        <f t="shared" si="64"/>
        <v>0.7688571428571429</v>
      </c>
      <c r="Q377" s="661"/>
      <c r="R377" s="661"/>
      <c r="S377" s="662"/>
      <c r="T377" s="649" t="s">
        <v>877</v>
      </c>
      <c r="U377" s="669"/>
      <c r="V377" s="651">
        <f t="shared" si="69"/>
        <v>-92168</v>
      </c>
      <c r="W377" s="652">
        <f>IF(AND(P377&lt;'[1]koment'!$F$1,N377&gt;='[1]koment'!$F$2),"Komentovat","")</f>
      </c>
      <c r="X377" s="653" t="e">
        <f t="shared" si="68"/>
        <v>#REF!</v>
      </c>
      <c r="Y377" s="651">
        <f t="shared" si="70"/>
        <v>4100</v>
      </c>
      <c r="Z377" s="654" t="str">
        <f t="shared" si="71"/>
        <v>ORG 4914 - Projektové práce pro OÚPR</v>
      </c>
      <c r="AA377" s="655" t="str">
        <f t="shared" si="72"/>
        <v>4100363949146119</v>
      </c>
      <c r="AB377" s="638"/>
      <c r="AC377" s="638"/>
      <c r="AD377" s="638"/>
      <c r="AE377" s="638"/>
      <c r="AF377" s="638"/>
    </row>
    <row r="378" spans="1:32" ht="12.75" outlineLevel="2">
      <c r="A378" s="639">
        <f t="shared" si="62"/>
        <v>376</v>
      </c>
      <c r="B378" s="658" t="s">
        <v>170</v>
      </c>
      <c r="C378" s="641" t="s">
        <v>1038</v>
      </c>
      <c r="D378" s="641">
        <v>4925</v>
      </c>
      <c r="E378" s="641">
        <v>6901</v>
      </c>
      <c r="F378" s="649">
        <v>41</v>
      </c>
      <c r="G378" s="642" t="s">
        <v>1047</v>
      </c>
      <c r="H378" s="641"/>
      <c r="I378" s="641"/>
      <c r="J378" s="660"/>
      <c r="K378" s="660"/>
      <c r="L378" s="660"/>
      <c r="M378" s="661">
        <v>162250</v>
      </c>
      <c r="N378" s="661">
        <v>2593</v>
      </c>
      <c r="O378" s="660"/>
      <c r="P378" s="647">
        <f t="shared" si="64"/>
        <v>0</v>
      </c>
      <c r="Q378" s="661">
        <v>250000</v>
      </c>
      <c r="R378" s="661"/>
      <c r="S378" s="662"/>
      <c r="T378" s="649" t="s">
        <v>998</v>
      </c>
      <c r="U378" s="669"/>
      <c r="V378" s="651">
        <f t="shared" si="69"/>
        <v>-252593</v>
      </c>
      <c r="W378" s="652">
        <f>IF(AND(P378&lt;'[1]koment'!$F$1,N378&gt;='[1]koment'!$F$2),"Komentovat","")</f>
      </c>
      <c r="X378" s="653" t="e">
        <f t="shared" si="68"/>
        <v>#REF!</v>
      </c>
      <c r="Y378" s="651">
        <f t="shared" si="70"/>
        <v>6200</v>
      </c>
      <c r="Z378" s="654" t="str">
        <f t="shared" si="71"/>
        <v>ORG 4925 - Kapitálové výdaje z Fondu bytové výstavby</v>
      </c>
      <c r="AA378" s="655" t="str">
        <f t="shared" si="72"/>
        <v>620036394925690141</v>
      </c>
      <c r="AB378" s="638"/>
      <c r="AC378" s="638"/>
      <c r="AD378" s="638"/>
      <c r="AE378" s="638"/>
      <c r="AF378" s="638"/>
    </row>
    <row r="379" spans="1:32" ht="12.75" outlineLevel="2">
      <c r="A379" s="639">
        <f t="shared" si="62"/>
        <v>377</v>
      </c>
      <c r="B379" s="658" t="s">
        <v>840</v>
      </c>
      <c r="C379" s="641" t="s">
        <v>1038</v>
      </c>
      <c r="D379" s="641">
        <v>4988</v>
      </c>
      <c r="E379" s="641">
        <v>6130</v>
      </c>
      <c r="F379" s="649"/>
      <c r="G379" s="642" t="s">
        <v>1048</v>
      </c>
      <c r="H379" s="641"/>
      <c r="I379" s="641"/>
      <c r="J379" s="660"/>
      <c r="K379" s="660"/>
      <c r="L379" s="660">
        <f>60</f>
        <v>60</v>
      </c>
      <c r="M379" s="661"/>
      <c r="N379" s="661"/>
      <c r="O379" s="660"/>
      <c r="P379" s="647" t="str">
        <f t="shared" si="64"/>
        <v> </v>
      </c>
      <c r="Q379" s="661"/>
      <c r="R379" s="661"/>
      <c r="S379" s="662"/>
      <c r="T379" s="649" t="s">
        <v>843</v>
      </c>
      <c r="U379" s="669"/>
      <c r="V379" s="651">
        <f t="shared" si="69"/>
        <v>-60</v>
      </c>
      <c r="W379" s="652">
        <f>IF(AND(P379&lt;'[1]koment'!$F$1,N379&gt;='[1]koment'!$F$2),"Komentovat","")</f>
      </c>
      <c r="X379" s="653" t="e">
        <f t="shared" si="68"/>
        <v>#REF!</v>
      </c>
      <c r="Y379" s="651">
        <f t="shared" si="70"/>
        <v>4300</v>
      </c>
      <c r="Z379" s="654" t="str">
        <f t="shared" si="71"/>
        <v>ORG 4988 - Výkupy pozemků pro OVLHZ</v>
      </c>
      <c r="AA379" s="655" t="str">
        <f t="shared" si="72"/>
        <v>4300363949886130</v>
      </c>
      <c r="AB379" s="638"/>
      <c r="AC379" s="638"/>
      <c r="AD379" s="638"/>
      <c r="AE379" s="638"/>
      <c r="AF379" s="638"/>
    </row>
    <row r="380" spans="1:32" ht="12.75" outlineLevel="2">
      <c r="A380" s="639">
        <f t="shared" si="62"/>
        <v>378</v>
      </c>
      <c r="B380" s="658" t="s">
        <v>606</v>
      </c>
      <c r="C380" s="641" t="s">
        <v>1038</v>
      </c>
      <c r="D380" s="641">
        <v>5099</v>
      </c>
      <c r="E380" s="641">
        <v>6121</v>
      </c>
      <c r="F380" s="659" t="s">
        <v>665</v>
      </c>
      <c r="G380" s="642" t="s">
        <v>1049</v>
      </c>
      <c r="H380" s="641"/>
      <c r="I380" s="641"/>
      <c r="J380" s="660"/>
      <c r="K380" s="660"/>
      <c r="L380" s="660"/>
      <c r="M380" s="661">
        <v>20000</v>
      </c>
      <c r="N380" s="661"/>
      <c r="O380" s="660"/>
      <c r="P380" s="647" t="str">
        <f t="shared" si="64"/>
        <v> </v>
      </c>
      <c r="Q380" s="661"/>
      <c r="R380" s="661"/>
      <c r="S380" s="662"/>
      <c r="T380" s="649" t="s">
        <v>609</v>
      </c>
      <c r="U380" s="669"/>
      <c r="V380" s="651">
        <f t="shared" si="69"/>
        <v>0</v>
      </c>
      <c r="W380" s="652">
        <f>IF(AND(P380&lt;'[1]koment'!$F$1,N380&gt;='[1]koment'!$F$2),"Komentovat","")</f>
      </c>
      <c r="X380" s="653" t="e">
        <f t="shared" si="68"/>
        <v>#REF!</v>
      </c>
      <c r="Y380" s="651" t="str">
        <f t="shared" si="70"/>
        <v> </v>
      </c>
      <c r="Z380" s="654">
        <f t="shared" si="71"/>
        <v>0</v>
      </c>
      <c r="AA380" s="655" t="str">
        <f t="shared" si="72"/>
        <v>5600363950996121EU</v>
      </c>
      <c r="AB380" s="638"/>
      <c r="AC380" s="638"/>
      <c r="AD380" s="638"/>
      <c r="AE380" s="638"/>
      <c r="AF380" s="638"/>
    </row>
    <row r="381" spans="1:32" ht="12.75" outlineLevel="2">
      <c r="A381" s="639">
        <f t="shared" si="62"/>
        <v>379</v>
      </c>
      <c r="B381" s="658" t="s">
        <v>606</v>
      </c>
      <c r="C381" s="641" t="s">
        <v>1038</v>
      </c>
      <c r="D381" s="641">
        <v>5184</v>
      </c>
      <c r="E381" s="641">
        <v>6121</v>
      </c>
      <c r="F381" s="659" t="s">
        <v>665</v>
      </c>
      <c r="G381" s="642" t="s">
        <v>1050</v>
      </c>
      <c r="H381" s="641">
        <v>2013</v>
      </c>
      <c r="I381" s="641">
        <v>2014</v>
      </c>
      <c r="J381" s="660">
        <v>1089</v>
      </c>
      <c r="K381" s="660">
        <v>979</v>
      </c>
      <c r="L381" s="660"/>
      <c r="M381" s="661">
        <v>700</v>
      </c>
      <c r="N381" s="661">
        <v>950</v>
      </c>
      <c r="O381" s="660">
        <v>917</v>
      </c>
      <c r="P381" s="647">
        <f t="shared" si="64"/>
        <v>0.9652631578947368</v>
      </c>
      <c r="Q381" s="661"/>
      <c r="R381" s="661"/>
      <c r="S381" s="662"/>
      <c r="T381" s="649" t="s">
        <v>609</v>
      </c>
      <c r="U381" s="669"/>
      <c r="V381" s="651">
        <f t="shared" si="69"/>
        <v>139</v>
      </c>
      <c r="W381" s="652">
        <f>IF(AND(P381&lt;'[1]koment'!$F$1,N381&gt;='[1]koment'!$F$2),"Komentovat","")</f>
      </c>
      <c r="X381" s="653" t="e">
        <f t="shared" si="68"/>
        <v>#REF!</v>
      </c>
      <c r="Y381" s="651">
        <f t="shared" si="70"/>
        <v>5600</v>
      </c>
      <c r="Z381" s="654" t="str">
        <f t="shared" si="71"/>
        <v>ORG 5184 - Sanace - skalní řícení v ulici Pod Horkou</v>
      </c>
      <c r="AA381" s="655" t="str">
        <f t="shared" si="72"/>
        <v>5600363951846121EU</v>
      </c>
      <c r="AB381" s="638"/>
      <c r="AC381" s="638"/>
      <c r="AD381" s="638"/>
      <c r="AE381" s="638"/>
      <c r="AF381" s="638"/>
    </row>
    <row r="382" spans="1:32" ht="12.75" outlineLevel="1">
      <c r="A382" s="639">
        <f t="shared" si="62"/>
        <v>380</v>
      </c>
      <c r="B382" s="658"/>
      <c r="C382" s="666" t="s">
        <v>1051</v>
      </c>
      <c r="D382" s="641"/>
      <c r="E382" s="641"/>
      <c r="F382" s="659"/>
      <c r="G382" s="642"/>
      <c r="H382" s="641"/>
      <c r="I382" s="641"/>
      <c r="J382" s="660">
        <f aca="true" t="shared" si="79" ref="J382:O382">SUBTOTAL(9,J371:J381)</f>
        <v>40046</v>
      </c>
      <c r="K382" s="660">
        <f t="shared" si="79"/>
        <v>979</v>
      </c>
      <c r="L382" s="660">
        <f t="shared" si="79"/>
        <v>368127</v>
      </c>
      <c r="M382" s="661">
        <f t="shared" si="79"/>
        <v>211450</v>
      </c>
      <c r="N382" s="661">
        <f t="shared" si="79"/>
        <v>42151</v>
      </c>
      <c r="O382" s="660">
        <f t="shared" si="79"/>
        <v>27183</v>
      </c>
      <c r="P382" s="647">
        <f t="shared" si="64"/>
        <v>0.644895732011103</v>
      </c>
      <c r="Q382" s="661">
        <f>SUBTOTAL(9,Q371:Q381)</f>
        <v>250000</v>
      </c>
      <c r="R382" s="661">
        <f>SUBTOTAL(9,R371:R381)</f>
        <v>0</v>
      </c>
      <c r="S382" s="662">
        <f>SUBTOTAL(9,S371:S381)</f>
        <v>0</v>
      </c>
      <c r="T382" s="649"/>
      <c r="U382" s="669"/>
      <c r="V382" s="651"/>
      <c r="W382" s="652"/>
      <c r="X382" s="653"/>
      <c r="Y382" s="651" t="str">
        <f>IF($V382=0," ",IF(LEN($B382)=4,$B382*1,$B382))</f>
        <v> </v>
      </c>
      <c r="Z382" s="654">
        <f>IF($Y382=" ",0,"ORG "&amp;$D382&amp;" - "&amp;$G382)</f>
        <v>0</v>
      </c>
      <c r="AA382" s="655" t="str">
        <f>$B382&amp;LEFT($C382,4)&amp;$D382&amp;$E382&amp;$F382</f>
        <v>Celk</v>
      </c>
      <c r="AB382" s="638"/>
      <c r="AC382" s="638"/>
      <c r="AD382" s="638"/>
      <c r="AE382" s="638"/>
      <c r="AF382" s="638"/>
    </row>
    <row r="383" spans="1:32" ht="12.75" outlineLevel="2">
      <c r="A383" s="639">
        <f t="shared" si="62"/>
        <v>381</v>
      </c>
      <c r="B383" s="658" t="s">
        <v>606</v>
      </c>
      <c r="C383" s="641" t="s">
        <v>1052</v>
      </c>
      <c r="D383" s="641">
        <v>3120</v>
      </c>
      <c r="E383" s="641">
        <v>6201</v>
      </c>
      <c r="F383" s="649"/>
      <c r="G383" s="642" t="s">
        <v>1053</v>
      </c>
      <c r="H383" s="641"/>
      <c r="I383" s="641"/>
      <c r="J383" s="660"/>
      <c r="K383" s="660"/>
      <c r="L383" s="660">
        <f>71000+25000+20000+1900</f>
        <v>117900</v>
      </c>
      <c r="M383" s="661"/>
      <c r="N383" s="661"/>
      <c r="O383" s="660"/>
      <c r="P383" s="647" t="str">
        <f t="shared" si="64"/>
        <v> </v>
      </c>
      <c r="Q383" s="661"/>
      <c r="R383" s="661"/>
      <c r="S383" s="662"/>
      <c r="T383" s="649" t="s">
        <v>609</v>
      </c>
      <c r="U383" s="669"/>
      <c r="V383" s="651">
        <f t="shared" si="69"/>
        <v>-117900</v>
      </c>
      <c r="W383" s="652">
        <f>IF(AND(P383&lt;'[1]koment'!$F$1,N383&gt;='[1]koment'!$F$2),"Komentovat","")</f>
      </c>
      <c r="X383" s="653" t="e">
        <f>IF(W383="Komentovat",X381+1,X381)</f>
        <v>#REF!</v>
      </c>
      <c r="Y383" s="651">
        <f t="shared" si="70"/>
        <v>5600</v>
      </c>
      <c r="Z383" s="654" t="str">
        <f t="shared" si="71"/>
        <v>ORG 3120 - Zvýšení základního kapitálu - Technické sítě Brno</v>
      </c>
      <c r="AA383" s="655" t="str">
        <f t="shared" si="72"/>
        <v>5600369931206201</v>
      </c>
      <c r="AB383" s="638"/>
      <c r="AC383" s="638"/>
      <c r="AD383" s="638"/>
      <c r="AE383" s="638"/>
      <c r="AF383" s="638"/>
    </row>
    <row r="384" spans="1:32" ht="12.75" outlineLevel="2">
      <c r="A384" s="639">
        <f t="shared" si="62"/>
        <v>382</v>
      </c>
      <c r="B384" s="640" t="s">
        <v>606</v>
      </c>
      <c r="C384" s="641" t="s">
        <v>1052</v>
      </c>
      <c r="D384" s="642">
        <v>301099</v>
      </c>
      <c r="E384" s="641">
        <v>6313</v>
      </c>
      <c r="F384" s="643"/>
      <c r="G384" s="642" t="s">
        <v>1054</v>
      </c>
      <c r="H384" s="642"/>
      <c r="I384" s="642"/>
      <c r="J384" s="644"/>
      <c r="K384" s="644"/>
      <c r="L384" s="645"/>
      <c r="M384" s="646"/>
      <c r="N384" s="646">
        <v>2432</v>
      </c>
      <c r="O384" s="644">
        <v>2432</v>
      </c>
      <c r="P384" s="647">
        <f t="shared" si="64"/>
        <v>1</v>
      </c>
      <c r="Q384" s="646"/>
      <c r="R384" s="646"/>
      <c r="S384" s="648"/>
      <c r="T384" s="649" t="s">
        <v>609</v>
      </c>
      <c r="U384" s="669"/>
      <c r="V384" s="651">
        <f t="shared" si="69"/>
        <v>0</v>
      </c>
      <c r="W384" s="652">
        <f>IF(AND(P384&lt;'[1]koment'!$F$1,N384&gt;='[1]koment'!$F$2),"Komentovat","")</f>
      </c>
      <c r="X384" s="653" t="e">
        <f t="shared" si="68"/>
        <v>#REF!</v>
      </c>
      <c r="Y384" s="651" t="str">
        <f t="shared" si="70"/>
        <v> </v>
      </c>
      <c r="Z384" s="654">
        <f t="shared" si="71"/>
        <v>0</v>
      </c>
      <c r="AA384" s="655" t="str">
        <f t="shared" si="72"/>
        <v>560036993010996313</v>
      </c>
      <c r="AB384" s="638"/>
      <c r="AC384" s="638"/>
      <c r="AD384" s="638"/>
      <c r="AE384" s="638"/>
      <c r="AF384" s="638"/>
    </row>
    <row r="385" spans="1:32" ht="12.75" outlineLevel="1">
      <c r="A385" s="639">
        <f t="shared" si="62"/>
        <v>383</v>
      </c>
      <c r="B385" s="640"/>
      <c r="C385" s="666" t="s">
        <v>1055</v>
      </c>
      <c r="D385" s="642"/>
      <c r="E385" s="641"/>
      <c r="F385" s="643"/>
      <c r="G385" s="642"/>
      <c r="H385" s="642"/>
      <c r="I385" s="642"/>
      <c r="J385" s="644">
        <f aca="true" t="shared" si="80" ref="J385:O385">SUBTOTAL(9,J383:J384)</f>
        <v>0</v>
      </c>
      <c r="K385" s="644">
        <f t="shared" si="80"/>
        <v>0</v>
      </c>
      <c r="L385" s="645">
        <f t="shared" si="80"/>
        <v>117900</v>
      </c>
      <c r="M385" s="646">
        <f t="shared" si="80"/>
        <v>0</v>
      </c>
      <c r="N385" s="646">
        <f t="shared" si="80"/>
        <v>2432</v>
      </c>
      <c r="O385" s="644">
        <f t="shared" si="80"/>
        <v>2432</v>
      </c>
      <c r="P385" s="647">
        <f t="shared" si="64"/>
        <v>1</v>
      </c>
      <c r="Q385" s="646">
        <f>SUBTOTAL(9,Q383:Q384)</f>
        <v>0</v>
      </c>
      <c r="R385" s="646">
        <f>SUBTOTAL(9,R383:R384)</f>
        <v>0</v>
      </c>
      <c r="S385" s="648">
        <f>SUBTOTAL(9,S383:S384)</f>
        <v>0</v>
      </c>
      <c r="T385" s="649"/>
      <c r="U385" s="669"/>
      <c r="V385" s="651"/>
      <c r="W385" s="652"/>
      <c r="X385" s="653"/>
      <c r="Y385" s="651" t="str">
        <f>IF($V385=0," ",IF(LEN($B385)=4,$B385*1,$B385))</f>
        <v> </v>
      </c>
      <c r="Z385" s="654">
        <f>IF($Y385=" ",0,"ORG "&amp;$D385&amp;" - "&amp;$G385)</f>
        <v>0</v>
      </c>
      <c r="AA385" s="655" t="str">
        <f>$B385&amp;LEFT($C385,4)&amp;$D385&amp;$E385&amp;$F385</f>
        <v>Celk</v>
      </c>
      <c r="AB385" s="638"/>
      <c r="AC385" s="638"/>
      <c r="AD385" s="638"/>
      <c r="AE385" s="638"/>
      <c r="AF385" s="638"/>
    </row>
    <row r="386" spans="1:32" ht="12.75" outlineLevel="2">
      <c r="A386" s="639">
        <f t="shared" si="62"/>
        <v>384</v>
      </c>
      <c r="B386" s="658" t="s">
        <v>606</v>
      </c>
      <c r="C386" s="641" t="s">
        <v>1056</v>
      </c>
      <c r="D386" s="641">
        <v>2899</v>
      </c>
      <c r="E386" s="641">
        <v>6121</v>
      </c>
      <c r="F386" s="649"/>
      <c r="G386" s="642" t="s">
        <v>1057</v>
      </c>
      <c r="H386" s="641">
        <v>2013</v>
      </c>
      <c r="I386" s="641">
        <v>2015</v>
      </c>
      <c r="J386" s="660">
        <v>1500</v>
      </c>
      <c r="K386" s="660"/>
      <c r="L386" s="660">
        <v>120</v>
      </c>
      <c r="M386" s="661">
        <v>1380</v>
      </c>
      <c r="N386" s="661">
        <v>117</v>
      </c>
      <c r="O386" s="660">
        <v>117</v>
      </c>
      <c r="P386" s="647">
        <f t="shared" si="64"/>
        <v>1</v>
      </c>
      <c r="Q386" s="661"/>
      <c r="R386" s="661"/>
      <c r="S386" s="662"/>
      <c r="T386" s="649" t="s">
        <v>609</v>
      </c>
      <c r="U386" s="669"/>
      <c r="V386" s="651">
        <f t="shared" si="69"/>
        <v>1263</v>
      </c>
      <c r="W386" s="652">
        <f>IF(AND(P386&lt;'[1]koment'!$F$1,N386&gt;='[1]koment'!$F$2),"Komentovat","")</f>
      </c>
      <c r="X386" s="653" t="e">
        <f>IF(W386="Komentovat",X384+1,X384)</f>
        <v>#REF!</v>
      </c>
      <c r="Y386" s="651">
        <f t="shared" si="70"/>
        <v>5600</v>
      </c>
      <c r="Z386" s="654" t="str">
        <f t="shared" si="71"/>
        <v>ORG 2899 - Sběrné středisko odpadů Slaměníkova</v>
      </c>
      <c r="AA386" s="655" t="str">
        <f t="shared" si="72"/>
        <v>5600372528996121</v>
      </c>
      <c r="AB386" s="638"/>
      <c r="AC386" s="638"/>
      <c r="AD386" s="638"/>
      <c r="AE386" s="638"/>
      <c r="AF386" s="638"/>
    </row>
    <row r="387" spans="1:32" ht="12.75" outlineLevel="2">
      <c r="A387" s="639">
        <f t="shared" si="62"/>
        <v>385</v>
      </c>
      <c r="B387" s="663" t="s">
        <v>1028</v>
      </c>
      <c r="C387" s="641" t="s">
        <v>1056</v>
      </c>
      <c r="D387" s="641">
        <v>2901</v>
      </c>
      <c r="E387" s="641">
        <v>6121</v>
      </c>
      <c r="F387" s="659"/>
      <c r="G387" s="642" t="s">
        <v>1058</v>
      </c>
      <c r="H387" s="641">
        <v>2012</v>
      </c>
      <c r="I387" s="641">
        <v>2016</v>
      </c>
      <c r="J387" s="660">
        <v>15089</v>
      </c>
      <c r="K387" s="660"/>
      <c r="L387" s="660">
        <f>1874+3333</f>
        <v>5207</v>
      </c>
      <c r="M387" s="661"/>
      <c r="N387" s="661">
        <v>3333</v>
      </c>
      <c r="O387" s="660">
        <v>3333</v>
      </c>
      <c r="P387" s="647">
        <f t="shared" si="64"/>
        <v>1</v>
      </c>
      <c r="Q387" s="661"/>
      <c r="R387" s="661"/>
      <c r="S387" s="662"/>
      <c r="T387" s="649" t="s">
        <v>1059</v>
      </c>
      <c r="U387" s="669"/>
      <c r="V387" s="651">
        <f t="shared" si="69"/>
        <v>6549</v>
      </c>
      <c r="W387" s="652">
        <f>IF(AND(P387&lt;'[1]koment'!$F$1,N387&gt;='[1]koment'!$F$2),"Komentovat","")</f>
      </c>
      <c r="X387" s="653" t="e">
        <f t="shared" si="68"/>
        <v>#REF!</v>
      </c>
      <c r="Y387" s="651">
        <f t="shared" si="70"/>
        <v>4200</v>
      </c>
      <c r="Z387" s="654" t="str">
        <f t="shared" si="71"/>
        <v>ORG 2901 - Technické zhodnocení garáží v pronájmu SAKO Brno</v>
      </c>
      <c r="AA387" s="655" t="str">
        <f t="shared" si="72"/>
        <v>4200372529016121</v>
      </c>
      <c r="AB387" s="638"/>
      <c r="AC387" s="638"/>
      <c r="AD387" s="638"/>
      <c r="AE387" s="638"/>
      <c r="AF387" s="638"/>
    </row>
    <row r="388" spans="1:32" ht="12.75" outlineLevel="2">
      <c r="A388" s="639">
        <f aca="true" t="shared" si="81" ref="A388:A451">ROW()-2</f>
        <v>386</v>
      </c>
      <c r="B388" s="663" t="s">
        <v>1028</v>
      </c>
      <c r="C388" s="641" t="s">
        <v>1056</v>
      </c>
      <c r="D388" s="641">
        <v>2920</v>
      </c>
      <c r="E388" s="641">
        <v>6121</v>
      </c>
      <c r="F388" s="659"/>
      <c r="G388" s="642" t="s">
        <v>1060</v>
      </c>
      <c r="H388" s="641"/>
      <c r="I388" s="641"/>
      <c r="J388" s="660"/>
      <c r="K388" s="660"/>
      <c r="L388" s="660">
        <f>667</f>
        <v>667</v>
      </c>
      <c r="M388" s="661"/>
      <c r="N388" s="661">
        <v>667</v>
      </c>
      <c r="O388" s="660">
        <v>667</v>
      </c>
      <c r="P388" s="647">
        <f aca="true" t="shared" si="82" ref="P388:P451">IF(N388&lt;=0," ",O388/N388)</f>
        <v>1</v>
      </c>
      <c r="Q388" s="661"/>
      <c r="R388" s="661"/>
      <c r="S388" s="662"/>
      <c r="T388" s="649" t="s">
        <v>1059</v>
      </c>
      <c r="U388" s="669"/>
      <c r="V388" s="651">
        <f t="shared" si="69"/>
        <v>-1334</v>
      </c>
      <c r="W388" s="652">
        <f>IF(AND(P388&lt;'[1]koment'!$F$1,N388&gt;='[1]koment'!$F$2),"Komentovat","")</f>
      </c>
      <c r="X388" s="653" t="e">
        <f t="shared" si="68"/>
        <v>#REF!</v>
      </c>
      <c r="Y388" s="651">
        <f t="shared" si="70"/>
        <v>4200</v>
      </c>
      <c r="Z388" s="654" t="str">
        <f t="shared" si="71"/>
        <v>ORG 2920 - Nezdrojová DPH - OŽP</v>
      </c>
      <c r="AA388" s="655" t="str">
        <f t="shared" si="72"/>
        <v>4200372529206121</v>
      </c>
      <c r="AB388" s="638"/>
      <c r="AC388" s="638"/>
      <c r="AD388" s="638"/>
      <c r="AE388" s="638"/>
      <c r="AF388" s="638"/>
    </row>
    <row r="389" spans="1:32" ht="12.75" outlineLevel="1">
      <c r="A389" s="639">
        <f t="shared" si="81"/>
        <v>387</v>
      </c>
      <c r="B389" s="663"/>
      <c r="C389" s="666" t="s">
        <v>1061</v>
      </c>
      <c r="D389" s="641"/>
      <c r="E389" s="641"/>
      <c r="F389" s="659"/>
      <c r="G389" s="642"/>
      <c r="H389" s="641"/>
      <c r="I389" s="641"/>
      <c r="J389" s="660">
        <f aca="true" t="shared" si="83" ref="J389:O389">SUBTOTAL(9,J386:J388)</f>
        <v>16589</v>
      </c>
      <c r="K389" s="660">
        <f t="shared" si="83"/>
        <v>0</v>
      </c>
      <c r="L389" s="660">
        <f t="shared" si="83"/>
        <v>5994</v>
      </c>
      <c r="M389" s="661">
        <f t="shared" si="83"/>
        <v>1380</v>
      </c>
      <c r="N389" s="661">
        <f t="shared" si="83"/>
        <v>4117</v>
      </c>
      <c r="O389" s="660">
        <f t="shared" si="83"/>
        <v>4117</v>
      </c>
      <c r="P389" s="647">
        <f t="shared" si="82"/>
        <v>1</v>
      </c>
      <c r="Q389" s="661">
        <f>SUBTOTAL(9,Q386:Q388)</f>
        <v>0</v>
      </c>
      <c r="R389" s="661">
        <f>SUBTOTAL(9,R386:R388)</f>
        <v>0</v>
      </c>
      <c r="S389" s="662">
        <f>SUBTOTAL(9,S386:S388)</f>
        <v>0</v>
      </c>
      <c r="T389" s="649"/>
      <c r="U389" s="669"/>
      <c r="V389" s="651"/>
      <c r="W389" s="652"/>
      <c r="X389" s="653"/>
      <c r="Y389" s="651" t="str">
        <f>IF($V389=0," ",IF(LEN($B389)=4,$B389*1,$B389))</f>
        <v> </v>
      </c>
      <c r="Z389" s="654">
        <f>IF($Y389=" ",0,"ORG "&amp;$D389&amp;" - "&amp;$G389)</f>
        <v>0</v>
      </c>
      <c r="AA389" s="655" t="str">
        <f>$B389&amp;LEFT($C389,4)&amp;$D389&amp;$E389&amp;$F389</f>
        <v>Celk</v>
      </c>
      <c r="AB389" s="638"/>
      <c r="AC389" s="638"/>
      <c r="AD389" s="638"/>
      <c r="AE389" s="638"/>
      <c r="AF389" s="638"/>
    </row>
    <row r="390" spans="1:32" ht="12.75" outlineLevel="2">
      <c r="A390" s="639">
        <f t="shared" si="81"/>
        <v>388</v>
      </c>
      <c r="B390" s="658" t="s">
        <v>606</v>
      </c>
      <c r="C390" s="641" t="s">
        <v>1062</v>
      </c>
      <c r="D390" s="641">
        <v>3119</v>
      </c>
      <c r="E390" s="641">
        <v>6121</v>
      </c>
      <c r="F390" s="649"/>
      <c r="G390" s="642" t="s">
        <v>1063</v>
      </c>
      <c r="H390" s="665">
        <v>2008</v>
      </c>
      <c r="I390" s="641">
        <v>2016</v>
      </c>
      <c r="J390" s="660">
        <v>1525</v>
      </c>
      <c r="K390" s="660"/>
      <c r="L390" s="660">
        <v>52</v>
      </c>
      <c r="M390" s="661"/>
      <c r="N390" s="661"/>
      <c r="O390" s="660"/>
      <c r="P390" s="647" t="str">
        <f t="shared" si="82"/>
        <v> </v>
      </c>
      <c r="Q390" s="661"/>
      <c r="R390" s="661"/>
      <c r="S390" s="662">
        <v>1473</v>
      </c>
      <c r="T390" s="649" t="s">
        <v>609</v>
      </c>
      <c r="U390" s="669"/>
      <c r="V390" s="651">
        <f t="shared" si="69"/>
        <v>0</v>
      </c>
      <c r="W390" s="652">
        <f>IF(AND(P390&lt;'[1]koment'!$F$1,N390&gt;='[1]koment'!$F$2),"Komentovat","")</f>
      </c>
      <c r="X390" s="653" t="e">
        <f>IF(W390="Komentovat",X388+1,X388)</f>
        <v>#REF!</v>
      </c>
      <c r="Y390" s="651" t="str">
        <f t="shared" si="70"/>
        <v> </v>
      </c>
      <c r="Z390" s="654">
        <f t="shared" si="71"/>
        <v>0</v>
      </c>
      <c r="AA390" s="655" t="str">
        <f t="shared" si="72"/>
        <v>5600374131196121</v>
      </c>
      <c r="AB390" s="638"/>
      <c r="AC390" s="638"/>
      <c r="AD390" s="638"/>
      <c r="AE390" s="638"/>
      <c r="AF390" s="638"/>
    </row>
    <row r="391" spans="1:32" ht="12.75" outlineLevel="2">
      <c r="A391" s="639">
        <f t="shared" si="81"/>
        <v>389</v>
      </c>
      <c r="B391" s="658" t="s">
        <v>606</v>
      </c>
      <c r="C391" s="641" t="s">
        <v>1062</v>
      </c>
      <c r="D391" s="641">
        <v>3256</v>
      </c>
      <c r="E391" s="641">
        <v>6121</v>
      </c>
      <c r="F391" s="649"/>
      <c r="G391" s="642" t="s">
        <v>1064</v>
      </c>
      <c r="H391" s="665">
        <v>2006</v>
      </c>
      <c r="I391" s="641">
        <v>2014</v>
      </c>
      <c r="J391" s="660">
        <v>52000</v>
      </c>
      <c r="K391" s="660"/>
      <c r="L391" s="660">
        <f>31159+700</f>
        <v>31859</v>
      </c>
      <c r="M391" s="661"/>
      <c r="N391" s="661"/>
      <c r="O391" s="660"/>
      <c r="P391" s="647" t="str">
        <f t="shared" si="82"/>
        <v> </v>
      </c>
      <c r="Q391" s="661"/>
      <c r="R391" s="661"/>
      <c r="S391" s="662"/>
      <c r="T391" s="649" t="s">
        <v>609</v>
      </c>
      <c r="U391" s="669"/>
      <c r="V391" s="651">
        <f t="shared" si="69"/>
        <v>20141</v>
      </c>
      <c r="W391" s="652">
        <f>IF(AND(P391&lt;'[1]koment'!$F$1,N391&gt;='[1]koment'!$F$2),"Komentovat","")</f>
      </c>
      <c r="X391" s="653" t="e">
        <f t="shared" si="68"/>
        <v>#REF!</v>
      </c>
      <c r="Y391" s="651">
        <f t="shared" si="70"/>
        <v>5600</v>
      </c>
      <c r="Z391" s="654" t="str">
        <f t="shared" si="71"/>
        <v>ORG 3256 - Realizace strategie rozvoje ZOO</v>
      </c>
      <c r="AA391" s="655" t="str">
        <f t="shared" si="72"/>
        <v>5600374132566121</v>
      </c>
      <c r="AB391" s="638"/>
      <c r="AC391" s="638"/>
      <c r="AD391" s="638"/>
      <c r="AE391" s="638"/>
      <c r="AF391" s="638"/>
    </row>
    <row r="392" spans="1:32" ht="12.75" outlineLevel="2">
      <c r="A392" s="639">
        <f t="shared" si="81"/>
        <v>390</v>
      </c>
      <c r="B392" s="658" t="s">
        <v>606</v>
      </c>
      <c r="C392" s="641" t="s">
        <v>1062</v>
      </c>
      <c r="D392" s="641">
        <v>4877</v>
      </c>
      <c r="E392" s="641">
        <v>6121</v>
      </c>
      <c r="F392" s="649"/>
      <c r="G392" s="642" t="s">
        <v>1065</v>
      </c>
      <c r="H392" s="665">
        <v>2001</v>
      </c>
      <c r="I392" s="665">
        <v>2016</v>
      </c>
      <c r="J392" s="660">
        <v>20000</v>
      </c>
      <c r="K392" s="660"/>
      <c r="L392" s="660"/>
      <c r="M392" s="661"/>
      <c r="N392" s="661"/>
      <c r="O392" s="660"/>
      <c r="P392" s="647" t="str">
        <f t="shared" si="82"/>
        <v> </v>
      </c>
      <c r="Q392" s="661"/>
      <c r="R392" s="661"/>
      <c r="S392" s="662">
        <v>20000</v>
      </c>
      <c r="T392" s="649" t="s">
        <v>609</v>
      </c>
      <c r="U392" s="669"/>
      <c r="V392" s="651">
        <f t="shared" si="69"/>
        <v>0</v>
      </c>
      <c r="W392" s="652">
        <f>IF(AND(P392&lt;'[1]koment'!$F$1,N392&gt;='[1]koment'!$F$2),"Komentovat","")</f>
      </c>
      <c r="X392" s="653" t="e">
        <f t="shared" si="68"/>
        <v>#REF!</v>
      </c>
      <c r="Y392" s="651" t="str">
        <f t="shared" si="70"/>
        <v> </v>
      </c>
      <c r="Z392" s="654">
        <f t="shared" si="71"/>
        <v>0</v>
      </c>
      <c r="AA392" s="655" t="str">
        <f t="shared" si="72"/>
        <v>5600374148776121</v>
      </c>
      <c r="AB392" s="638"/>
      <c r="AC392" s="638"/>
      <c r="AD392" s="638"/>
      <c r="AE392" s="638"/>
      <c r="AF392" s="638"/>
    </row>
    <row r="393" spans="1:32" ht="12.75" outlineLevel="2">
      <c r="A393" s="639">
        <f t="shared" si="81"/>
        <v>391</v>
      </c>
      <c r="B393" s="658" t="s">
        <v>606</v>
      </c>
      <c r="C393" s="641" t="s">
        <v>1062</v>
      </c>
      <c r="D393" s="641">
        <v>4878</v>
      </c>
      <c r="E393" s="641">
        <v>6121</v>
      </c>
      <c r="F393" s="649"/>
      <c r="G393" s="642" t="s">
        <v>1066</v>
      </c>
      <c r="H393" s="665">
        <v>2001</v>
      </c>
      <c r="I393" s="665">
        <v>2014</v>
      </c>
      <c r="J393" s="660">
        <v>54400</v>
      </c>
      <c r="K393" s="660"/>
      <c r="L393" s="660">
        <v>13303</v>
      </c>
      <c r="M393" s="661"/>
      <c r="N393" s="661"/>
      <c r="O393" s="660"/>
      <c r="P393" s="647" t="str">
        <f t="shared" si="82"/>
        <v> </v>
      </c>
      <c r="Q393" s="661"/>
      <c r="R393" s="661"/>
      <c r="S393" s="662">
        <v>41097</v>
      </c>
      <c r="T393" s="649" t="s">
        <v>609</v>
      </c>
      <c r="U393" s="669"/>
      <c r="V393" s="651">
        <f t="shared" si="69"/>
        <v>0</v>
      </c>
      <c r="W393" s="652">
        <f>IF(AND(P393&lt;'[1]koment'!$F$1,N393&gt;='[1]koment'!$F$2),"Komentovat","")</f>
      </c>
      <c r="X393" s="653" t="e">
        <f t="shared" si="68"/>
        <v>#REF!</v>
      </c>
      <c r="Y393" s="651" t="str">
        <f t="shared" si="70"/>
        <v> </v>
      </c>
      <c r="Z393" s="654">
        <f t="shared" si="71"/>
        <v>0</v>
      </c>
      <c r="AA393" s="655" t="str">
        <f t="shared" si="72"/>
        <v>5600374148786121</v>
      </c>
      <c r="AB393" s="638"/>
      <c r="AC393" s="638"/>
      <c r="AD393" s="638"/>
      <c r="AE393" s="638"/>
      <c r="AF393" s="638"/>
    </row>
    <row r="394" spans="1:32" ht="12.75" outlineLevel="2">
      <c r="A394" s="639">
        <f t="shared" si="81"/>
        <v>392</v>
      </c>
      <c r="B394" s="663">
        <v>5600</v>
      </c>
      <c r="C394" s="641" t="s">
        <v>1062</v>
      </c>
      <c r="D394" s="641">
        <v>5139</v>
      </c>
      <c r="E394" s="641">
        <v>6121</v>
      </c>
      <c r="F394" s="659" t="s">
        <v>665</v>
      </c>
      <c r="G394" s="642" t="s">
        <v>1067</v>
      </c>
      <c r="H394" s="641">
        <v>2011</v>
      </c>
      <c r="I394" s="641">
        <v>2014</v>
      </c>
      <c r="J394" s="660">
        <v>7439</v>
      </c>
      <c r="K394" s="660">
        <v>6000</v>
      </c>
      <c r="L394" s="660">
        <f>185+3346</f>
        <v>3531</v>
      </c>
      <c r="M394" s="661">
        <v>3000</v>
      </c>
      <c r="N394" s="661">
        <v>3905</v>
      </c>
      <c r="O394" s="660">
        <v>2313</v>
      </c>
      <c r="P394" s="647">
        <f t="shared" si="82"/>
        <v>0.5923175416133163</v>
      </c>
      <c r="Q394" s="661"/>
      <c r="R394" s="661"/>
      <c r="S394" s="662"/>
      <c r="T394" s="649" t="s">
        <v>609</v>
      </c>
      <c r="U394" s="669"/>
      <c r="V394" s="651">
        <f t="shared" si="69"/>
        <v>3</v>
      </c>
      <c r="W394" s="652" t="str">
        <f>IF(AND(P394&lt;'[1]koment'!$F$1,N394&gt;='[1]koment'!$F$2),"Komentovat","")</f>
        <v>Komentovat</v>
      </c>
      <c r="X394" s="653" t="e">
        <f t="shared" si="68"/>
        <v>#REF!</v>
      </c>
      <c r="Y394" s="651">
        <f t="shared" si="70"/>
        <v>5600</v>
      </c>
      <c r="Z394" s="654" t="str">
        <f t="shared" si="71"/>
        <v>ORG 5139 - ZOO Brno - Expozice klokanů</v>
      </c>
      <c r="AA394" s="655" t="str">
        <f t="shared" si="72"/>
        <v>5600374151396121EU</v>
      </c>
      <c r="AB394" s="638"/>
      <c r="AC394" s="638"/>
      <c r="AD394" s="638"/>
      <c r="AE394" s="638"/>
      <c r="AF394" s="638"/>
    </row>
    <row r="395" spans="1:32" ht="12.75" outlineLevel="2">
      <c r="A395" s="639">
        <f t="shared" si="81"/>
        <v>393</v>
      </c>
      <c r="B395" s="663">
        <v>5600</v>
      </c>
      <c r="C395" s="641" t="s">
        <v>1062</v>
      </c>
      <c r="D395" s="641">
        <v>5140</v>
      </c>
      <c r="E395" s="641">
        <v>6121</v>
      </c>
      <c r="F395" s="659" t="s">
        <v>665</v>
      </c>
      <c r="G395" s="642" t="s">
        <v>1068</v>
      </c>
      <c r="H395" s="641">
        <v>2011</v>
      </c>
      <c r="I395" s="641">
        <v>2014</v>
      </c>
      <c r="J395" s="660">
        <v>25446</v>
      </c>
      <c r="K395" s="660">
        <v>20703</v>
      </c>
      <c r="L395" s="660">
        <f>11+396</f>
        <v>407</v>
      </c>
      <c r="M395" s="661">
        <v>10000</v>
      </c>
      <c r="N395" s="661">
        <v>25000</v>
      </c>
      <c r="O395" s="660">
        <v>24218</v>
      </c>
      <c r="P395" s="647">
        <f t="shared" si="82"/>
        <v>0.96872</v>
      </c>
      <c r="Q395" s="661"/>
      <c r="R395" s="661"/>
      <c r="S395" s="662"/>
      <c r="T395" s="649" t="s">
        <v>609</v>
      </c>
      <c r="U395" s="669"/>
      <c r="V395" s="651">
        <f t="shared" si="69"/>
        <v>39</v>
      </c>
      <c r="W395" s="652">
        <f>IF(AND(P395&lt;'[1]koment'!$F$1,N395&gt;='[1]koment'!$F$2),"Komentovat","")</f>
      </c>
      <c r="X395" s="653" t="e">
        <f t="shared" si="68"/>
        <v>#REF!</v>
      </c>
      <c r="Y395" s="651">
        <f t="shared" si="70"/>
        <v>5600</v>
      </c>
      <c r="Z395" s="654" t="str">
        <f t="shared" si="71"/>
        <v>ORG 5140 - Kalahari - africká vesnice</v>
      </c>
      <c r="AA395" s="655" t="str">
        <f t="shared" si="72"/>
        <v>5600374151406121EU</v>
      </c>
      <c r="AB395" s="638"/>
      <c r="AC395" s="638"/>
      <c r="AD395" s="638"/>
      <c r="AE395" s="638"/>
      <c r="AF395" s="638"/>
    </row>
    <row r="396" spans="1:32" ht="12.75" outlineLevel="2">
      <c r="A396" s="639">
        <f t="shared" si="81"/>
        <v>394</v>
      </c>
      <c r="B396" s="663">
        <v>5600</v>
      </c>
      <c r="C396" s="641" t="s">
        <v>1062</v>
      </c>
      <c r="D396" s="641">
        <v>5141</v>
      </c>
      <c r="E396" s="641">
        <v>6121</v>
      </c>
      <c r="F396" s="659" t="s">
        <v>665</v>
      </c>
      <c r="G396" s="642" t="s">
        <v>1069</v>
      </c>
      <c r="H396" s="641">
        <v>2011</v>
      </c>
      <c r="I396" s="641">
        <v>2014</v>
      </c>
      <c r="J396" s="660">
        <v>32900</v>
      </c>
      <c r="K396" s="660">
        <v>23027</v>
      </c>
      <c r="L396" s="660">
        <f>726+4773</f>
        <v>5499</v>
      </c>
      <c r="M396" s="661">
        <v>10000</v>
      </c>
      <c r="N396" s="661">
        <v>21500</v>
      </c>
      <c r="O396" s="660">
        <v>19170</v>
      </c>
      <c r="P396" s="647">
        <f t="shared" si="82"/>
        <v>0.8916279069767442</v>
      </c>
      <c r="Q396" s="661"/>
      <c r="R396" s="661"/>
      <c r="S396" s="662"/>
      <c r="T396" s="649" t="s">
        <v>609</v>
      </c>
      <c r="U396" s="669"/>
      <c r="V396" s="651">
        <f t="shared" si="69"/>
        <v>5901</v>
      </c>
      <c r="W396" s="652">
        <f>IF(AND(P396&lt;'[1]koment'!$F$1,N396&gt;='[1]koment'!$F$2),"Komentovat","")</f>
      </c>
      <c r="X396" s="653" t="e">
        <f t="shared" si="68"/>
        <v>#REF!</v>
      </c>
      <c r="Y396" s="651">
        <f t="shared" si="70"/>
        <v>5600</v>
      </c>
      <c r="Z396" s="654" t="str">
        <f t="shared" si="71"/>
        <v>ORG 5141 - Expozice orlů</v>
      </c>
      <c r="AA396" s="655" t="str">
        <f t="shared" si="72"/>
        <v>5600374151416121EU</v>
      </c>
      <c r="AB396" s="638"/>
      <c r="AC396" s="638"/>
      <c r="AD396" s="638"/>
      <c r="AE396" s="638"/>
      <c r="AF396" s="638"/>
    </row>
    <row r="397" spans="1:32" ht="12.75" outlineLevel="2">
      <c r="A397" s="639">
        <f t="shared" si="81"/>
        <v>395</v>
      </c>
      <c r="B397" s="663" t="s">
        <v>1028</v>
      </c>
      <c r="C397" s="641" t="s">
        <v>1062</v>
      </c>
      <c r="D397" s="673">
        <v>30019102</v>
      </c>
      <c r="E397" s="641">
        <v>6351</v>
      </c>
      <c r="F397" s="659"/>
      <c r="G397" s="642" t="s">
        <v>1070</v>
      </c>
      <c r="H397" s="641"/>
      <c r="I397" s="641"/>
      <c r="J397" s="660"/>
      <c r="K397" s="660"/>
      <c r="L397" s="660"/>
      <c r="M397" s="661"/>
      <c r="N397" s="661">
        <v>3100</v>
      </c>
      <c r="O397" s="660">
        <v>3100</v>
      </c>
      <c r="P397" s="647">
        <f t="shared" si="82"/>
        <v>1</v>
      </c>
      <c r="Q397" s="661"/>
      <c r="R397" s="661"/>
      <c r="S397" s="662"/>
      <c r="T397" s="649" t="s">
        <v>1071</v>
      </c>
      <c r="U397" s="669"/>
      <c r="V397" s="651">
        <f t="shared" si="69"/>
        <v>0</v>
      </c>
      <c r="W397" s="652">
        <f>IF(AND(P397&lt;'[1]koment'!$F$1,N397&gt;='[1]koment'!$F$2),"Komentovat","")</f>
      </c>
      <c r="X397" s="653" t="e">
        <f t="shared" si="68"/>
        <v>#REF!</v>
      </c>
      <c r="Y397" s="651" t="str">
        <f t="shared" si="70"/>
        <v> </v>
      </c>
      <c r="Z397" s="654">
        <f t="shared" si="71"/>
        <v>0</v>
      </c>
      <c r="AA397" s="655" t="str">
        <f t="shared" si="72"/>
        <v>42003741300191026351</v>
      </c>
      <c r="AB397" s="638"/>
      <c r="AC397" s="638"/>
      <c r="AD397" s="638"/>
      <c r="AE397" s="638"/>
      <c r="AF397" s="638"/>
    </row>
    <row r="398" spans="1:32" ht="12.75" outlineLevel="1">
      <c r="A398" s="639">
        <f t="shared" si="81"/>
        <v>396</v>
      </c>
      <c r="B398" s="663"/>
      <c r="C398" s="666" t="s">
        <v>1072</v>
      </c>
      <c r="D398" s="673"/>
      <c r="E398" s="641"/>
      <c r="F398" s="659"/>
      <c r="G398" s="642"/>
      <c r="H398" s="641"/>
      <c r="I398" s="641"/>
      <c r="J398" s="660">
        <f aca="true" t="shared" si="84" ref="J398:O398">SUBTOTAL(9,J390:J397)</f>
        <v>193710</v>
      </c>
      <c r="K398" s="660">
        <f t="shared" si="84"/>
        <v>49730</v>
      </c>
      <c r="L398" s="660">
        <f t="shared" si="84"/>
        <v>54651</v>
      </c>
      <c r="M398" s="661">
        <f t="shared" si="84"/>
        <v>23000</v>
      </c>
      <c r="N398" s="661">
        <f t="shared" si="84"/>
        <v>53505</v>
      </c>
      <c r="O398" s="660">
        <f t="shared" si="84"/>
        <v>48801</v>
      </c>
      <c r="P398" s="647">
        <f t="shared" si="82"/>
        <v>0.9120829828987945</v>
      </c>
      <c r="Q398" s="661">
        <f>SUBTOTAL(9,Q390:Q397)</f>
        <v>0</v>
      </c>
      <c r="R398" s="661">
        <f>SUBTOTAL(9,R390:R397)</f>
        <v>0</v>
      </c>
      <c r="S398" s="662">
        <f>SUBTOTAL(9,S390:S397)</f>
        <v>62570</v>
      </c>
      <c r="T398" s="649"/>
      <c r="U398" s="669"/>
      <c r="V398" s="651"/>
      <c r="W398" s="652"/>
      <c r="X398" s="653"/>
      <c r="Y398" s="651" t="str">
        <f>IF($V398=0," ",IF(LEN($B398)=4,$B398*1,$B398))</f>
        <v> </v>
      </c>
      <c r="Z398" s="654">
        <f>IF($Y398=" ",0,"ORG "&amp;$D398&amp;" - "&amp;$G398)</f>
        <v>0</v>
      </c>
      <c r="AA398" s="655" t="str">
        <f>$B398&amp;LEFT($C398,4)&amp;$D398&amp;$E398&amp;$F398</f>
        <v>Celk</v>
      </c>
      <c r="AB398" s="638"/>
      <c r="AC398" s="638"/>
      <c r="AD398" s="638"/>
      <c r="AE398" s="638"/>
      <c r="AF398" s="638"/>
    </row>
    <row r="399" spans="1:32" ht="12.75" outlineLevel="2">
      <c r="A399" s="639">
        <f t="shared" si="81"/>
        <v>397</v>
      </c>
      <c r="B399" s="658" t="s">
        <v>606</v>
      </c>
      <c r="C399" s="641" t="s">
        <v>1073</v>
      </c>
      <c r="D399" s="641">
        <v>3065</v>
      </c>
      <c r="E399" s="641">
        <v>6121</v>
      </c>
      <c r="F399" s="649"/>
      <c r="G399" s="642" t="s">
        <v>1074</v>
      </c>
      <c r="H399" s="665">
        <v>2009</v>
      </c>
      <c r="I399" s="665">
        <v>2019</v>
      </c>
      <c r="J399" s="660">
        <v>6900</v>
      </c>
      <c r="K399" s="660"/>
      <c r="L399" s="660">
        <f>224+382</f>
        <v>606</v>
      </c>
      <c r="M399" s="661"/>
      <c r="N399" s="661"/>
      <c r="O399" s="660"/>
      <c r="P399" s="647" t="str">
        <f t="shared" si="82"/>
        <v> </v>
      </c>
      <c r="Q399" s="661"/>
      <c r="R399" s="661"/>
      <c r="S399" s="662">
        <v>6294</v>
      </c>
      <c r="T399" s="649" t="s">
        <v>609</v>
      </c>
      <c r="U399" s="669"/>
      <c r="V399" s="651">
        <f t="shared" si="69"/>
        <v>0</v>
      </c>
      <c r="W399" s="652">
        <f>IF(AND(P399&lt;'[1]koment'!$F$1,N399&gt;='[1]koment'!$F$2),"Komentovat","")</f>
      </c>
      <c r="X399" s="653" t="e">
        <f>IF(W399="Komentovat",X397+1,X397)</f>
        <v>#REF!</v>
      </c>
      <c r="Y399" s="651" t="str">
        <f t="shared" si="70"/>
        <v> </v>
      </c>
      <c r="Z399" s="654">
        <f t="shared" si="71"/>
        <v>0</v>
      </c>
      <c r="AA399" s="655" t="str">
        <f t="shared" si="72"/>
        <v>5600374430656121</v>
      </c>
      <c r="AB399" s="638"/>
      <c r="AC399" s="638"/>
      <c r="AD399" s="638"/>
      <c r="AE399" s="638"/>
      <c r="AF399" s="638"/>
    </row>
    <row r="400" spans="1:32" ht="12.75" outlineLevel="1">
      <c r="A400" s="639">
        <f t="shared" si="81"/>
        <v>398</v>
      </c>
      <c r="B400" s="658"/>
      <c r="C400" s="666" t="s">
        <v>1075</v>
      </c>
      <c r="D400" s="641"/>
      <c r="E400" s="641"/>
      <c r="F400" s="649"/>
      <c r="G400" s="642"/>
      <c r="H400" s="665"/>
      <c r="I400" s="665"/>
      <c r="J400" s="660">
        <f aca="true" t="shared" si="85" ref="J400:O400">SUBTOTAL(9,J399:J399)</f>
        <v>6900</v>
      </c>
      <c r="K400" s="660">
        <f t="shared" si="85"/>
        <v>0</v>
      </c>
      <c r="L400" s="660">
        <f t="shared" si="85"/>
        <v>606</v>
      </c>
      <c r="M400" s="661">
        <f t="shared" si="85"/>
        <v>0</v>
      </c>
      <c r="N400" s="661">
        <f t="shared" si="85"/>
        <v>0</v>
      </c>
      <c r="O400" s="660">
        <f t="shared" si="85"/>
        <v>0</v>
      </c>
      <c r="P400" s="647" t="str">
        <f t="shared" si="82"/>
        <v> </v>
      </c>
      <c r="Q400" s="661">
        <f>SUBTOTAL(9,Q399:Q399)</f>
        <v>0</v>
      </c>
      <c r="R400" s="661">
        <f>SUBTOTAL(9,R399:R399)</f>
        <v>0</v>
      </c>
      <c r="S400" s="662">
        <f>SUBTOTAL(9,S399:S399)</f>
        <v>6294</v>
      </c>
      <c r="T400" s="649"/>
      <c r="U400" s="669"/>
      <c r="V400" s="651"/>
      <c r="W400" s="652"/>
      <c r="X400" s="653"/>
      <c r="Y400" s="651" t="str">
        <f>IF($V400=0," ",IF(LEN($B400)=4,$B400*1,$B400))</f>
        <v> </v>
      </c>
      <c r="Z400" s="654">
        <f>IF($Y400=" ",0,"ORG "&amp;$D400&amp;" - "&amp;$G400)</f>
        <v>0</v>
      </c>
      <c r="AA400" s="655" t="str">
        <f>$B400&amp;LEFT($C400,4)&amp;$D400&amp;$E400&amp;$F400</f>
        <v>Celk</v>
      </c>
      <c r="AB400" s="638"/>
      <c r="AC400" s="638"/>
      <c r="AD400" s="638"/>
      <c r="AE400" s="638"/>
      <c r="AF400" s="638"/>
    </row>
    <row r="401" spans="1:32" ht="12.75" outlineLevel="2">
      <c r="A401" s="639">
        <f t="shared" si="81"/>
        <v>399</v>
      </c>
      <c r="B401" s="658" t="s">
        <v>606</v>
      </c>
      <c r="C401" s="641" t="s">
        <v>1076</v>
      </c>
      <c r="D401" s="641">
        <v>2841</v>
      </c>
      <c r="E401" s="641">
        <v>6121</v>
      </c>
      <c r="F401" s="649"/>
      <c r="G401" s="642" t="s">
        <v>1077</v>
      </c>
      <c r="H401" s="665">
        <v>2014</v>
      </c>
      <c r="I401" s="665">
        <v>2014</v>
      </c>
      <c r="J401" s="660">
        <v>61800</v>
      </c>
      <c r="K401" s="660"/>
      <c r="L401" s="660"/>
      <c r="M401" s="661">
        <v>49800</v>
      </c>
      <c r="N401" s="661">
        <v>61800</v>
      </c>
      <c r="O401" s="660">
        <v>55971</v>
      </c>
      <c r="P401" s="647">
        <f t="shared" si="82"/>
        <v>0.9056796116504854</v>
      </c>
      <c r="Q401" s="661"/>
      <c r="R401" s="661"/>
      <c r="S401" s="662"/>
      <c r="T401" s="649" t="s">
        <v>609</v>
      </c>
      <c r="U401" s="669"/>
      <c r="V401" s="651">
        <f t="shared" si="69"/>
        <v>0</v>
      </c>
      <c r="W401" s="652">
        <f>IF(AND(P401&lt;'[1]koment'!$F$1,N401&gt;='[1]koment'!$F$2),"Komentovat","")</f>
      </c>
      <c r="X401" s="653" t="e">
        <f>IF(W401="Komentovat",X399+1,X399)</f>
        <v>#REF!</v>
      </c>
      <c r="Y401" s="651" t="str">
        <f t="shared" si="70"/>
        <v> </v>
      </c>
      <c r="Z401" s="654">
        <f t="shared" si="71"/>
        <v>0</v>
      </c>
      <c r="AA401" s="655" t="str">
        <f t="shared" si="72"/>
        <v>5600374528416121</v>
      </c>
      <c r="AB401" s="638"/>
      <c r="AC401" s="638"/>
      <c r="AD401" s="638"/>
      <c r="AE401" s="638"/>
      <c r="AF401" s="638"/>
    </row>
    <row r="402" spans="1:32" ht="12.75" outlineLevel="2">
      <c r="A402" s="639">
        <f t="shared" si="81"/>
        <v>400</v>
      </c>
      <c r="B402" s="658" t="s">
        <v>606</v>
      </c>
      <c r="C402" s="641" t="s">
        <v>1076</v>
      </c>
      <c r="D402" s="641">
        <v>2842</v>
      </c>
      <c r="E402" s="641">
        <v>6351</v>
      </c>
      <c r="F402" s="649"/>
      <c r="G402" s="642" t="s">
        <v>1078</v>
      </c>
      <c r="H402" s="641">
        <v>2013</v>
      </c>
      <c r="I402" s="641">
        <v>2013</v>
      </c>
      <c r="J402" s="660">
        <v>200</v>
      </c>
      <c r="K402" s="660"/>
      <c r="L402" s="660">
        <f>200</f>
        <v>200</v>
      </c>
      <c r="M402" s="661"/>
      <c r="N402" s="661"/>
      <c r="O402" s="660"/>
      <c r="P402" s="647" t="str">
        <f t="shared" si="82"/>
        <v> </v>
      </c>
      <c r="Q402" s="661"/>
      <c r="R402" s="661"/>
      <c r="S402" s="662"/>
      <c r="T402" s="649" t="s">
        <v>609</v>
      </c>
      <c r="U402" s="669"/>
      <c r="V402" s="651">
        <f t="shared" si="69"/>
        <v>0</v>
      </c>
      <c r="W402" s="652">
        <f>IF(AND(P402&lt;'[1]koment'!$F$1,N402&gt;='[1]koment'!$F$2),"Komentovat","")</f>
      </c>
      <c r="X402" s="653" t="e">
        <f t="shared" si="68"/>
        <v>#REF!</v>
      </c>
      <c r="Y402" s="651" t="str">
        <f t="shared" si="70"/>
        <v> </v>
      </c>
      <c r="Z402" s="654">
        <f t="shared" si="71"/>
        <v>0</v>
      </c>
      <c r="AA402" s="655" t="str">
        <f t="shared" si="72"/>
        <v>5600374528426351</v>
      </c>
      <c r="AB402" s="638"/>
      <c r="AC402" s="638"/>
      <c r="AD402" s="638"/>
      <c r="AE402" s="638"/>
      <c r="AF402" s="638"/>
    </row>
    <row r="403" spans="1:32" ht="12.75" outlineLevel="2">
      <c r="A403" s="639">
        <f t="shared" si="81"/>
        <v>401</v>
      </c>
      <c r="B403" s="658" t="s">
        <v>606</v>
      </c>
      <c r="C403" s="641" t="s">
        <v>1076</v>
      </c>
      <c r="D403" s="641">
        <v>2945</v>
      </c>
      <c r="E403" s="641">
        <v>6121</v>
      </c>
      <c r="F403" s="649"/>
      <c r="G403" s="642" t="s">
        <v>1079</v>
      </c>
      <c r="H403" s="641">
        <v>2011</v>
      </c>
      <c r="I403" s="641">
        <v>2014</v>
      </c>
      <c r="J403" s="660">
        <v>2400</v>
      </c>
      <c r="K403" s="660"/>
      <c r="L403" s="660">
        <f>86+108+29</f>
        <v>223</v>
      </c>
      <c r="M403" s="661">
        <v>1706</v>
      </c>
      <c r="N403" s="661">
        <v>1111</v>
      </c>
      <c r="O403" s="660">
        <v>1109</v>
      </c>
      <c r="P403" s="647">
        <f t="shared" si="82"/>
        <v>0.9981998199819982</v>
      </c>
      <c r="Q403" s="661"/>
      <c r="R403" s="661"/>
      <c r="S403" s="662"/>
      <c r="T403" s="649" t="s">
        <v>609</v>
      </c>
      <c r="U403" s="669"/>
      <c r="V403" s="651">
        <f t="shared" si="69"/>
        <v>1066</v>
      </c>
      <c r="W403" s="652">
        <f>IF(AND(P403&lt;'[1]koment'!$F$1,N403&gt;='[1]koment'!$F$2),"Komentovat","")</f>
      </c>
      <c r="X403" s="653" t="e">
        <f t="shared" si="68"/>
        <v>#REF!</v>
      </c>
      <c r="Y403" s="651">
        <f t="shared" si="70"/>
        <v>5600</v>
      </c>
      <c r="Z403" s="654" t="str">
        <f t="shared" si="71"/>
        <v>ORG 2945 - Přístupová cesta do Wilsonova lesa z ulice Rezkovy</v>
      </c>
      <c r="AA403" s="655" t="str">
        <f t="shared" si="72"/>
        <v>5600374529456121</v>
      </c>
      <c r="AB403" s="638"/>
      <c r="AC403" s="638"/>
      <c r="AD403" s="638"/>
      <c r="AE403" s="638"/>
      <c r="AF403" s="638"/>
    </row>
    <row r="404" spans="1:32" ht="12.75" outlineLevel="2">
      <c r="A404" s="639">
        <f t="shared" si="81"/>
        <v>402</v>
      </c>
      <c r="B404" s="658" t="s">
        <v>606</v>
      </c>
      <c r="C404" s="641" t="s">
        <v>1076</v>
      </c>
      <c r="D404" s="641">
        <v>4889</v>
      </c>
      <c r="E404" s="641">
        <v>6351</v>
      </c>
      <c r="F404" s="649"/>
      <c r="G404" s="642" t="s">
        <v>1080</v>
      </c>
      <c r="H404" s="665">
        <v>2002</v>
      </c>
      <c r="I404" s="641">
        <v>2013</v>
      </c>
      <c r="J404" s="660">
        <v>132950</v>
      </c>
      <c r="K404" s="660"/>
      <c r="L404" s="660">
        <v>88000</v>
      </c>
      <c r="M404" s="661"/>
      <c r="N404" s="661"/>
      <c r="O404" s="660"/>
      <c r="P404" s="647" t="str">
        <f t="shared" si="82"/>
        <v> </v>
      </c>
      <c r="Q404" s="661"/>
      <c r="R404" s="661"/>
      <c r="S404" s="662">
        <v>44950</v>
      </c>
      <c r="T404" s="649" t="s">
        <v>609</v>
      </c>
      <c r="U404" s="669"/>
      <c r="V404" s="651">
        <f t="shared" si="69"/>
        <v>0</v>
      </c>
      <c r="W404" s="652">
        <f>IF(AND(P404&lt;'[1]koment'!$F$1,N404&gt;='[1]koment'!$F$2),"Komentovat","")</f>
      </c>
      <c r="X404" s="653" t="e">
        <f t="shared" si="68"/>
        <v>#REF!</v>
      </c>
      <c r="Y404" s="651" t="str">
        <f t="shared" si="70"/>
        <v> </v>
      </c>
      <c r="Z404" s="654">
        <f t="shared" si="71"/>
        <v>0</v>
      </c>
      <c r="AA404" s="655" t="str">
        <f t="shared" si="72"/>
        <v>5600374548896351</v>
      </c>
      <c r="AB404" s="638"/>
      <c r="AC404" s="638"/>
      <c r="AD404" s="638"/>
      <c r="AE404" s="638"/>
      <c r="AF404" s="638"/>
    </row>
    <row r="405" spans="1:32" ht="12.75" outlineLevel="2">
      <c r="A405" s="639">
        <f t="shared" si="81"/>
        <v>403</v>
      </c>
      <c r="B405" s="658" t="s">
        <v>606</v>
      </c>
      <c r="C405" s="641" t="s">
        <v>1076</v>
      </c>
      <c r="D405" s="641">
        <v>5015</v>
      </c>
      <c r="E405" s="641">
        <v>6121</v>
      </c>
      <c r="F405" s="659" t="s">
        <v>665</v>
      </c>
      <c r="G405" s="642" t="s">
        <v>1081</v>
      </c>
      <c r="H405" s="665">
        <v>2009</v>
      </c>
      <c r="I405" s="665">
        <v>2014</v>
      </c>
      <c r="J405" s="660">
        <v>38803</v>
      </c>
      <c r="K405" s="660">
        <v>13767</v>
      </c>
      <c r="L405" s="660">
        <f>2141+17997+17711+391</f>
        <v>38240</v>
      </c>
      <c r="M405" s="661">
        <v>400</v>
      </c>
      <c r="N405" s="661">
        <v>400</v>
      </c>
      <c r="O405" s="660">
        <v>180</v>
      </c>
      <c r="P405" s="647">
        <f t="shared" si="82"/>
        <v>0.45</v>
      </c>
      <c r="Q405" s="661"/>
      <c r="R405" s="661"/>
      <c r="S405" s="662"/>
      <c r="T405" s="649" t="s">
        <v>609</v>
      </c>
      <c r="U405" s="669"/>
      <c r="V405" s="651">
        <f t="shared" si="69"/>
        <v>163</v>
      </c>
      <c r="W405" s="652">
        <f>IF(AND(P405&lt;'[1]koment'!$F$1,N405&gt;='[1]koment'!$F$2),"Komentovat","")</f>
      </c>
      <c r="X405" s="653" t="e">
        <f t="shared" si="68"/>
        <v>#REF!</v>
      </c>
      <c r="Y405" s="651">
        <f t="shared" si="70"/>
        <v>5600</v>
      </c>
      <c r="Z405" s="654" t="str">
        <f t="shared" si="71"/>
        <v>ORG 5015 - Rekonstrukce Wilsonova lesa</v>
      </c>
      <c r="AA405" s="655" t="str">
        <f t="shared" si="72"/>
        <v>5600374550156121EU</v>
      </c>
      <c r="AB405" s="638"/>
      <c r="AC405" s="638"/>
      <c r="AD405" s="638"/>
      <c r="AE405" s="638"/>
      <c r="AF405" s="638"/>
    </row>
    <row r="406" spans="1:32" ht="12.75" outlineLevel="2">
      <c r="A406" s="639">
        <f t="shared" si="81"/>
        <v>404</v>
      </c>
      <c r="B406" s="658" t="s">
        <v>606</v>
      </c>
      <c r="C406" s="641" t="s">
        <v>1076</v>
      </c>
      <c r="D406" s="641">
        <v>5017</v>
      </c>
      <c r="E406" s="641">
        <v>6121</v>
      </c>
      <c r="F406" s="659" t="s">
        <v>665</v>
      </c>
      <c r="G406" s="642" t="s">
        <v>1082</v>
      </c>
      <c r="H406" s="665">
        <v>2009</v>
      </c>
      <c r="I406" s="641">
        <v>2013</v>
      </c>
      <c r="J406" s="660">
        <v>98558</v>
      </c>
      <c r="K406" s="660">
        <v>63000</v>
      </c>
      <c r="L406" s="660">
        <f>16946+44127+34722+28</f>
        <v>95823</v>
      </c>
      <c r="M406" s="661"/>
      <c r="N406" s="661"/>
      <c r="O406" s="660"/>
      <c r="P406" s="647" t="str">
        <f t="shared" si="82"/>
        <v> </v>
      </c>
      <c r="Q406" s="661"/>
      <c r="R406" s="661"/>
      <c r="S406" s="662"/>
      <c r="T406" s="649" t="s">
        <v>609</v>
      </c>
      <c r="U406" s="669"/>
      <c r="V406" s="651">
        <f t="shared" si="69"/>
        <v>2735</v>
      </c>
      <c r="W406" s="652">
        <f>IF(AND(P406&lt;'[1]koment'!$F$1,N406&gt;='[1]koment'!$F$2),"Komentovat","")</f>
      </c>
      <c r="X406" s="653" t="e">
        <f aca="true" t="shared" si="86" ref="X406:X426">IF(W406="Komentovat",X405+1,X405)</f>
        <v>#REF!</v>
      </c>
      <c r="Y406" s="651">
        <f t="shared" si="70"/>
        <v>5600</v>
      </c>
      <c r="Z406" s="654" t="str">
        <f t="shared" si="71"/>
        <v>ORG 5017 - Revitalizace městských parků, I. etapa</v>
      </c>
      <c r="AA406" s="655" t="str">
        <f t="shared" si="72"/>
        <v>5600374550176121EU</v>
      </c>
      <c r="AB406" s="638"/>
      <c r="AC406" s="638"/>
      <c r="AD406" s="638"/>
      <c r="AE406" s="638"/>
      <c r="AF406" s="638"/>
    </row>
    <row r="407" spans="1:32" ht="12.75" outlineLevel="2">
      <c r="A407" s="639">
        <f t="shared" si="81"/>
        <v>405</v>
      </c>
      <c r="B407" s="658" t="s">
        <v>606</v>
      </c>
      <c r="C407" s="641" t="s">
        <v>1076</v>
      </c>
      <c r="D407" s="641">
        <v>5094</v>
      </c>
      <c r="E407" s="641">
        <v>6121</v>
      </c>
      <c r="F407" s="659" t="s">
        <v>665</v>
      </c>
      <c r="G407" s="642" t="s">
        <v>1083</v>
      </c>
      <c r="H407" s="665">
        <v>2010</v>
      </c>
      <c r="I407" s="665">
        <v>2014</v>
      </c>
      <c r="J407" s="660">
        <v>57200</v>
      </c>
      <c r="K407" s="660">
        <v>35729</v>
      </c>
      <c r="L407" s="660">
        <f>649+1205+3367+51047</f>
        <v>56268</v>
      </c>
      <c r="M407" s="661">
        <v>70</v>
      </c>
      <c r="N407" s="661">
        <v>70</v>
      </c>
      <c r="O407" s="660">
        <v>34</v>
      </c>
      <c r="P407" s="647">
        <f t="shared" si="82"/>
        <v>0.4857142857142857</v>
      </c>
      <c r="Q407" s="661"/>
      <c r="R407" s="661"/>
      <c r="S407" s="662"/>
      <c r="T407" s="649" t="s">
        <v>609</v>
      </c>
      <c r="U407" s="669"/>
      <c r="V407" s="651">
        <f t="shared" si="69"/>
        <v>862</v>
      </c>
      <c r="W407" s="652">
        <f>IF(AND(P407&lt;'[1]koment'!$F$1,N407&gt;='[1]koment'!$F$2),"Komentovat","")</f>
      </c>
      <c r="X407" s="653" t="e">
        <f t="shared" si="86"/>
        <v>#REF!</v>
      </c>
      <c r="Y407" s="651">
        <f t="shared" si="70"/>
        <v>5600</v>
      </c>
      <c r="Z407" s="654" t="str">
        <f t="shared" si="71"/>
        <v>ORG 5094 - Revitalizace městských parků, II. etapa</v>
      </c>
      <c r="AA407" s="655" t="str">
        <f t="shared" si="72"/>
        <v>5600374550946121EU</v>
      </c>
      <c r="AB407" s="638"/>
      <c r="AC407" s="638"/>
      <c r="AD407" s="638"/>
      <c r="AE407" s="638"/>
      <c r="AF407" s="638"/>
    </row>
    <row r="408" spans="1:32" ht="12.75" outlineLevel="2">
      <c r="A408" s="639">
        <f t="shared" si="81"/>
        <v>406</v>
      </c>
      <c r="B408" s="658" t="s">
        <v>606</v>
      </c>
      <c r="C408" s="641" t="s">
        <v>1076</v>
      </c>
      <c r="D408" s="641">
        <v>5098</v>
      </c>
      <c r="E408" s="641">
        <v>6121</v>
      </c>
      <c r="F408" s="659" t="s">
        <v>665</v>
      </c>
      <c r="G408" s="642" t="s">
        <v>1084</v>
      </c>
      <c r="H408" s="665">
        <v>2010</v>
      </c>
      <c r="I408" s="665">
        <v>2015</v>
      </c>
      <c r="J408" s="660">
        <v>31240</v>
      </c>
      <c r="K408" s="660">
        <v>24064</v>
      </c>
      <c r="L408" s="660">
        <f>587+881+348</f>
        <v>1816</v>
      </c>
      <c r="M408" s="661">
        <v>500</v>
      </c>
      <c r="N408" s="661">
        <v>29000</v>
      </c>
      <c r="O408" s="660">
        <v>27343</v>
      </c>
      <c r="P408" s="647">
        <f t="shared" si="82"/>
        <v>0.9428620689655173</v>
      </c>
      <c r="Q408" s="661"/>
      <c r="R408" s="661"/>
      <c r="S408" s="662"/>
      <c r="T408" s="649" t="s">
        <v>609</v>
      </c>
      <c r="U408" s="669"/>
      <c r="V408" s="651">
        <f t="shared" si="69"/>
        <v>424</v>
      </c>
      <c r="W408" s="652">
        <f>IF(AND(P408&lt;'[1]koment'!$F$1,N408&gt;='[1]koment'!$F$2),"Komentovat","")</f>
      </c>
      <c r="X408" s="653" t="e">
        <f t="shared" si="86"/>
        <v>#REF!</v>
      </c>
      <c r="Y408" s="651">
        <f t="shared" si="70"/>
        <v>5600</v>
      </c>
      <c r="Z408" s="654" t="str">
        <f t="shared" si="71"/>
        <v>ORG 5098 - Park Hvězdička</v>
      </c>
      <c r="AA408" s="655" t="str">
        <f t="shared" si="72"/>
        <v>5600374550986121EU</v>
      </c>
      <c r="AB408" s="638"/>
      <c r="AC408" s="638"/>
      <c r="AD408" s="638"/>
      <c r="AE408" s="638"/>
      <c r="AF408" s="638"/>
    </row>
    <row r="409" spans="1:32" ht="12.75" outlineLevel="2">
      <c r="A409" s="639">
        <f t="shared" si="81"/>
        <v>407</v>
      </c>
      <c r="B409" s="658" t="s">
        <v>606</v>
      </c>
      <c r="C409" s="641" t="s">
        <v>1076</v>
      </c>
      <c r="D409" s="641">
        <v>5105</v>
      </c>
      <c r="E409" s="641">
        <v>6121</v>
      </c>
      <c r="F409" s="659" t="s">
        <v>665</v>
      </c>
      <c r="G409" s="642" t="s">
        <v>1085</v>
      </c>
      <c r="H409" s="665">
        <v>2010</v>
      </c>
      <c r="I409" s="665">
        <v>2013</v>
      </c>
      <c r="J409" s="660">
        <v>11792</v>
      </c>
      <c r="K409" s="660">
        <v>2653</v>
      </c>
      <c r="L409" s="660">
        <f>2560+8433+38</f>
        <v>11031</v>
      </c>
      <c r="M409" s="661"/>
      <c r="N409" s="661"/>
      <c r="O409" s="660"/>
      <c r="P409" s="647" t="str">
        <f t="shared" si="82"/>
        <v> </v>
      </c>
      <c r="Q409" s="661"/>
      <c r="R409" s="661"/>
      <c r="S409" s="662"/>
      <c r="T409" s="649" t="s">
        <v>609</v>
      </c>
      <c r="U409" s="669"/>
      <c r="V409" s="651">
        <f t="shared" si="69"/>
        <v>761</v>
      </c>
      <c r="W409" s="652">
        <f>IF(AND(P409&lt;'[1]koment'!$F$1,N409&gt;='[1]koment'!$F$2),"Komentovat","")</f>
      </c>
      <c r="X409" s="653" t="e">
        <f t="shared" si="86"/>
        <v>#REF!</v>
      </c>
      <c r="Y409" s="651">
        <f t="shared" si="70"/>
        <v>5600</v>
      </c>
      <c r="Z409" s="654" t="str">
        <f t="shared" si="71"/>
        <v>ORG 5105 - Výstavba parku Pod Plachtami</v>
      </c>
      <c r="AA409" s="655" t="str">
        <f t="shared" si="72"/>
        <v>5600374551056121EU</v>
      </c>
      <c r="AB409" s="638"/>
      <c r="AC409" s="638"/>
      <c r="AD409" s="638"/>
      <c r="AE409" s="638"/>
      <c r="AF409" s="638"/>
    </row>
    <row r="410" spans="1:32" ht="12.75" outlineLevel="2">
      <c r="A410" s="639">
        <f t="shared" si="81"/>
        <v>408</v>
      </c>
      <c r="B410" s="658" t="s">
        <v>606</v>
      </c>
      <c r="C410" s="641" t="s">
        <v>1076</v>
      </c>
      <c r="D410" s="641">
        <v>5148</v>
      </c>
      <c r="E410" s="641">
        <v>6121</v>
      </c>
      <c r="F410" s="659" t="s">
        <v>665</v>
      </c>
      <c r="G410" s="642" t="s">
        <v>1086</v>
      </c>
      <c r="H410" s="641">
        <v>2012</v>
      </c>
      <c r="I410" s="641">
        <v>2015</v>
      </c>
      <c r="J410" s="660">
        <v>18300</v>
      </c>
      <c r="K410" s="660">
        <v>15587</v>
      </c>
      <c r="L410" s="660">
        <f>297</f>
        <v>297</v>
      </c>
      <c r="M410" s="661">
        <v>500</v>
      </c>
      <c r="N410" s="661">
        <v>16200</v>
      </c>
      <c r="O410" s="660">
        <v>15653</v>
      </c>
      <c r="P410" s="647">
        <f t="shared" si="82"/>
        <v>0.9662345679012345</v>
      </c>
      <c r="Q410" s="661"/>
      <c r="R410" s="661"/>
      <c r="S410" s="662"/>
      <c r="T410" s="649" t="s">
        <v>609</v>
      </c>
      <c r="U410" s="669"/>
      <c r="V410" s="651">
        <f t="shared" si="69"/>
        <v>1803</v>
      </c>
      <c r="W410" s="652">
        <f>IF(AND(P410&lt;'[1]koment'!$F$1,N410&gt;='[1]koment'!$F$2),"Komentovat","")</f>
      </c>
      <c r="X410" s="653" t="e">
        <f t="shared" si="86"/>
        <v>#REF!</v>
      </c>
      <c r="Y410" s="651">
        <f t="shared" si="70"/>
        <v>5600</v>
      </c>
      <c r="Z410" s="654" t="str">
        <f t="shared" si="71"/>
        <v>ORG 5148 - Nízkoprahové centrum v parku Hvězdička</v>
      </c>
      <c r="AA410" s="655" t="str">
        <f t="shared" si="72"/>
        <v>5600374551486121EU</v>
      </c>
      <c r="AB410" s="638"/>
      <c r="AC410" s="638"/>
      <c r="AD410" s="638"/>
      <c r="AE410" s="638"/>
      <c r="AF410" s="638"/>
    </row>
    <row r="411" spans="1:32" ht="12.75" outlineLevel="2">
      <c r="A411" s="639">
        <f t="shared" si="81"/>
        <v>409</v>
      </c>
      <c r="B411" s="658" t="s">
        <v>606</v>
      </c>
      <c r="C411" s="641" t="s">
        <v>1076</v>
      </c>
      <c r="D411" s="641">
        <v>5165</v>
      </c>
      <c r="E411" s="641">
        <v>6121</v>
      </c>
      <c r="F411" s="659" t="s">
        <v>665</v>
      </c>
      <c r="G411" s="642" t="s">
        <v>1087</v>
      </c>
      <c r="H411" s="641">
        <v>2013</v>
      </c>
      <c r="I411" s="641">
        <v>2015</v>
      </c>
      <c r="J411" s="660">
        <v>3209</v>
      </c>
      <c r="K411" s="660">
        <v>1091</v>
      </c>
      <c r="L411" s="660">
        <f>20</f>
        <v>20</v>
      </c>
      <c r="M411" s="661">
        <v>2700</v>
      </c>
      <c r="N411" s="661">
        <v>3750</v>
      </c>
      <c r="O411" s="660">
        <v>3571</v>
      </c>
      <c r="P411" s="647">
        <f t="shared" si="82"/>
        <v>0.9522666666666667</v>
      </c>
      <c r="Q411" s="661"/>
      <c r="R411" s="661"/>
      <c r="S411" s="662"/>
      <c r="T411" s="649" t="s">
        <v>609</v>
      </c>
      <c r="U411" s="669"/>
      <c r="V411" s="651">
        <f t="shared" si="69"/>
        <v>-561</v>
      </c>
      <c r="W411" s="652">
        <f>IF(AND(P411&lt;'[1]koment'!$F$1,N411&gt;='[1]koment'!$F$2),"Komentovat","")</f>
      </c>
      <c r="X411" s="653" t="e">
        <f t="shared" si="86"/>
        <v>#REF!</v>
      </c>
      <c r="Y411" s="651">
        <f t="shared" si="70"/>
        <v>5600</v>
      </c>
      <c r="Z411" s="654" t="str">
        <f t="shared" si="71"/>
        <v>ORG 5165 - Úprava ploch VZ v okolí bytových domů Sibiřská</v>
      </c>
      <c r="AA411" s="655" t="str">
        <f t="shared" si="72"/>
        <v>5600374551656121EU</v>
      </c>
      <c r="AB411" s="638"/>
      <c r="AC411" s="638"/>
      <c r="AD411" s="638"/>
      <c r="AE411" s="638"/>
      <c r="AF411" s="638"/>
    </row>
    <row r="412" spans="1:32" ht="12.75" outlineLevel="2">
      <c r="A412" s="639">
        <f t="shared" si="81"/>
        <v>410</v>
      </c>
      <c r="B412" s="640" t="s">
        <v>235</v>
      </c>
      <c r="C412" s="641" t="s">
        <v>1076</v>
      </c>
      <c r="D412" s="641">
        <v>5194</v>
      </c>
      <c r="E412" s="641">
        <v>6121</v>
      </c>
      <c r="F412" s="659" t="s">
        <v>665</v>
      </c>
      <c r="G412" s="642" t="s">
        <v>1088</v>
      </c>
      <c r="H412" s="642">
        <v>2014</v>
      </c>
      <c r="I412" s="642">
        <v>2016</v>
      </c>
      <c r="J412" s="660">
        <v>46687</v>
      </c>
      <c r="K412" s="660">
        <v>39197</v>
      </c>
      <c r="L412" s="645"/>
      <c r="M412" s="646"/>
      <c r="N412" s="646">
        <v>1000</v>
      </c>
      <c r="O412" s="644">
        <v>1000</v>
      </c>
      <c r="P412" s="647">
        <f t="shared" si="82"/>
        <v>1</v>
      </c>
      <c r="Q412" s="646"/>
      <c r="R412" s="646"/>
      <c r="S412" s="648"/>
      <c r="T412" s="649" t="s">
        <v>609</v>
      </c>
      <c r="U412" s="669"/>
      <c r="V412" s="651">
        <f t="shared" si="69"/>
        <v>45687</v>
      </c>
      <c r="W412" s="652">
        <f>IF(AND(P412&lt;'[1]koment'!$F$1,N412&gt;='[1]koment'!$F$2),"Komentovat","")</f>
      </c>
      <c r="X412" s="653" t="e">
        <f t="shared" si="86"/>
        <v>#REF!</v>
      </c>
      <c r="Y412" s="651">
        <f t="shared" si="70"/>
        <v>4100</v>
      </c>
      <c r="Z412" s="654" t="str">
        <f t="shared" si="71"/>
        <v>ORG 5194 - Revitalizace městských parků, III. etapa</v>
      </c>
      <c r="AA412" s="655" t="str">
        <f t="shared" si="72"/>
        <v>4100374551946121EU</v>
      </c>
      <c r="AB412" s="638"/>
      <c r="AC412" s="638"/>
      <c r="AD412" s="638"/>
      <c r="AE412" s="638"/>
      <c r="AF412" s="638"/>
    </row>
    <row r="413" spans="1:32" ht="12.75" outlineLevel="2">
      <c r="A413" s="639">
        <f t="shared" si="81"/>
        <v>411</v>
      </c>
      <c r="B413" s="640" t="s">
        <v>1028</v>
      </c>
      <c r="C413" s="641" t="s">
        <v>1076</v>
      </c>
      <c r="D413" s="641">
        <v>5194</v>
      </c>
      <c r="E413" s="641">
        <v>6121</v>
      </c>
      <c r="F413" s="659" t="s">
        <v>665</v>
      </c>
      <c r="G413" s="642" t="s">
        <v>1088</v>
      </c>
      <c r="H413" s="642"/>
      <c r="I413" s="642"/>
      <c r="J413" s="644"/>
      <c r="K413" s="644"/>
      <c r="L413" s="645"/>
      <c r="M413" s="646"/>
      <c r="N413" s="646">
        <v>500</v>
      </c>
      <c r="O413" s="644">
        <v>449</v>
      </c>
      <c r="P413" s="647">
        <f t="shared" si="82"/>
        <v>0.898</v>
      </c>
      <c r="Q413" s="646">
        <v>10000</v>
      </c>
      <c r="R413" s="646"/>
      <c r="S413" s="648"/>
      <c r="T413" s="649" t="s">
        <v>1059</v>
      </c>
      <c r="U413" s="650"/>
      <c r="V413" s="651">
        <f t="shared" si="69"/>
        <v>-10500</v>
      </c>
      <c r="W413" s="652">
        <f>IF(AND(P413&lt;'[1]koment'!$F$1,N413&gt;='[1]koment'!$F$2),"Komentovat","")</f>
      </c>
      <c r="X413" s="653" t="e">
        <f t="shared" si="86"/>
        <v>#REF!</v>
      </c>
      <c r="Y413" s="651">
        <f t="shared" si="70"/>
        <v>4200</v>
      </c>
      <c r="Z413" s="654" t="str">
        <f t="shared" si="71"/>
        <v>ORG 5194 - Revitalizace městských parků, III. etapa</v>
      </c>
      <c r="AA413" s="655" t="str">
        <f t="shared" si="72"/>
        <v>4200374551946121EU</v>
      </c>
      <c r="AB413" s="638"/>
      <c r="AC413" s="638"/>
      <c r="AD413" s="638"/>
      <c r="AE413" s="638"/>
      <c r="AF413" s="638"/>
    </row>
    <row r="414" spans="1:32" ht="12.75" outlineLevel="2">
      <c r="A414" s="639">
        <f t="shared" si="81"/>
        <v>412</v>
      </c>
      <c r="B414" s="658" t="s">
        <v>1028</v>
      </c>
      <c r="C414" s="641" t="s">
        <v>1089</v>
      </c>
      <c r="D414" s="673">
        <v>30019105</v>
      </c>
      <c r="E414" s="641">
        <v>6351</v>
      </c>
      <c r="F414" s="659"/>
      <c r="G414" s="642" t="s">
        <v>1090</v>
      </c>
      <c r="H414" s="641"/>
      <c r="I414" s="641"/>
      <c r="J414" s="660"/>
      <c r="K414" s="660"/>
      <c r="L414" s="660"/>
      <c r="M414" s="661"/>
      <c r="N414" s="661">
        <v>2693</v>
      </c>
      <c r="O414" s="660">
        <v>2538</v>
      </c>
      <c r="P414" s="647">
        <f t="shared" si="82"/>
        <v>0.9424433717044188</v>
      </c>
      <c r="Q414" s="661"/>
      <c r="R414" s="661"/>
      <c r="S414" s="662"/>
      <c r="T414" s="649" t="s">
        <v>1091</v>
      </c>
      <c r="U414" s="669"/>
      <c r="V414" s="651">
        <f t="shared" si="69"/>
        <v>0</v>
      </c>
      <c r="W414" s="652">
        <f>IF(AND(P414&lt;'[1]koment'!$F$1,N414&gt;='[1]koment'!$F$2),"Komentovat","")</f>
      </c>
      <c r="X414" s="653" t="e">
        <f t="shared" si="86"/>
        <v>#REF!</v>
      </c>
      <c r="Y414" s="651" t="str">
        <f t="shared" si="70"/>
        <v> </v>
      </c>
      <c r="Z414" s="654">
        <f t="shared" si="71"/>
        <v>0</v>
      </c>
      <c r="AA414" s="655" t="str">
        <f t="shared" si="72"/>
        <v>42003745300191056351</v>
      </c>
      <c r="AB414" s="638"/>
      <c r="AC414" s="638"/>
      <c r="AD414" s="638"/>
      <c r="AE414" s="638"/>
      <c r="AF414" s="638"/>
    </row>
    <row r="415" spans="1:32" ht="12.75" outlineLevel="1">
      <c r="A415" s="639">
        <f t="shared" si="81"/>
        <v>413</v>
      </c>
      <c r="B415" s="658"/>
      <c r="C415" s="666" t="s">
        <v>1092</v>
      </c>
      <c r="D415" s="673"/>
      <c r="E415" s="641"/>
      <c r="F415" s="659"/>
      <c r="G415" s="642"/>
      <c r="H415" s="641"/>
      <c r="I415" s="641"/>
      <c r="J415" s="660">
        <f aca="true" t="shared" si="87" ref="J415:O415">SUBTOTAL(9,J401:J414)</f>
        <v>503139</v>
      </c>
      <c r="K415" s="660">
        <f t="shared" si="87"/>
        <v>195088</v>
      </c>
      <c r="L415" s="660">
        <f t="shared" si="87"/>
        <v>291918</v>
      </c>
      <c r="M415" s="661">
        <f t="shared" si="87"/>
        <v>55676</v>
      </c>
      <c r="N415" s="661">
        <f t="shared" si="87"/>
        <v>116524</v>
      </c>
      <c r="O415" s="660">
        <f t="shared" si="87"/>
        <v>107848</v>
      </c>
      <c r="P415" s="647">
        <f t="shared" si="82"/>
        <v>0.925543235728262</v>
      </c>
      <c r="Q415" s="661">
        <f>SUBTOTAL(9,Q401:Q414)</f>
        <v>10000</v>
      </c>
      <c r="R415" s="661">
        <f>SUBTOTAL(9,R401:R414)</f>
        <v>0</v>
      </c>
      <c r="S415" s="662">
        <f>SUBTOTAL(9,S401:S414)</f>
        <v>44950</v>
      </c>
      <c r="T415" s="649"/>
      <c r="U415" s="669"/>
      <c r="V415" s="651"/>
      <c r="W415" s="652"/>
      <c r="X415" s="653"/>
      <c r="Y415" s="651" t="str">
        <f>IF($V415=0," ",IF(LEN($B415)=4,$B415*1,$B415))</f>
        <v> </v>
      </c>
      <c r="Z415" s="654">
        <f>IF($Y415=" ",0,"ORG "&amp;$D415&amp;" - "&amp;$G415)</f>
        <v>0</v>
      </c>
      <c r="AA415" s="655" t="str">
        <f>$B415&amp;LEFT($C415,4)&amp;$D415&amp;$E415&amp;$F415</f>
        <v>Celk</v>
      </c>
      <c r="AB415" s="638"/>
      <c r="AC415" s="638"/>
      <c r="AD415" s="638"/>
      <c r="AE415" s="638"/>
      <c r="AF415" s="638"/>
    </row>
    <row r="416" spans="1:32" ht="12.75" outlineLevel="2">
      <c r="A416" s="639">
        <f t="shared" si="81"/>
        <v>414</v>
      </c>
      <c r="B416" s="658" t="s">
        <v>606</v>
      </c>
      <c r="C416" s="641" t="s">
        <v>1093</v>
      </c>
      <c r="D416" s="641">
        <v>5096</v>
      </c>
      <c r="E416" s="641">
        <v>6121</v>
      </c>
      <c r="F416" s="659" t="s">
        <v>665</v>
      </c>
      <c r="G416" s="642" t="s">
        <v>1094</v>
      </c>
      <c r="H416" s="665">
        <v>2010</v>
      </c>
      <c r="I416" s="641">
        <v>2014</v>
      </c>
      <c r="J416" s="660">
        <v>35705</v>
      </c>
      <c r="K416" s="660">
        <v>25587</v>
      </c>
      <c r="L416" s="660">
        <f>327+578+3906+12372</f>
        <v>17183</v>
      </c>
      <c r="M416" s="661">
        <v>14500</v>
      </c>
      <c r="N416" s="661">
        <v>13400</v>
      </c>
      <c r="O416" s="660">
        <v>5645</v>
      </c>
      <c r="P416" s="647">
        <f t="shared" si="82"/>
        <v>0.4212686567164179</v>
      </c>
      <c r="Q416" s="661"/>
      <c r="R416" s="661"/>
      <c r="S416" s="662"/>
      <c r="T416" s="649" t="s">
        <v>609</v>
      </c>
      <c r="U416" s="669"/>
      <c r="V416" s="651">
        <f t="shared" si="69"/>
        <v>5122</v>
      </c>
      <c r="W416" s="652" t="str">
        <f>IF(AND(P416&lt;'[1]koment'!$F$1,N416&gt;='[1]koment'!$F$2),"Komentovat","")</f>
        <v>Komentovat</v>
      </c>
      <c r="X416" s="653" t="e">
        <f>IF(W416="Komentovat",X414+1,X414)</f>
        <v>#REF!</v>
      </c>
      <c r="Y416" s="651">
        <f t="shared" si="70"/>
        <v>5600</v>
      </c>
      <c r="Z416" s="654" t="str">
        <f t="shared" si="71"/>
        <v>ORG 5096 - Rekonstrukce objektu Hlídka 4</v>
      </c>
      <c r="AA416" s="655" t="str">
        <f t="shared" si="72"/>
        <v>5600379250966121EU</v>
      </c>
      <c r="AB416" s="638"/>
      <c r="AC416" s="638"/>
      <c r="AD416" s="638"/>
      <c r="AE416" s="638"/>
      <c r="AF416" s="638"/>
    </row>
    <row r="417" spans="1:32" ht="12.75" outlineLevel="2">
      <c r="A417" s="639">
        <f t="shared" si="81"/>
        <v>415</v>
      </c>
      <c r="B417" s="658" t="s">
        <v>1028</v>
      </c>
      <c r="C417" s="641" t="s">
        <v>1093</v>
      </c>
      <c r="D417" s="641">
        <v>300199</v>
      </c>
      <c r="E417" s="641">
        <v>6322</v>
      </c>
      <c r="F417" s="659"/>
      <c r="G417" s="642" t="s">
        <v>1095</v>
      </c>
      <c r="H417" s="641"/>
      <c r="I417" s="641"/>
      <c r="J417" s="660"/>
      <c r="K417" s="660"/>
      <c r="L417" s="660">
        <f>32</f>
        <v>32</v>
      </c>
      <c r="M417" s="661"/>
      <c r="N417" s="661">
        <v>20</v>
      </c>
      <c r="O417" s="660">
        <v>20</v>
      </c>
      <c r="P417" s="647">
        <f t="shared" si="82"/>
        <v>1</v>
      </c>
      <c r="Q417" s="661"/>
      <c r="R417" s="661"/>
      <c r="S417" s="662"/>
      <c r="T417" s="649" t="s">
        <v>1059</v>
      </c>
      <c r="U417" s="669"/>
      <c r="V417" s="651">
        <f t="shared" si="69"/>
        <v>0</v>
      </c>
      <c r="W417" s="652">
        <f>IF(AND(P417&lt;'[1]koment'!$F$1,N417&gt;='[1]koment'!$F$2),"Komentovat","")</f>
      </c>
      <c r="X417" s="653" t="e">
        <f t="shared" si="86"/>
        <v>#REF!</v>
      </c>
      <c r="Y417" s="651" t="str">
        <f t="shared" si="70"/>
        <v> </v>
      </c>
      <c r="Z417" s="654">
        <f t="shared" si="71"/>
        <v>0</v>
      </c>
      <c r="AA417" s="655" t="str">
        <f t="shared" si="72"/>
        <v>420037923001996322</v>
      </c>
      <c r="AB417" s="638"/>
      <c r="AC417" s="638"/>
      <c r="AD417" s="638"/>
      <c r="AE417" s="638"/>
      <c r="AF417" s="638"/>
    </row>
    <row r="418" spans="1:32" ht="12.75" outlineLevel="1">
      <c r="A418" s="639">
        <f t="shared" si="81"/>
        <v>416</v>
      </c>
      <c r="B418" s="658"/>
      <c r="C418" s="666" t="s">
        <v>1096</v>
      </c>
      <c r="D418" s="641"/>
      <c r="E418" s="641"/>
      <c r="F418" s="659"/>
      <c r="G418" s="642"/>
      <c r="H418" s="641"/>
      <c r="I418" s="641"/>
      <c r="J418" s="660">
        <f aca="true" t="shared" si="88" ref="J418:O418">SUBTOTAL(9,J416:J417)</f>
        <v>35705</v>
      </c>
      <c r="K418" s="660">
        <f t="shared" si="88"/>
        <v>25587</v>
      </c>
      <c r="L418" s="660">
        <f t="shared" si="88"/>
        <v>17215</v>
      </c>
      <c r="M418" s="661">
        <f t="shared" si="88"/>
        <v>14500</v>
      </c>
      <c r="N418" s="661">
        <f t="shared" si="88"/>
        <v>13420</v>
      </c>
      <c r="O418" s="660">
        <f t="shared" si="88"/>
        <v>5665</v>
      </c>
      <c r="P418" s="647">
        <f t="shared" si="82"/>
        <v>0.42213114754098363</v>
      </c>
      <c r="Q418" s="661">
        <f>SUBTOTAL(9,Q416:Q417)</f>
        <v>0</v>
      </c>
      <c r="R418" s="661">
        <f>SUBTOTAL(9,R416:R417)</f>
        <v>0</v>
      </c>
      <c r="S418" s="662">
        <f>SUBTOTAL(9,S416:S417)</f>
        <v>0</v>
      </c>
      <c r="T418" s="649"/>
      <c r="U418" s="669"/>
      <c r="V418" s="651"/>
      <c r="W418" s="652"/>
      <c r="X418" s="653"/>
      <c r="Y418" s="651" t="str">
        <f>IF($V418=0," ",IF(LEN($B418)=4,$B418*1,$B418))</f>
        <v> </v>
      </c>
      <c r="Z418" s="654">
        <f>IF($Y418=" ",0,"ORG "&amp;$D418&amp;" - "&amp;$G418)</f>
        <v>0</v>
      </c>
      <c r="AA418" s="655" t="str">
        <f>$B418&amp;LEFT($C418,4)&amp;$D418&amp;$E418&amp;$F418</f>
        <v>Celk</v>
      </c>
      <c r="AB418" s="638"/>
      <c r="AC418" s="638"/>
      <c r="AD418" s="638"/>
      <c r="AE418" s="638"/>
      <c r="AF418" s="638"/>
    </row>
    <row r="419" spans="1:32" ht="12.75" outlineLevel="2">
      <c r="A419" s="639">
        <f t="shared" si="81"/>
        <v>417</v>
      </c>
      <c r="B419" s="640" t="s">
        <v>1097</v>
      </c>
      <c r="C419" s="641" t="s">
        <v>1098</v>
      </c>
      <c r="D419" s="642">
        <v>300599</v>
      </c>
      <c r="E419" s="641">
        <v>6322</v>
      </c>
      <c r="F419" s="643"/>
      <c r="G419" s="642" t="s">
        <v>1099</v>
      </c>
      <c r="H419" s="642"/>
      <c r="I419" s="642"/>
      <c r="J419" s="644"/>
      <c r="K419" s="644"/>
      <c r="L419" s="645"/>
      <c r="M419" s="646"/>
      <c r="N419" s="646">
        <v>235</v>
      </c>
      <c r="O419" s="644">
        <v>235</v>
      </c>
      <c r="P419" s="647">
        <f t="shared" si="82"/>
        <v>1</v>
      </c>
      <c r="Q419" s="646"/>
      <c r="R419" s="646"/>
      <c r="S419" s="648"/>
      <c r="T419" s="649" t="s">
        <v>1100</v>
      </c>
      <c r="U419" s="669"/>
      <c r="V419" s="651">
        <f t="shared" si="69"/>
        <v>0</v>
      </c>
      <c r="W419" s="652">
        <f>IF(AND(P419&lt;'[1]koment'!$F$1,N419&gt;='[1]koment'!$F$2),"Komentovat","")</f>
      </c>
      <c r="X419" s="653" t="e">
        <f>IF(W419="Komentovat",X417+1,X417)</f>
        <v>#REF!</v>
      </c>
      <c r="Y419" s="651" t="str">
        <f t="shared" si="70"/>
        <v> </v>
      </c>
      <c r="Z419" s="654">
        <f t="shared" si="71"/>
        <v>0</v>
      </c>
      <c r="AA419" s="655" t="str">
        <f t="shared" si="72"/>
        <v>720043443005996322</v>
      </c>
      <c r="AB419" s="638"/>
      <c r="AC419" s="638"/>
      <c r="AD419" s="638"/>
      <c r="AE419" s="638"/>
      <c r="AF419" s="638"/>
    </row>
    <row r="420" spans="1:32" ht="12.75" outlineLevel="1">
      <c r="A420" s="639">
        <f t="shared" si="81"/>
        <v>418</v>
      </c>
      <c r="B420" s="640"/>
      <c r="C420" s="666" t="s">
        <v>1101</v>
      </c>
      <c r="D420" s="642"/>
      <c r="E420" s="641"/>
      <c r="F420" s="643"/>
      <c r="G420" s="642"/>
      <c r="H420" s="642"/>
      <c r="I420" s="642"/>
      <c r="J420" s="644">
        <f aca="true" t="shared" si="89" ref="J420:O420">SUBTOTAL(9,J419:J419)</f>
        <v>0</v>
      </c>
      <c r="K420" s="644">
        <f t="shared" si="89"/>
        <v>0</v>
      </c>
      <c r="L420" s="645">
        <f t="shared" si="89"/>
        <v>0</v>
      </c>
      <c r="M420" s="646">
        <f t="shared" si="89"/>
        <v>0</v>
      </c>
      <c r="N420" s="646">
        <f t="shared" si="89"/>
        <v>235</v>
      </c>
      <c r="O420" s="644">
        <f t="shared" si="89"/>
        <v>235</v>
      </c>
      <c r="P420" s="647">
        <f t="shared" si="82"/>
        <v>1</v>
      </c>
      <c r="Q420" s="646">
        <f>SUBTOTAL(9,Q419:Q419)</f>
        <v>0</v>
      </c>
      <c r="R420" s="646">
        <f>SUBTOTAL(9,R419:R419)</f>
        <v>0</v>
      </c>
      <c r="S420" s="648">
        <f>SUBTOTAL(9,S419:S419)</f>
        <v>0</v>
      </c>
      <c r="T420" s="649"/>
      <c r="U420" s="669"/>
      <c r="V420" s="651"/>
      <c r="W420" s="652"/>
      <c r="X420" s="653"/>
      <c r="Y420" s="651" t="str">
        <f>IF($V420=0," ",IF(LEN($B420)=4,$B420*1,$B420))</f>
        <v> </v>
      </c>
      <c r="Z420" s="654">
        <f>IF($Y420=" ",0,"ORG "&amp;$D420&amp;" - "&amp;$G420)</f>
        <v>0</v>
      </c>
      <c r="AA420" s="655" t="str">
        <f>$B420&amp;LEFT($C420,4)&amp;$D420&amp;$E420&amp;$F420</f>
        <v>Celk</v>
      </c>
      <c r="AB420" s="638"/>
      <c r="AC420" s="638"/>
      <c r="AD420" s="638"/>
      <c r="AE420" s="638"/>
      <c r="AF420" s="638"/>
    </row>
    <row r="421" spans="1:32" ht="12.75" outlineLevel="2">
      <c r="A421" s="639">
        <f t="shared" si="81"/>
        <v>419</v>
      </c>
      <c r="B421" s="640" t="s">
        <v>606</v>
      </c>
      <c r="C421" s="641" t="s">
        <v>1102</v>
      </c>
      <c r="D421" s="642">
        <v>5197</v>
      </c>
      <c r="E421" s="641">
        <v>6121</v>
      </c>
      <c r="F421" s="683" t="s">
        <v>665</v>
      </c>
      <c r="G421" s="642" t="s">
        <v>1103</v>
      </c>
      <c r="H421" s="642">
        <v>2014</v>
      </c>
      <c r="I421" s="642">
        <v>2015</v>
      </c>
      <c r="J421" s="644">
        <v>35026</v>
      </c>
      <c r="K421" s="644">
        <v>5197</v>
      </c>
      <c r="L421" s="645"/>
      <c r="M421" s="646"/>
      <c r="N421" s="646">
        <v>200</v>
      </c>
      <c r="O421" s="644"/>
      <c r="P421" s="647">
        <f t="shared" si="82"/>
        <v>0</v>
      </c>
      <c r="Q421" s="646">
        <v>10000</v>
      </c>
      <c r="R421" s="646"/>
      <c r="S421" s="648"/>
      <c r="T421" s="649" t="s">
        <v>609</v>
      </c>
      <c r="U421" s="669"/>
      <c r="V421" s="651">
        <f t="shared" si="69"/>
        <v>24826</v>
      </c>
      <c r="W421" s="652">
        <f>IF(AND(P421&lt;'[1]koment'!$F$1,N421&gt;='[1]koment'!$F$2),"Komentovat","")</f>
      </c>
      <c r="X421" s="653" t="e">
        <f>IF(W421="Komentovat",X419+1,X419)</f>
        <v>#REF!</v>
      </c>
      <c r="Y421" s="651">
        <f t="shared" si="70"/>
        <v>5600</v>
      </c>
      <c r="Z421" s="654" t="str">
        <f t="shared" si="71"/>
        <v>ORG 5197 - Stavební úpravy Domova pro seniory Foltýnova</v>
      </c>
      <c r="AA421" s="655" t="str">
        <f t="shared" si="72"/>
        <v>5600435051976121EU</v>
      </c>
      <c r="AB421" s="638"/>
      <c r="AC421" s="638"/>
      <c r="AD421" s="638"/>
      <c r="AE421" s="638"/>
      <c r="AF421" s="638"/>
    </row>
    <row r="422" spans="1:32" ht="12.75" outlineLevel="2">
      <c r="A422" s="639">
        <f t="shared" si="81"/>
        <v>420</v>
      </c>
      <c r="B422" s="640" t="s">
        <v>1097</v>
      </c>
      <c r="C422" s="641" t="s">
        <v>1102</v>
      </c>
      <c r="D422" s="642">
        <v>30059135</v>
      </c>
      <c r="E422" s="641"/>
      <c r="F422" s="643"/>
      <c r="G422" s="642" t="s">
        <v>1104</v>
      </c>
      <c r="H422" s="642"/>
      <c r="I422" s="642"/>
      <c r="J422" s="644"/>
      <c r="K422" s="644"/>
      <c r="L422" s="645"/>
      <c r="M422" s="646"/>
      <c r="N422" s="646">
        <v>100</v>
      </c>
      <c r="O422" s="644">
        <v>100</v>
      </c>
      <c r="P422" s="647">
        <f t="shared" si="82"/>
        <v>1</v>
      </c>
      <c r="Q422" s="646"/>
      <c r="R422" s="646"/>
      <c r="S422" s="648"/>
      <c r="T422" s="684" t="s">
        <v>496</v>
      </c>
      <c r="U422" s="669"/>
      <c r="V422" s="651">
        <f t="shared" si="69"/>
        <v>0</v>
      </c>
      <c r="W422" s="652">
        <f>IF(AND(P422&lt;'[1]koment'!$F$1,N422&gt;='[1]koment'!$F$2),"Komentovat","")</f>
      </c>
      <c r="X422" s="653" t="e">
        <f t="shared" si="86"/>
        <v>#REF!</v>
      </c>
      <c r="Y422" s="651" t="str">
        <f t="shared" si="70"/>
        <v> </v>
      </c>
      <c r="Z422" s="654">
        <f t="shared" si="71"/>
        <v>0</v>
      </c>
      <c r="AA422" s="655" t="str">
        <f t="shared" si="72"/>
        <v>7200435030059135</v>
      </c>
      <c r="AB422" s="638"/>
      <c r="AC422" s="638"/>
      <c r="AD422" s="638"/>
      <c r="AE422" s="638"/>
      <c r="AF422" s="638"/>
    </row>
    <row r="423" spans="1:32" ht="12.75" outlineLevel="1">
      <c r="A423" s="639">
        <f t="shared" si="81"/>
        <v>421</v>
      </c>
      <c r="B423" s="640"/>
      <c r="C423" s="666" t="s">
        <v>1105</v>
      </c>
      <c r="D423" s="642"/>
      <c r="E423" s="641"/>
      <c r="F423" s="643"/>
      <c r="G423" s="642"/>
      <c r="H423" s="642"/>
      <c r="I423" s="642"/>
      <c r="J423" s="644">
        <f aca="true" t="shared" si="90" ref="J423:O423">SUBTOTAL(9,J421:J422)</f>
        <v>35026</v>
      </c>
      <c r="K423" s="644">
        <f t="shared" si="90"/>
        <v>5197</v>
      </c>
      <c r="L423" s="645">
        <f t="shared" si="90"/>
        <v>0</v>
      </c>
      <c r="M423" s="646">
        <f t="shared" si="90"/>
        <v>0</v>
      </c>
      <c r="N423" s="646">
        <f t="shared" si="90"/>
        <v>300</v>
      </c>
      <c r="O423" s="644">
        <f t="shared" si="90"/>
        <v>100</v>
      </c>
      <c r="P423" s="647">
        <f t="shared" si="82"/>
        <v>0.3333333333333333</v>
      </c>
      <c r="Q423" s="646">
        <f>SUBTOTAL(9,Q421:Q422)</f>
        <v>10000</v>
      </c>
      <c r="R423" s="646">
        <f>SUBTOTAL(9,R421:R422)</f>
        <v>0</v>
      </c>
      <c r="S423" s="648">
        <f>SUBTOTAL(9,S421:S422)</f>
        <v>0</v>
      </c>
      <c r="T423" s="684"/>
      <c r="U423" s="669"/>
      <c r="V423" s="651"/>
      <c r="W423" s="652"/>
      <c r="X423" s="653"/>
      <c r="Y423" s="651" t="str">
        <f>IF($V423=0," ",IF(LEN($B423)=4,$B423*1,$B423))</f>
        <v> </v>
      </c>
      <c r="Z423" s="654">
        <f>IF($Y423=" ",0,"ORG "&amp;$D423&amp;" - "&amp;$G423)</f>
        <v>0</v>
      </c>
      <c r="AA423" s="655" t="str">
        <f>$B423&amp;LEFT($C423,4)&amp;$D423&amp;$E423&amp;$F423</f>
        <v>Celk</v>
      </c>
      <c r="AB423" s="638"/>
      <c r="AC423" s="638"/>
      <c r="AD423" s="638"/>
      <c r="AE423" s="638"/>
      <c r="AF423" s="638"/>
    </row>
    <row r="424" spans="1:32" ht="12.75" outlineLevel="2">
      <c r="A424" s="639">
        <f t="shared" si="81"/>
        <v>422</v>
      </c>
      <c r="B424" s="640" t="s">
        <v>170</v>
      </c>
      <c r="C424" s="677" t="s">
        <v>1106</v>
      </c>
      <c r="D424" s="642">
        <v>2912</v>
      </c>
      <c r="E424" s="641">
        <v>6121</v>
      </c>
      <c r="F424" s="643">
        <v>41</v>
      </c>
      <c r="G424" s="680" t="s">
        <v>1107</v>
      </c>
      <c r="H424" s="642">
        <v>2014</v>
      </c>
      <c r="I424" s="642">
        <v>2018</v>
      </c>
      <c r="J424" s="644">
        <v>150000</v>
      </c>
      <c r="K424" s="644"/>
      <c r="L424" s="645"/>
      <c r="M424" s="646"/>
      <c r="N424" s="646">
        <v>200</v>
      </c>
      <c r="O424" s="644">
        <v>68</v>
      </c>
      <c r="P424" s="647">
        <f t="shared" si="82"/>
        <v>0.34</v>
      </c>
      <c r="Q424" s="646"/>
      <c r="R424" s="646"/>
      <c r="S424" s="648"/>
      <c r="T424" s="649" t="s">
        <v>998</v>
      </c>
      <c r="U424" s="669"/>
      <c r="V424" s="651">
        <f t="shared" si="69"/>
        <v>149800</v>
      </c>
      <c r="W424" s="652">
        <f>IF(AND(P424&lt;'[1]koment'!$F$1,N424&gt;='[1]koment'!$F$2),"Komentovat","")</f>
      </c>
      <c r="X424" s="653" t="e">
        <f>IF(W424="Komentovat",X422+1,X422)</f>
        <v>#REF!</v>
      </c>
      <c r="Y424" s="651">
        <f t="shared" si="70"/>
        <v>6200</v>
      </c>
      <c r="Z424" s="654" t="str">
        <f t="shared" si="71"/>
        <v>ORG 2912 - DPS Tuřany - Holásky</v>
      </c>
      <c r="AA424" s="655" t="str">
        <f t="shared" si="72"/>
        <v>620043512912612141</v>
      </c>
      <c r="AB424" s="638"/>
      <c r="AC424" s="638"/>
      <c r="AD424" s="638"/>
      <c r="AE424" s="638"/>
      <c r="AF424" s="638"/>
    </row>
    <row r="425" spans="1:32" ht="12.75" outlineLevel="2">
      <c r="A425" s="639">
        <f t="shared" si="81"/>
        <v>423</v>
      </c>
      <c r="B425" s="663">
        <v>6200</v>
      </c>
      <c r="C425" s="641" t="s">
        <v>1106</v>
      </c>
      <c r="D425" s="641">
        <v>2936</v>
      </c>
      <c r="E425" s="641">
        <v>6121</v>
      </c>
      <c r="F425" s="649">
        <v>41</v>
      </c>
      <c r="G425" s="642" t="s">
        <v>1108</v>
      </c>
      <c r="H425" s="641">
        <v>2011</v>
      </c>
      <c r="I425" s="641">
        <v>2016</v>
      </c>
      <c r="J425" s="660">
        <v>42000</v>
      </c>
      <c r="K425" s="660"/>
      <c r="L425" s="660">
        <f>143+1434</f>
        <v>1577</v>
      </c>
      <c r="M425" s="661">
        <v>29501</v>
      </c>
      <c r="N425" s="661">
        <v>100</v>
      </c>
      <c r="O425" s="660">
        <v>87</v>
      </c>
      <c r="P425" s="647">
        <f t="shared" si="82"/>
        <v>0.87</v>
      </c>
      <c r="Q425" s="661">
        <v>29900</v>
      </c>
      <c r="R425" s="661"/>
      <c r="S425" s="662"/>
      <c r="T425" s="672" t="s">
        <v>998</v>
      </c>
      <c r="U425" s="669"/>
      <c r="V425" s="651">
        <f t="shared" si="69"/>
        <v>10423</v>
      </c>
      <c r="W425" s="652">
        <f>IF(AND(P425&lt;'[1]koment'!$F$1,N425&gt;='[1]koment'!$F$2),"Komentovat","")</f>
      </c>
      <c r="X425" s="653" t="e">
        <f t="shared" si="86"/>
        <v>#REF!</v>
      </c>
      <c r="Y425" s="651">
        <f t="shared" si="70"/>
        <v>6200</v>
      </c>
      <c r="Z425" s="654" t="str">
        <f t="shared" si="71"/>
        <v>ORG 2936 - DPS Mlýnská</v>
      </c>
      <c r="AA425" s="655" t="str">
        <f t="shared" si="72"/>
        <v>620043512936612141</v>
      </c>
      <c r="AB425" s="638"/>
      <c r="AC425" s="638"/>
      <c r="AD425" s="638"/>
      <c r="AE425" s="638"/>
      <c r="AF425" s="638"/>
    </row>
    <row r="426" spans="1:32" ht="12.75" outlineLevel="2">
      <c r="A426" s="639">
        <f t="shared" si="81"/>
        <v>424</v>
      </c>
      <c r="B426" s="663">
        <v>6200</v>
      </c>
      <c r="C426" s="641" t="s">
        <v>1106</v>
      </c>
      <c r="D426" s="641">
        <v>2937</v>
      </c>
      <c r="E426" s="641">
        <v>6121</v>
      </c>
      <c r="F426" s="649">
        <v>41</v>
      </c>
      <c r="G426" s="642" t="s">
        <v>1109</v>
      </c>
      <c r="H426" s="641">
        <v>2011</v>
      </c>
      <c r="I426" s="641">
        <v>2015</v>
      </c>
      <c r="J426" s="660">
        <v>37000</v>
      </c>
      <c r="K426" s="660"/>
      <c r="L426" s="660">
        <f>396+774</f>
        <v>1170</v>
      </c>
      <c r="M426" s="661">
        <v>29500</v>
      </c>
      <c r="N426" s="661">
        <v>15500</v>
      </c>
      <c r="O426" s="660">
        <v>13120</v>
      </c>
      <c r="P426" s="647">
        <f t="shared" si="82"/>
        <v>0.8464516129032258</v>
      </c>
      <c r="Q426" s="661">
        <v>20330</v>
      </c>
      <c r="R426" s="661"/>
      <c r="S426" s="662"/>
      <c r="T426" s="672" t="s">
        <v>998</v>
      </c>
      <c r="U426" s="669"/>
      <c r="V426" s="651">
        <f t="shared" si="69"/>
        <v>0</v>
      </c>
      <c r="W426" s="652">
        <f>IF(AND(P426&lt;'[1]koment'!$F$1,N426&gt;='[1]koment'!$F$2),"Komentovat","")</f>
      </c>
      <c r="X426" s="653" t="e">
        <f t="shared" si="86"/>
        <v>#REF!</v>
      </c>
      <c r="Y426" s="651" t="str">
        <f t="shared" si="70"/>
        <v> </v>
      </c>
      <c r="Z426" s="654">
        <f t="shared" si="71"/>
        <v>0</v>
      </c>
      <c r="AA426" s="655" t="str">
        <f t="shared" si="72"/>
        <v>620043512937612141</v>
      </c>
      <c r="AB426" s="638"/>
      <c r="AC426" s="638"/>
      <c r="AD426" s="638"/>
      <c r="AE426" s="638"/>
      <c r="AF426" s="638"/>
    </row>
    <row r="427" spans="1:32" ht="12.75" outlineLevel="1">
      <c r="A427" s="639">
        <f t="shared" si="81"/>
        <v>425</v>
      </c>
      <c r="B427" s="663"/>
      <c r="C427" s="666" t="s">
        <v>1110</v>
      </c>
      <c r="D427" s="641"/>
      <c r="E427" s="641"/>
      <c r="F427" s="649"/>
      <c r="G427" s="642"/>
      <c r="H427" s="641"/>
      <c r="I427" s="641"/>
      <c r="J427" s="660">
        <f aca="true" t="shared" si="91" ref="J427:O427">SUBTOTAL(9,J424:J426)</f>
        <v>229000</v>
      </c>
      <c r="K427" s="660">
        <f t="shared" si="91"/>
        <v>0</v>
      </c>
      <c r="L427" s="660">
        <f t="shared" si="91"/>
        <v>2747</v>
      </c>
      <c r="M427" s="661">
        <f t="shared" si="91"/>
        <v>59001</v>
      </c>
      <c r="N427" s="661">
        <f t="shared" si="91"/>
        <v>15800</v>
      </c>
      <c r="O427" s="660">
        <f t="shared" si="91"/>
        <v>13275</v>
      </c>
      <c r="P427" s="647">
        <f t="shared" si="82"/>
        <v>0.8401898734177216</v>
      </c>
      <c r="Q427" s="661">
        <f>SUBTOTAL(9,Q424:Q426)</f>
        <v>50230</v>
      </c>
      <c r="R427" s="661">
        <f>SUBTOTAL(9,R424:R426)</f>
        <v>0</v>
      </c>
      <c r="S427" s="662">
        <f>SUBTOTAL(9,S424:S426)</f>
        <v>0</v>
      </c>
      <c r="T427" s="672"/>
      <c r="U427" s="669"/>
      <c r="V427" s="651"/>
      <c r="W427" s="652"/>
      <c r="X427" s="653"/>
      <c r="Y427" s="651" t="str">
        <f>IF($V427=0," ",IF(LEN($B427)=4,$B427*1,$B427))</f>
        <v> </v>
      </c>
      <c r="Z427" s="654">
        <f>IF($Y427=" ",0,"ORG "&amp;$D427&amp;" - "&amp;$G427)</f>
        <v>0</v>
      </c>
      <c r="AA427" s="655" t="str">
        <f>$B427&amp;LEFT($C427,4)&amp;$D427&amp;$E427&amp;$F427</f>
        <v>Celk</v>
      </c>
      <c r="AB427" s="638"/>
      <c r="AC427" s="638"/>
      <c r="AD427" s="638"/>
      <c r="AE427" s="638"/>
      <c r="AF427" s="638"/>
    </row>
    <row r="428" spans="1:32" ht="12.75" outlineLevel="2">
      <c r="A428" s="639">
        <f t="shared" si="81"/>
        <v>426</v>
      </c>
      <c r="B428" s="658" t="s">
        <v>606</v>
      </c>
      <c r="C428" s="641" t="s">
        <v>1111</v>
      </c>
      <c r="D428" s="641">
        <v>5086</v>
      </c>
      <c r="E428" s="641">
        <v>6121</v>
      </c>
      <c r="F428" s="659" t="s">
        <v>665</v>
      </c>
      <c r="G428" s="642" t="s">
        <v>1112</v>
      </c>
      <c r="H428" s="665">
        <v>2010</v>
      </c>
      <c r="I428" s="641">
        <v>2015</v>
      </c>
      <c r="J428" s="660">
        <v>18740</v>
      </c>
      <c r="K428" s="660">
        <v>11126</v>
      </c>
      <c r="L428" s="660">
        <f>82+50+37</f>
        <v>169</v>
      </c>
      <c r="M428" s="661">
        <v>5748</v>
      </c>
      <c r="N428" s="661">
        <v>2000</v>
      </c>
      <c r="O428" s="660"/>
      <c r="P428" s="647">
        <f t="shared" si="82"/>
        <v>0</v>
      </c>
      <c r="Q428" s="661">
        <v>5000</v>
      </c>
      <c r="R428" s="661"/>
      <c r="S428" s="662"/>
      <c r="T428" s="649" t="s">
        <v>609</v>
      </c>
      <c r="U428" s="669"/>
      <c r="V428" s="651">
        <f t="shared" si="69"/>
        <v>11571</v>
      </c>
      <c r="W428" s="652">
        <f>IF(AND(P428&lt;'[1]koment'!$F$1,N428&gt;='[1]koment'!$F$2),"Komentovat","")</f>
      </c>
      <c r="X428" s="653" t="e">
        <f>IF(W428="Komentovat",X426+1,X426)</f>
        <v>#REF!</v>
      </c>
      <c r="Y428" s="651">
        <f t="shared" si="70"/>
        <v>5600</v>
      </c>
      <c r="Z428" s="654" t="str">
        <f t="shared" si="71"/>
        <v>ORG 5086 - Zavedení služby tísňové péče pro seniory</v>
      </c>
      <c r="AA428" s="655" t="str">
        <f t="shared" si="72"/>
        <v>5600435250866121EU</v>
      </c>
      <c r="AB428" s="638"/>
      <c r="AC428" s="638"/>
      <c r="AD428" s="638"/>
      <c r="AE428" s="638"/>
      <c r="AF428" s="638"/>
    </row>
    <row r="429" spans="1:32" ht="12.75" outlineLevel="1">
      <c r="A429" s="639">
        <f t="shared" si="81"/>
        <v>427</v>
      </c>
      <c r="B429" s="658"/>
      <c r="C429" s="666" t="s">
        <v>1113</v>
      </c>
      <c r="D429" s="641"/>
      <c r="E429" s="641"/>
      <c r="F429" s="659"/>
      <c r="G429" s="642"/>
      <c r="H429" s="665"/>
      <c r="I429" s="641"/>
      <c r="J429" s="660">
        <f aca="true" t="shared" si="92" ref="J429:O429">SUBTOTAL(9,J428:J428)</f>
        <v>18740</v>
      </c>
      <c r="K429" s="660">
        <f t="shared" si="92"/>
        <v>11126</v>
      </c>
      <c r="L429" s="660">
        <f t="shared" si="92"/>
        <v>169</v>
      </c>
      <c r="M429" s="661">
        <f t="shared" si="92"/>
        <v>5748</v>
      </c>
      <c r="N429" s="661">
        <f t="shared" si="92"/>
        <v>2000</v>
      </c>
      <c r="O429" s="660">
        <f t="shared" si="92"/>
        <v>0</v>
      </c>
      <c r="P429" s="647">
        <f t="shared" si="82"/>
        <v>0</v>
      </c>
      <c r="Q429" s="661">
        <f>SUBTOTAL(9,Q428:Q428)</f>
        <v>5000</v>
      </c>
      <c r="R429" s="661">
        <f>SUBTOTAL(9,R428:R428)</f>
        <v>0</v>
      </c>
      <c r="S429" s="662">
        <f>SUBTOTAL(9,S428:S428)</f>
        <v>0</v>
      </c>
      <c r="T429" s="649"/>
      <c r="U429" s="669"/>
      <c r="V429" s="651"/>
      <c r="W429" s="652"/>
      <c r="X429" s="653"/>
      <c r="Y429" s="651" t="str">
        <f>IF($V429=0," ",IF(LEN($B429)=4,$B429*1,$B429))</f>
        <v> </v>
      </c>
      <c r="Z429" s="654">
        <f>IF($Y429=" ",0,"ORG "&amp;$D429&amp;" - "&amp;$G429)</f>
        <v>0</v>
      </c>
      <c r="AA429" s="655" t="str">
        <f>$B429&amp;LEFT($C429,4)&amp;$D429&amp;$E429&amp;$F429</f>
        <v>Celk</v>
      </c>
      <c r="AB429" s="638"/>
      <c r="AC429" s="638"/>
      <c r="AD429" s="638"/>
      <c r="AE429" s="638"/>
      <c r="AF429" s="638"/>
    </row>
    <row r="430" spans="1:32" ht="25.5" outlineLevel="2">
      <c r="A430" s="639">
        <f t="shared" si="81"/>
        <v>428</v>
      </c>
      <c r="B430" s="658" t="s">
        <v>606</v>
      </c>
      <c r="C430" s="641" t="s">
        <v>1114</v>
      </c>
      <c r="D430" s="641">
        <v>5122</v>
      </c>
      <c r="E430" s="641">
        <v>6121</v>
      </c>
      <c r="F430" s="659" t="s">
        <v>665</v>
      </c>
      <c r="G430" s="682" t="s">
        <v>1115</v>
      </c>
      <c r="H430" s="665">
        <v>2010</v>
      </c>
      <c r="I430" s="665">
        <v>2015</v>
      </c>
      <c r="J430" s="660">
        <v>51000</v>
      </c>
      <c r="K430" s="660">
        <v>39049</v>
      </c>
      <c r="L430" s="660">
        <f>216+715+865</f>
        <v>1796</v>
      </c>
      <c r="M430" s="661">
        <v>10000</v>
      </c>
      <c r="N430" s="661">
        <v>5000</v>
      </c>
      <c r="O430" s="660">
        <v>1</v>
      </c>
      <c r="P430" s="647">
        <f t="shared" si="82"/>
        <v>0.0002</v>
      </c>
      <c r="Q430" s="661">
        <v>20000</v>
      </c>
      <c r="R430" s="661"/>
      <c r="S430" s="662"/>
      <c r="T430" s="649" t="s">
        <v>609</v>
      </c>
      <c r="U430" s="669"/>
      <c r="V430" s="651">
        <f t="shared" si="69"/>
        <v>24204</v>
      </c>
      <c r="W430" s="652" t="str">
        <f>IF(AND(P430&lt;'[1]koment'!$F$1,N430&gt;='[1]koment'!$F$2),"Komentovat","")</f>
        <v>Komentovat</v>
      </c>
      <c r="X430" s="653" t="e">
        <f>IF(W430="Komentovat",X428+1,X428)</f>
        <v>#REF!</v>
      </c>
      <c r="Y430" s="651">
        <f t="shared" si="70"/>
        <v>5600</v>
      </c>
      <c r="Z430" s="654" t="str">
        <f t="shared" si="71"/>
        <v>ORG 5122 - Domov pro seniory, Foltýnova 21, Brno - odstranění bariér a zvýšení lůžkové kapacity</v>
      </c>
      <c r="AA430" s="655" t="str">
        <f t="shared" si="72"/>
        <v>5600435751226121EU</v>
      </c>
      <c r="AB430" s="638"/>
      <c r="AC430" s="638"/>
      <c r="AD430" s="638"/>
      <c r="AE430" s="638"/>
      <c r="AF430" s="638"/>
    </row>
    <row r="431" spans="1:32" ht="12.75" outlineLevel="2">
      <c r="A431" s="639">
        <f t="shared" si="81"/>
        <v>429</v>
      </c>
      <c r="B431" s="640" t="s">
        <v>1097</v>
      </c>
      <c r="C431" s="641" t="s">
        <v>1114</v>
      </c>
      <c r="D431" s="642">
        <v>30059133</v>
      </c>
      <c r="E431" s="641">
        <v>6351</v>
      </c>
      <c r="F431" s="643"/>
      <c r="G431" s="642" t="s">
        <v>1116</v>
      </c>
      <c r="H431" s="642"/>
      <c r="I431" s="642"/>
      <c r="J431" s="644"/>
      <c r="K431" s="644"/>
      <c r="L431" s="645"/>
      <c r="M431" s="646"/>
      <c r="N431" s="646">
        <v>1020</v>
      </c>
      <c r="O431" s="644">
        <v>901</v>
      </c>
      <c r="P431" s="647">
        <f t="shared" si="82"/>
        <v>0.8833333333333333</v>
      </c>
      <c r="Q431" s="646"/>
      <c r="R431" s="646"/>
      <c r="S431" s="648"/>
      <c r="T431" s="649" t="s">
        <v>1117</v>
      </c>
      <c r="U431" s="669"/>
      <c r="V431" s="651">
        <f aca="true" t="shared" si="93" ref="V431:V468">IF(LEN($D431)=4,(J431-L431-N431-Q431-R431-S431),0)</f>
        <v>0</v>
      </c>
      <c r="W431" s="652">
        <f>IF(AND(P431&lt;'[1]koment'!$F$1,N431&gt;='[1]koment'!$F$2),"Komentovat","")</f>
      </c>
      <c r="X431" s="653" t="e">
        <f aca="true" t="shared" si="94" ref="X431:X468">IF(W431="Komentovat",X430+1,X430)</f>
        <v>#REF!</v>
      </c>
      <c r="Y431" s="651" t="str">
        <f aca="true" t="shared" si="95" ref="Y431:Y468">IF($V431=0," ",IF(LEN($B431)=4,$B431*1,$B431))</f>
        <v> </v>
      </c>
      <c r="Z431" s="654">
        <f aca="true" t="shared" si="96" ref="Z431:Z468">IF($Y431=" ",0,"ORG "&amp;$D431&amp;" - "&amp;$G431)</f>
        <v>0</v>
      </c>
      <c r="AA431" s="655" t="str">
        <f aca="true" t="shared" si="97" ref="AA431:AA468">$B431&amp;LEFT($C431,4)&amp;$D431&amp;$E431&amp;$F431</f>
        <v>72004357300591336351</v>
      </c>
      <c r="AB431" s="638"/>
      <c r="AC431" s="638"/>
      <c r="AD431" s="638"/>
      <c r="AE431" s="638"/>
      <c r="AF431" s="638"/>
    </row>
    <row r="432" spans="1:32" ht="12.75" outlineLevel="1">
      <c r="A432" s="639">
        <f t="shared" si="81"/>
        <v>430</v>
      </c>
      <c r="B432" s="640"/>
      <c r="C432" s="666" t="s">
        <v>1118</v>
      </c>
      <c r="D432" s="642"/>
      <c r="E432" s="641"/>
      <c r="F432" s="643"/>
      <c r="G432" s="642"/>
      <c r="H432" s="642"/>
      <c r="I432" s="642"/>
      <c r="J432" s="644">
        <f aca="true" t="shared" si="98" ref="J432:O432">SUBTOTAL(9,J430:J431)</f>
        <v>51000</v>
      </c>
      <c r="K432" s="644">
        <f t="shared" si="98"/>
        <v>39049</v>
      </c>
      <c r="L432" s="645">
        <f t="shared" si="98"/>
        <v>1796</v>
      </c>
      <c r="M432" s="646">
        <f t="shared" si="98"/>
        <v>10000</v>
      </c>
      <c r="N432" s="646">
        <f t="shared" si="98"/>
        <v>6020</v>
      </c>
      <c r="O432" s="644">
        <f t="shared" si="98"/>
        <v>902</v>
      </c>
      <c r="P432" s="647">
        <f t="shared" si="82"/>
        <v>0.14983388704318937</v>
      </c>
      <c r="Q432" s="646">
        <f>SUBTOTAL(9,Q430:Q431)</f>
        <v>20000</v>
      </c>
      <c r="R432" s="646">
        <f>SUBTOTAL(9,R430:R431)</f>
        <v>0</v>
      </c>
      <c r="S432" s="648">
        <f>SUBTOTAL(9,S430:S431)</f>
        <v>0</v>
      </c>
      <c r="T432" s="649"/>
      <c r="U432" s="669"/>
      <c r="V432" s="651"/>
      <c r="W432" s="652"/>
      <c r="X432" s="653"/>
      <c r="Y432" s="651" t="str">
        <f>IF($V432=0," ",IF(LEN($B432)=4,$B432*1,$B432))</f>
        <v> </v>
      </c>
      <c r="Z432" s="654">
        <f>IF($Y432=" ",0,"ORG "&amp;$D432&amp;" - "&amp;$G432)</f>
        <v>0</v>
      </c>
      <c r="AA432" s="655" t="str">
        <f>$B432&amp;LEFT($C432,4)&amp;$D432&amp;$E432&amp;$F432</f>
        <v>Celk</v>
      </c>
      <c r="AB432" s="638"/>
      <c r="AC432" s="638"/>
      <c r="AD432" s="638"/>
      <c r="AE432" s="638"/>
      <c r="AF432" s="638"/>
    </row>
    <row r="433" spans="1:32" ht="12.75" outlineLevel="2">
      <c r="A433" s="639">
        <f t="shared" si="81"/>
        <v>431</v>
      </c>
      <c r="B433" s="640" t="s">
        <v>1097</v>
      </c>
      <c r="C433" s="641" t="s">
        <v>1119</v>
      </c>
      <c r="D433" s="642">
        <v>300599</v>
      </c>
      <c r="E433" s="641">
        <v>6322</v>
      </c>
      <c r="F433" s="643"/>
      <c r="G433" s="642" t="s">
        <v>1099</v>
      </c>
      <c r="H433" s="642"/>
      <c r="I433" s="642"/>
      <c r="J433" s="644"/>
      <c r="K433" s="644"/>
      <c r="L433" s="645"/>
      <c r="M433" s="646"/>
      <c r="N433" s="646">
        <v>135</v>
      </c>
      <c r="O433" s="644">
        <v>135</v>
      </c>
      <c r="P433" s="647">
        <f t="shared" si="82"/>
        <v>1</v>
      </c>
      <c r="Q433" s="646"/>
      <c r="R433" s="646"/>
      <c r="S433" s="648"/>
      <c r="T433" s="649" t="s">
        <v>1100</v>
      </c>
      <c r="U433" s="669"/>
      <c r="V433" s="651">
        <f t="shared" si="93"/>
        <v>0</v>
      </c>
      <c r="W433" s="652">
        <f>IF(AND(P433&lt;'[1]koment'!$F$1,N433&gt;='[1]koment'!$F$2),"Komentovat","")</f>
      </c>
      <c r="X433" s="653" t="e">
        <f>IF(W433="Komentovat",X431+1,X431)</f>
        <v>#REF!</v>
      </c>
      <c r="Y433" s="651" t="str">
        <f t="shared" si="95"/>
        <v> </v>
      </c>
      <c r="Z433" s="654">
        <f t="shared" si="96"/>
        <v>0</v>
      </c>
      <c r="AA433" s="655" t="str">
        <f t="shared" si="97"/>
        <v>720043593005996322</v>
      </c>
      <c r="AB433" s="638"/>
      <c r="AC433" s="638"/>
      <c r="AD433" s="638"/>
      <c r="AE433" s="638"/>
      <c r="AF433" s="638"/>
    </row>
    <row r="434" spans="1:32" ht="12.75" outlineLevel="1">
      <c r="A434" s="639">
        <f t="shared" si="81"/>
        <v>432</v>
      </c>
      <c r="B434" s="640"/>
      <c r="C434" s="666" t="s">
        <v>1120</v>
      </c>
      <c r="D434" s="642"/>
      <c r="E434" s="641"/>
      <c r="F434" s="643"/>
      <c r="G434" s="642"/>
      <c r="H434" s="642"/>
      <c r="I434" s="642"/>
      <c r="J434" s="644">
        <f aca="true" t="shared" si="99" ref="J434:O434">SUBTOTAL(9,J433:J433)</f>
        <v>0</v>
      </c>
      <c r="K434" s="644">
        <f t="shared" si="99"/>
        <v>0</v>
      </c>
      <c r="L434" s="645">
        <f t="shared" si="99"/>
        <v>0</v>
      </c>
      <c r="M434" s="646">
        <f t="shared" si="99"/>
        <v>0</v>
      </c>
      <c r="N434" s="646">
        <f t="shared" si="99"/>
        <v>135</v>
      </c>
      <c r="O434" s="644">
        <f t="shared" si="99"/>
        <v>135</v>
      </c>
      <c r="P434" s="647">
        <f t="shared" si="82"/>
        <v>1</v>
      </c>
      <c r="Q434" s="646">
        <f>SUBTOTAL(9,Q433:Q433)</f>
        <v>0</v>
      </c>
      <c r="R434" s="646">
        <f>SUBTOTAL(9,R433:R433)</f>
        <v>0</v>
      </c>
      <c r="S434" s="648">
        <f>SUBTOTAL(9,S433:S433)</f>
        <v>0</v>
      </c>
      <c r="T434" s="649"/>
      <c r="U434" s="669"/>
      <c r="V434" s="651"/>
      <c r="W434" s="652"/>
      <c r="X434" s="653"/>
      <c r="Y434" s="651" t="str">
        <f>IF($V434=0," ",IF(LEN($B434)=4,$B434*1,$B434))</f>
        <v> </v>
      </c>
      <c r="Z434" s="654">
        <f>IF($Y434=" ",0,"ORG "&amp;$D434&amp;" - "&amp;$G434)</f>
        <v>0</v>
      </c>
      <c r="AA434" s="655" t="str">
        <f>$B434&amp;LEFT($C434,4)&amp;$D434&amp;$E434&amp;$F434</f>
        <v>Celk</v>
      </c>
      <c r="AB434" s="638"/>
      <c r="AC434" s="638"/>
      <c r="AD434" s="638"/>
      <c r="AE434" s="638"/>
      <c r="AF434" s="638"/>
    </row>
    <row r="435" spans="1:32" ht="12.75" outlineLevel="2">
      <c r="A435" s="639">
        <f t="shared" si="81"/>
        <v>433</v>
      </c>
      <c r="B435" s="658" t="s">
        <v>606</v>
      </c>
      <c r="C435" s="641" t="s">
        <v>1121</v>
      </c>
      <c r="D435" s="641">
        <v>5043</v>
      </c>
      <c r="E435" s="641">
        <v>6121</v>
      </c>
      <c r="F435" s="659" t="s">
        <v>665</v>
      </c>
      <c r="G435" s="642" t="s">
        <v>1122</v>
      </c>
      <c r="H435" s="665">
        <v>2009</v>
      </c>
      <c r="I435" s="641">
        <v>2013</v>
      </c>
      <c r="J435" s="660">
        <v>13200</v>
      </c>
      <c r="K435" s="660">
        <v>10844</v>
      </c>
      <c r="L435" s="660">
        <f>441+5631+5274+12</f>
        <v>11358</v>
      </c>
      <c r="M435" s="661"/>
      <c r="N435" s="661"/>
      <c r="O435" s="660"/>
      <c r="P435" s="647" t="str">
        <f t="shared" si="82"/>
        <v> </v>
      </c>
      <c r="Q435" s="661"/>
      <c r="R435" s="661"/>
      <c r="S435" s="662"/>
      <c r="T435" s="649" t="s">
        <v>609</v>
      </c>
      <c r="U435" s="669"/>
      <c r="V435" s="651">
        <f t="shared" si="93"/>
        <v>1842</v>
      </c>
      <c r="W435" s="652">
        <f>IF(AND(P435&lt;'[1]koment'!$F$1,N435&gt;='[1]koment'!$F$2),"Komentovat","")</f>
      </c>
      <c r="X435" s="653" t="e">
        <f>IF(W435="Komentovat",X433+1,X433)</f>
        <v>#REF!</v>
      </c>
      <c r="Y435" s="651">
        <f t="shared" si="95"/>
        <v>5600</v>
      </c>
      <c r="Z435" s="654" t="str">
        <f t="shared" si="96"/>
        <v>ORG 5043 - Plácky - aktivizační centra</v>
      </c>
      <c r="AA435" s="655" t="str">
        <f t="shared" si="97"/>
        <v>5600437550436121EU</v>
      </c>
      <c r="AB435" s="638"/>
      <c r="AC435" s="638"/>
      <c r="AD435" s="638"/>
      <c r="AE435" s="638"/>
      <c r="AF435" s="638"/>
    </row>
    <row r="436" spans="1:32" ht="12.75" outlineLevel="1">
      <c r="A436" s="639">
        <f t="shared" si="81"/>
        <v>434</v>
      </c>
      <c r="B436" s="658"/>
      <c r="C436" s="666" t="s">
        <v>1123</v>
      </c>
      <c r="D436" s="641"/>
      <c r="E436" s="641"/>
      <c r="F436" s="659"/>
      <c r="G436" s="642"/>
      <c r="H436" s="665"/>
      <c r="I436" s="641"/>
      <c r="J436" s="660">
        <f aca="true" t="shared" si="100" ref="J436:O436">SUBTOTAL(9,J435:J435)</f>
        <v>13200</v>
      </c>
      <c r="K436" s="660">
        <f t="shared" si="100"/>
        <v>10844</v>
      </c>
      <c r="L436" s="660">
        <f t="shared" si="100"/>
        <v>11358</v>
      </c>
      <c r="M436" s="661">
        <f t="shared" si="100"/>
        <v>0</v>
      </c>
      <c r="N436" s="661">
        <f t="shared" si="100"/>
        <v>0</v>
      </c>
      <c r="O436" s="660">
        <f t="shared" si="100"/>
        <v>0</v>
      </c>
      <c r="P436" s="647" t="str">
        <f t="shared" si="82"/>
        <v> </v>
      </c>
      <c r="Q436" s="661">
        <f>SUBTOTAL(9,Q435:Q435)</f>
        <v>0</v>
      </c>
      <c r="R436" s="661">
        <f>SUBTOTAL(9,R435:R435)</f>
        <v>0</v>
      </c>
      <c r="S436" s="662">
        <f>SUBTOTAL(9,S435:S435)</f>
        <v>0</v>
      </c>
      <c r="T436" s="649"/>
      <c r="U436" s="669"/>
      <c r="V436" s="651"/>
      <c r="W436" s="652"/>
      <c r="X436" s="653"/>
      <c r="Y436" s="651" t="str">
        <f>IF($V436=0," ",IF(LEN($B436)=4,$B436*1,$B436))</f>
        <v> </v>
      </c>
      <c r="Z436" s="654">
        <f>IF($Y436=" ",0,"ORG "&amp;$D436&amp;" - "&amp;$G436)</f>
        <v>0</v>
      </c>
      <c r="AA436" s="655" t="str">
        <f>$B436&amp;LEFT($C436,4)&amp;$D436&amp;$E436&amp;$F436</f>
        <v>Celk</v>
      </c>
      <c r="AB436" s="638"/>
      <c r="AC436" s="638"/>
      <c r="AD436" s="638"/>
      <c r="AE436" s="638"/>
      <c r="AF436" s="638"/>
    </row>
    <row r="437" spans="1:32" ht="12.75" outlineLevel="2">
      <c r="A437" s="639">
        <f t="shared" si="81"/>
        <v>435</v>
      </c>
      <c r="B437" s="658" t="s">
        <v>1124</v>
      </c>
      <c r="C437" s="641" t="s">
        <v>1125</v>
      </c>
      <c r="D437" s="641">
        <v>2924</v>
      </c>
      <c r="E437" s="641">
        <v>6122</v>
      </c>
      <c r="F437" s="649"/>
      <c r="G437" s="642" t="s">
        <v>1126</v>
      </c>
      <c r="H437" s="641">
        <v>2012</v>
      </c>
      <c r="I437" s="641">
        <v>2015</v>
      </c>
      <c r="J437" s="660">
        <v>81964</v>
      </c>
      <c r="K437" s="660"/>
      <c r="L437" s="660">
        <f>19543+26614</f>
        <v>46157</v>
      </c>
      <c r="M437" s="661">
        <v>27291</v>
      </c>
      <c r="N437" s="661">
        <v>27291</v>
      </c>
      <c r="O437" s="660">
        <v>27278</v>
      </c>
      <c r="P437" s="647">
        <f t="shared" si="82"/>
        <v>0.9995236524861676</v>
      </c>
      <c r="Q437" s="661">
        <v>7716</v>
      </c>
      <c r="R437" s="661"/>
      <c r="S437" s="662"/>
      <c r="T437" s="649" t="s">
        <v>1127</v>
      </c>
      <c r="U437" s="669"/>
      <c r="V437" s="651">
        <f t="shared" si="93"/>
        <v>800</v>
      </c>
      <c r="W437" s="652">
        <f>IF(AND(P437&lt;'[1]koment'!$F$1,N437&gt;='[1]koment'!$F$2),"Komentovat","")</f>
      </c>
      <c r="X437" s="653" t="e">
        <f>IF(W437="Komentovat",X435+1,X435)</f>
        <v>#REF!</v>
      </c>
      <c r="Y437" s="651">
        <f t="shared" si="95"/>
        <v>8200</v>
      </c>
      <c r="Z437" s="654" t="str">
        <f t="shared" si="96"/>
        <v>ORG 2924 - Radiový systém TETRA</v>
      </c>
      <c r="AA437" s="655" t="str">
        <f t="shared" si="97"/>
        <v>8200531129246122</v>
      </c>
      <c r="AB437" s="638"/>
      <c r="AC437" s="638"/>
      <c r="AD437" s="638"/>
      <c r="AE437" s="638"/>
      <c r="AF437" s="638"/>
    </row>
    <row r="438" spans="1:32" ht="12.75" outlineLevel="2">
      <c r="A438" s="639">
        <f t="shared" si="81"/>
        <v>436</v>
      </c>
      <c r="B438" s="658" t="s">
        <v>1124</v>
      </c>
      <c r="C438" s="641" t="s">
        <v>1125</v>
      </c>
      <c r="D438" s="641">
        <v>2977</v>
      </c>
      <c r="E438" s="641">
        <v>6121</v>
      </c>
      <c r="F438" s="649">
        <v>82</v>
      </c>
      <c r="G438" s="642" t="s">
        <v>1128</v>
      </c>
      <c r="H438" s="665">
        <v>2010</v>
      </c>
      <c r="I438" s="641">
        <v>2013</v>
      </c>
      <c r="J438" s="660">
        <v>1668</v>
      </c>
      <c r="K438" s="660"/>
      <c r="L438" s="660">
        <f>81+423+614+320</f>
        <v>1438</v>
      </c>
      <c r="M438" s="661"/>
      <c r="N438" s="661">
        <v>230</v>
      </c>
      <c r="O438" s="660">
        <v>230</v>
      </c>
      <c r="P438" s="647">
        <f t="shared" si="82"/>
        <v>1</v>
      </c>
      <c r="Q438" s="661"/>
      <c r="R438" s="661"/>
      <c r="S438" s="662"/>
      <c r="T438" s="649" t="s">
        <v>1127</v>
      </c>
      <c r="U438" s="681"/>
      <c r="V438" s="651">
        <f t="shared" si="93"/>
        <v>0</v>
      </c>
      <c r="W438" s="652">
        <f>IF(AND(P438&lt;'[1]koment'!$F$1,N438&gt;='[1]koment'!$F$2),"Komentovat","")</f>
      </c>
      <c r="X438" s="653" t="e">
        <f t="shared" si="94"/>
        <v>#REF!</v>
      </c>
      <c r="Y438" s="651" t="str">
        <f t="shared" si="95"/>
        <v> </v>
      </c>
      <c r="Z438" s="654">
        <f t="shared" si="96"/>
        <v>0</v>
      </c>
      <c r="AA438" s="655" t="str">
        <f t="shared" si="97"/>
        <v>820053112977612182</v>
      </c>
      <c r="AB438" s="638"/>
      <c r="AC438" s="638"/>
      <c r="AD438" s="638"/>
      <c r="AE438" s="638"/>
      <c r="AF438" s="638"/>
    </row>
    <row r="439" spans="1:32" ht="12.75" outlineLevel="2">
      <c r="A439" s="639">
        <f t="shared" si="81"/>
        <v>437</v>
      </c>
      <c r="B439" s="658" t="s">
        <v>606</v>
      </c>
      <c r="C439" s="641" t="s">
        <v>1125</v>
      </c>
      <c r="D439" s="641">
        <v>3060</v>
      </c>
      <c r="E439" s="641">
        <v>6121</v>
      </c>
      <c r="F439" s="649"/>
      <c r="G439" s="642" t="s">
        <v>1129</v>
      </c>
      <c r="H439" s="665">
        <v>2009</v>
      </c>
      <c r="I439" s="665">
        <v>2016</v>
      </c>
      <c r="J439" s="660">
        <v>37314</v>
      </c>
      <c r="K439" s="660"/>
      <c r="L439" s="660">
        <f>1729+16985</f>
        <v>18714</v>
      </c>
      <c r="M439" s="661">
        <v>950</v>
      </c>
      <c r="N439" s="661">
        <v>150</v>
      </c>
      <c r="O439" s="660"/>
      <c r="P439" s="647">
        <f t="shared" si="82"/>
        <v>0</v>
      </c>
      <c r="Q439" s="661">
        <v>19450</v>
      </c>
      <c r="R439" s="661"/>
      <c r="S439" s="662"/>
      <c r="T439" s="649" t="s">
        <v>609</v>
      </c>
      <c r="U439" s="681"/>
      <c r="V439" s="651">
        <f t="shared" si="93"/>
        <v>-1000</v>
      </c>
      <c r="W439" s="652">
        <f>IF(AND(P439&lt;'[1]koment'!$F$1,N439&gt;='[1]koment'!$F$2),"Komentovat","")</f>
      </c>
      <c r="X439" s="653" t="e">
        <f t="shared" si="94"/>
        <v>#REF!</v>
      </c>
      <c r="Y439" s="651">
        <f t="shared" si="95"/>
        <v>5600</v>
      </c>
      <c r="Z439" s="654" t="str">
        <f t="shared" si="96"/>
        <v>ORG 3060 - Rekonstrukce objektu na služebnu MP Brno-západ</v>
      </c>
      <c r="AA439" s="655" t="str">
        <f t="shared" si="97"/>
        <v>5600531130606121</v>
      </c>
      <c r="AB439" s="638"/>
      <c r="AC439" s="638"/>
      <c r="AD439" s="638"/>
      <c r="AE439" s="638"/>
      <c r="AF439" s="638"/>
    </row>
    <row r="440" spans="1:32" ht="12.75" outlineLevel="2">
      <c r="A440" s="639">
        <f t="shared" si="81"/>
        <v>438</v>
      </c>
      <c r="B440" s="658" t="s">
        <v>1124</v>
      </c>
      <c r="C440" s="641" t="s">
        <v>1125</v>
      </c>
      <c r="D440" s="641">
        <v>300800</v>
      </c>
      <c r="E440" s="641">
        <v>6122</v>
      </c>
      <c r="F440" s="649"/>
      <c r="G440" s="642" t="s">
        <v>1130</v>
      </c>
      <c r="H440" s="641"/>
      <c r="I440" s="641"/>
      <c r="J440" s="660"/>
      <c r="K440" s="660"/>
      <c r="L440" s="660">
        <f>16197+8250+5601+3637</f>
        <v>33685</v>
      </c>
      <c r="M440" s="661">
        <v>5800</v>
      </c>
      <c r="N440" s="661">
        <v>10196</v>
      </c>
      <c r="O440" s="660">
        <v>10150</v>
      </c>
      <c r="P440" s="647">
        <f t="shared" si="82"/>
        <v>0.9954884268340526</v>
      </c>
      <c r="Q440" s="661"/>
      <c r="R440" s="661"/>
      <c r="S440" s="662"/>
      <c r="T440" s="649" t="s">
        <v>1127</v>
      </c>
      <c r="U440" s="669"/>
      <c r="V440" s="651">
        <f t="shared" si="93"/>
        <v>0</v>
      </c>
      <c r="W440" s="652">
        <f>IF(AND(P440&lt;'[1]koment'!$F$1,N440&gt;='[1]koment'!$F$2),"Komentovat","")</f>
      </c>
      <c r="X440" s="653" t="e">
        <f t="shared" si="94"/>
        <v>#REF!</v>
      </c>
      <c r="Y440" s="651" t="str">
        <f t="shared" si="95"/>
        <v> </v>
      </c>
      <c r="Z440" s="654">
        <f t="shared" si="96"/>
        <v>0</v>
      </c>
      <c r="AA440" s="655" t="str">
        <f t="shared" si="97"/>
        <v>820053113008006122</v>
      </c>
      <c r="AB440" s="638"/>
      <c r="AC440" s="638"/>
      <c r="AD440" s="638"/>
      <c r="AE440" s="638"/>
      <c r="AF440" s="638"/>
    </row>
    <row r="441" spans="1:32" ht="12.75" outlineLevel="2">
      <c r="A441" s="639">
        <f t="shared" si="81"/>
        <v>439</v>
      </c>
      <c r="B441" s="658" t="s">
        <v>1124</v>
      </c>
      <c r="C441" s="641" t="s">
        <v>1125</v>
      </c>
      <c r="D441" s="641">
        <v>300899</v>
      </c>
      <c r="E441" s="641">
        <v>6122</v>
      </c>
      <c r="F441" s="649"/>
      <c r="G441" s="642" t="s">
        <v>1131</v>
      </c>
      <c r="H441" s="641"/>
      <c r="I441" s="641"/>
      <c r="J441" s="660"/>
      <c r="K441" s="660"/>
      <c r="L441" s="660">
        <f>170</f>
        <v>170</v>
      </c>
      <c r="M441" s="661"/>
      <c r="N441" s="661"/>
      <c r="O441" s="660"/>
      <c r="P441" s="647" t="str">
        <f t="shared" si="82"/>
        <v> </v>
      </c>
      <c r="Q441" s="661"/>
      <c r="R441" s="661"/>
      <c r="S441" s="662"/>
      <c r="T441" s="649" t="s">
        <v>1127</v>
      </c>
      <c r="U441" s="669"/>
      <c r="V441" s="651">
        <f t="shared" si="93"/>
        <v>0</v>
      </c>
      <c r="W441" s="652">
        <f>IF(AND(P441&lt;'[1]koment'!$F$1,N441&gt;='[1]koment'!$F$2),"Komentovat","")</f>
      </c>
      <c r="X441" s="653" t="e">
        <f t="shared" si="94"/>
        <v>#REF!</v>
      </c>
      <c r="Y441" s="651" t="str">
        <f t="shared" si="95"/>
        <v> </v>
      </c>
      <c r="Z441" s="654">
        <f t="shared" si="96"/>
        <v>0</v>
      </c>
      <c r="AA441" s="655" t="str">
        <f t="shared" si="97"/>
        <v>820053113008996122</v>
      </c>
      <c r="AB441" s="638"/>
      <c r="AC441" s="638"/>
      <c r="AD441" s="638"/>
      <c r="AE441" s="638"/>
      <c r="AF441" s="638"/>
    </row>
    <row r="442" spans="1:32" ht="12.75" outlineLevel="1">
      <c r="A442" s="639">
        <f t="shared" si="81"/>
        <v>440</v>
      </c>
      <c r="B442" s="658"/>
      <c r="C442" s="666" t="s">
        <v>1132</v>
      </c>
      <c r="D442" s="641"/>
      <c r="E442" s="641"/>
      <c r="F442" s="649"/>
      <c r="G442" s="642"/>
      <c r="H442" s="641"/>
      <c r="I442" s="641"/>
      <c r="J442" s="660">
        <f aca="true" t="shared" si="101" ref="J442:O442">SUBTOTAL(9,J437:J441)</f>
        <v>120946</v>
      </c>
      <c r="K442" s="660">
        <f t="shared" si="101"/>
        <v>0</v>
      </c>
      <c r="L442" s="660">
        <f t="shared" si="101"/>
        <v>100164</v>
      </c>
      <c r="M442" s="661">
        <f t="shared" si="101"/>
        <v>34041</v>
      </c>
      <c r="N442" s="661">
        <f t="shared" si="101"/>
        <v>37867</v>
      </c>
      <c r="O442" s="660">
        <f t="shared" si="101"/>
        <v>37658</v>
      </c>
      <c r="P442" s="647">
        <f t="shared" si="82"/>
        <v>0.9944806823883593</v>
      </c>
      <c r="Q442" s="661">
        <f>SUBTOTAL(9,Q437:Q441)</f>
        <v>27166</v>
      </c>
      <c r="R442" s="661">
        <f>SUBTOTAL(9,R437:R441)</f>
        <v>0</v>
      </c>
      <c r="S442" s="662">
        <f>SUBTOTAL(9,S437:S441)</f>
        <v>0</v>
      </c>
      <c r="T442" s="649"/>
      <c r="U442" s="669"/>
      <c r="V442" s="651"/>
      <c r="W442" s="652"/>
      <c r="X442" s="653"/>
      <c r="Y442" s="651" t="str">
        <f>IF($V442=0," ",IF(LEN($B442)=4,$B442*1,$B442))</f>
        <v> </v>
      </c>
      <c r="Z442" s="654">
        <f>IF($Y442=" ",0,"ORG "&amp;$D442&amp;" - "&amp;$G442)</f>
        <v>0</v>
      </c>
      <c r="AA442" s="655" t="str">
        <f>$B442&amp;LEFT($C442,4)&amp;$D442&amp;$E442&amp;$F442</f>
        <v>Celk</v>
      </c>
      <c r="AB442" s="638"/>
      <c r="AC442" s="638"/>
      <c r="AD442" s="638"/>
      <c r="AE442" s="638"/>
      <c r="AF442" s="638"/>
    </row>
    <row r="443" spans="1:32" ht="12.75" outlineLevel="2">
      <c r="A443" s="639">
        <f t="shared" si="81"/>
        <v>441</v>
      </c>
      <c r="B443" s="658" t="s">
        <v>1097</v>
      </c>
      <c r="C443" s="641" t="s">
        <v>1133</v>
      </c>
      <c r="D443" s="641">
        <v>300599</v>
      </c>
      <c r="E443" s="641">
        <v>6322</v>
      </c>
      <c r="F443" s="649"/>
      <c r="G443" s="642" t="s">
        <v>1099</v>
      </c>
      <c r="H443" s="641"/>
      <c r="I443" s="641"/>
      <c r="J443" s="660"/>
      <c r="K443" s="660"/>
      <c r="L443" s="660">
        <f>150+62</f>
        <v>212</v>
      </c>
      <c r="M443" s="661"/>
      <c r="N443" s="661"/>
      <c r="O443" s="660"/>
      <c r="P443" s="647" t="str">
        <f t="shared" si="82"/>
        <v> </v>
      </c>
      <c r="Q443" s="661"/>
      <c r="R443" s="661"/>
      <c r="S443" s="662"/>
      <c r="T443" s="649" t="s">
        <v>1100</v>
      </c>
      <c r="U443" s="669"/>
      <c r="V443" s="651">
        <f t="shared" si="93"/>
        <v>0</v>
      </c>
      <c r="W443" s="652">
        <f>IF(AND(P443&lt;'[1]koment'!$F$1,N443&gt;='[1]koment'!$F$2),"Komentovat","")</f>
      </c>
      <c r="X443" s="653" t="e">
        <f>IF(W443="Komentovat",X441+1,X441)</f>
        <v>#REF!</v>
      </c>
      <c r="Y443" s="651" t="str">
        <f t="shared" si="95"/>
        <v> </v>
      </c>
      <c r="Z443" s="654">
        <f t="shared" si="96"/>
        <v>0</v>
      </c>
      <c r="AA443" s="655" t="str">
        <f t="shared" si="97"/>
        <v>720053193005996322</v>
      </c>
      <c r="AB443" s="638"/>
      <c r="AC443" s="638"/>
      <c r="AD443" s="638"/>
      <c r="AE443" s="638"/>
      <c r="AF443" s="638"/>
    </row>
    <row r="444" spans="1:32" ht="12.75" outlineLevel="2">
      <c r="A444" s="639">
        <f t="shared" si="81"/>
        <v>442</v>
      </c>
      <c r="B444" s="658" t="s">
        <v>1124</v>
      </c>
      <c r="C444" s="641" t="s">
        <v>1133</v>
      </c>
      <c r="D444" s="641">
        <v>300800</v>
      </c>
      <c r="E444" s="641">
        <v>6122</v>
      </c>
      <c r="F444" s="649">
        <v>342</v>
      </c>
      <c r="G444" s="642" t="s">
        <v>1130</v>
      </c>
      <c r="H444" s="641"/>
      <c r="I444" s="641"/>
      <c r="J444" s="660"/>
      <c r="K444" s="660"/>
      <c r="L444" s="660">
        <f>94+92</f>
        <v>186</v>
      </c>
      <c r="M444" s="661"/>
      <c r="N444" s="661"/>
      <c r="O444" s="660"/>
      <c r="P444" s="647" t="str">
        <f t="shared" si="82"/>
        <v> </v>
      </c>
      <c r="Q444" s="661"/>
      <c r="R444" s="661"/>
      <c r="S444" s="662"/>
      <c r="T444" s="649" t="s">
        <v>1127</v>
      </c>
      <c r="U444" s="669"/>
      <c r="V444" s="651">
        <f t="shared" si="93"/>
        <v>0</v>
      </c>
      <c r="W444" s="652">
        <f>IF(AND(P444&lt;'[1]koment'!$F$1,N444&gt;='[1]koment'!$F$2),"Komentovat","")</f>
      </c>
      <c r="X444" s="653" t="e">
        <f t="shared" si="94"/>
        <v>#REF!</v>
      </c>
      <c r="Y444" s="651" t="str">
        <f t="shared" si="95"/>
        <v> </v>
      </c>
      <c r="Z444" s="654">
        <f t="shared" si="96"/>
        <v>0</v>
      </c>
      <c r="AA444" s="655" t="str">
        <f t="shared" si="97"/>
        <v>820053193008006122342</v>
      </c>
      <c r="AB444" s="638"/>
      <c r="AC444" s="638"/>
      <c r="AD444" s="638"/>
      <c r="AE444" s="638"/>
      <c r="AF444" s="638"/>
    </row>
    <row r="445" spans="1:32" ht="12.75" outlineLevel="1">
      <c r="A445" s="639">
        <f t="shared" si="81"/>
        <v>443</v>
      </c>
      <c r="B445" s="658"/>
      <c r="C445" s="666" t="s">
        <v>1134</v>
      </c>
      <c r="D445" s="641"/>
      <c r="E445" s="641"/>
      <c r="F445" s="649"/>
      <c r="G445" s="642"/>
      <c r="H445" s="641"/>
      <c r="I445" s="641"/>
      <c r="J445" s="660">
        <f aca="true" t="shared" si="102" ref="J445:O445">SUBTOTAL(9,J443:J444)</f>
        <v>0</v>
      </c>
      <c r="K445" s="660">
        <f t="shared" si="102"/>
        <v>0</v>
      </c>
      <c r="L445" s="660">
        <f t="shared" si="102"/>
        <v>398</v>
      </c>
      <c r="M445" s="661">
        <f t="shared" si="102"/>
        <v>0</v>
      </c>
      <c r="N445" s="661">
        <f t="shared" si="102"/>
        <v>0</v>
      </c>
      <c r="O445" s="660">
        <f t="shared" si="102"/>
        <v>0</v>
      </c>
      <c r="P445" s="647" t="str">
        <f t="shared" si="82"/>
        <v> </v>
      </c>
      <c r="Q445" s="661">
        <f>SUBTOTAL(9,Q443:Q444)</f>
        <v>0</v>
      </c>
      <c r="R445" s="661">
        <f>SUBTOTAL(9,R443:R444)</f>
        <v>0</v>
      </c>
      <c r="S445" s="662">
        <f>SUBTOTAL(9,S443:S444)</f>
        <v>0</v>
      </c>
      <c r="T445" s="649"/>
      <c r="U445" s="669"/>
      <c r="V445" s="651"/>
      <c r="W445" s="652"/>
      <c r="X445" s="653"/>
      <c r="Y445" s="651" t="str">
        <f>IF($V445=0," ",IF(LEN($B445)=4,$B445*1,$B445))</f>
        <v> </v>
      </c>
      <c r="Z445" s="654">
        <f>IF($Y445=" ",0,"ORG "&amp;$D445&amp;" - "&amp;$G445)</f>
        <v>0</v>
      </c>
      <c r="AA445" s="655" t="str">
        <f>$B445&amp;LEFT($C445,4)&amp;$D445&amp;$E445&amp;$F445</f>
        <v>Celk</v>
      </c>
      <c r="AB445" s="638"/>
      <c r="AC445" s="638"/>
      <c r="AD445" s="638"/>
      <c r="AE445" s="638"/>
      <c r="AF445" s="638"/>
    </row>
    <row r="446" spans="1:32" ht="12.75" outlineLevel="2">
      <c r="A446" s="639">
        <f t="shared" si="81"/>
        <v>444</v>
      </c>
      <c r="B446" s="658" t="s">
        <v>606</v>
      </c>
      <c r="C446" s="641" t="s">
        <v>1135</v>
      </c>
      <c r="D446" s="641">
        <v>3090</v>
      </c>
      <c r="E446" s="641">
        <v>6121</v>
      </c>
      <c r="F446" s="649"/>
      <c r="G446" s="642" t="s">
        <v>1136</v>
      </c>
      <c r="H446" s="665">
        <v>2009</v>
      </c>
      <c r="I446" s="665">
        <v>2014</v>
      </c>
      <c r="J446" s="660">
        <v>11950</v>
      </c>
      <c r="K446" s="660"/>
      <c r="L446" s="660">
        <v>894</v>
      </c>
      <c r="M446" s="661"/>
      <c r="N446" s="661"/>
      <c r="O446" s="660"/>
      <c r="P446" s="647" t="str">
        <f t="shared" si="82"/>
        <v> </v>
      </c>
      <c r="Q446" s="661"/>
      <c r="R446" s="661"/>
      <c r="S446" s="662"/>
      <c r="T446" s="649" t="s">
        <v>609</v>
      </c>
      <c r="U446" s="669"/>
      <c r="V446" s="651">
        <f t="shared" si="93"/>
        <v>11056</v>
      </c>
      <c r="W446" s="652">
        <f>IF(AND(P446&lt;'[1]koment'!$F$1,N446&gt;='[1]koment'!$F$2),"Komentovat","")</f>
      </c>
      <c r="X446" s="653" t="e">
        <f>IF(W446="Komentovat",X444+1,X444)</f>
        <v>#REF!</v>
      </c>
      <c r="Y446" s="651">
        <f t="shared" si="95"/>
        <v>5600</v>
      </c>
      <c r="Z446" s="654" t="str">
        <f t="shared" si="96"/>
        <v>ORG 3090 - Rek. hasičské stanice MČ B-sever, Netušilova 18</v>
      </c>
      <c r="AA446" s="655" t="str">
        <f t="shared" si="97"/>
        <v>5600551230906121</v>
      </c>
      <c r="AB446" s="638"/>
      <c r="AC446" s="638"/>
      <c r="AD446" s="638"/>
      <c r="AE446" s="638"/>
      <c r="AF446" s="638"/>
    </row>
    <row r="447" spans="1:32" ht="12.75" outlineLevel="2">
      <c r="A447" s="639">
        <f t="shared" si="81"/>
        <v>445</v>
      </c>
      <c r="B447" s="658" t="s">
        <v>606</v>
      </c>
      <c r="C447" s="641" t="s">
        <v>1135</v>
      </c>
      <c r="D447" s="641">
        <v>3091</v>
      </c>
      <c r="E447" s="641">
        <v>6121</v>
      </c>
      <c r="F447" s="649"/>
      <c r="G447" s="642" t="s">
        <v>1137</v>
      </c>
      <c r="H447" s="665">
        <v>2009</v>
      </c>
      <c r="I447" s="665">
        <v>2014</v>
      </c>
      <c r="J447" s="660">
        <v>9250</v>
      </c>
      <c r="K447" s="660"/>
      <c r="L447" s="660">
        <v>848</v>
      </c>
      <c r="M447" s="661"/>
      <c r="N447" s="661"/>
      <c r="O447" s="660"/>
      <c r="P447" s="647" t="str">
        <f t="shared" si="82"/>
        <v> </v>
      </c>
      <c r="Q447" s="661"/>
      <c r="R447" s="661"/>
      <c r="S447" s="662"/>
      <c r="T447" s="649" t="s">
        <v>609</v>
      </c>
      <c r="U447" s="669"/>
      <c r="V447" s="651">
        <f t="shared" si="93"/>
        <v>8402</v>
      </c>
      <c r="W447" s="652">
        <f>IF(AND(P447&lt;'[1]koment'!$F$1,N447&gt;='[1]koment'!$F$2),"Komentovat","")</f>
      </c>
      <c r="X447" s="653" t="e">
        <f t="shared" si="94"/>
        <v>#REF!</v>
      </c>
      <c r="Y447" s="651">
        <f t="shared" si="95"/>
        <v>5600</v>
      </c>
      <c r="Z447" s="654" t="str">
        <f t="shared" si="96"/>
        <v>ORG 3091 - Stav. úpr. hasičské stanice, B-Soběšice</v>
      </c>
      <c r="AA447" s="655" t="str">
        <f t="shared" si="97"/>
        <v>5600551230916121</v>
      </c>
      <c r="AB447" s="638"/>
      <c r="AC447" s="638"/>
      <c r="AD447" s="638"/>
      <c r="AE447" s="638"/>
      <c r="AF447" s="638"/>
    </row>
    <row r="448" spans="1:32" ht="12.75" outlineLevel="1">
      <c r="A448" s="639">
        <f t="shared" si="81"/>
        <v>446</v>
      </c>
      <c r="B448" s="658"/>
      <c r="C448" s="666" t="s">
        <v>1138</v>
      </c>
      <c r="D448" s="641"/>
      <c r="E448" s="641"/>
      <c r="F448" s="649"/>
      <c r="G448" s="642"/>
      <c r="H448" s="665"/>
      <c r="I448" s="665"/>
      <c r="J448" s="660">
        <f aca="true" t="shared" si="103" ref="J448:O448">SUBTOTAL(9,J446:J447)</f>
        <v>21200</v>
      </c>
      <c r="K448" s="660">
        <f t="shared" si="103"/>
        <v>0</v>
      </c>
      <c r="L448" s="660">
        <f t="shared" si="103"/>
        <v>1742</v>
      </c>
      <c r="M448" s="661">
        <f t="shared" si="103"/>
        <v>0</v>
      </c>
      <c r="N448" s="661">
        <f t="shared" si="103"/>
        <v>0</v>
      </c>
      <c r="O448" s="660">
        <f t="shared" si="103"/>
        <v>0</v>
      </c>
      <c r="P448" s="647" t="str">
        <f t="shared" si="82"/>
        <v> </v>
      </c>
      <c r="Q448" s="661">
        <f>SUBTOTAL(9,Q446:Q447)</f>
        <v>0</v>
      </c>
      <c r="R448" s="661">
        <f>SUBTOTAL(9,R446:R447)</f>
        <v>0</v>
      </c>
      <c r="S448" s="662">
        <f>SUBTOTAL(9,S446:S447)</f>
        <v>0</v>
      </c>
      <c r="T448" s="649"/>
      <c r="U448" s="669"/>
      <c r="V448" s="651"/>
      <c r="W448" s="652"/>
      <c r="X448" s="653"/>
      <c r="Y448" s="651" t="str">
        <f>IF($V448=0," ",IF(LEN($B448)=4,$B448*1,$B448))</f>
        <v> </v>
      </c>
      <c r="Z448" s="654">
        <f>IF($Y448=" ",0,"ORG "&amp;$D448&amp;" - "&amp;$G448)</f>
        <v>0</v>
      </c>
      <c r="AA448" s="655" t="str">
        <f>$B448&amp;LEFT($C448,4)&amp;$D448&amp;$E448&amp;$F448</f>
        <v>Celk</v>
      </c>
      <c r="AB448" s="638"/>
      <c r="AC448" s="638"/>
      <c r="AD448" s="638"/>
      <c r="AE448" s="638"/>
      <c r="AF448" s="638"/>
    </row>
    <row r="449" spans="1:32" ht="12.75" outlineLevel="2">
      <c r="A449" s="639">
        <f t="shared" si="81"/>
        <v>447</v>
      </c>
      <c r="B449" s="658" t="s">
        <v>606</v>
      </c>
      <c r="C449" s="641" t="s">
        <v>1139</v>
      </c>
      <c r="D449" s="641">
        <v>2876</v>
      </c>
      <c r="E449" s="641">
        <v>6121</v>
      </c>
      <c r="F449" s="649"/>
      <c r="G449" s="642" t="s">
        <v>1140</v>
      </c>
      <c r="H449" s="665">
        <v>2013</v>
      </c>
      <c r="I449" s="665">
        <v>2016</v>
      </c>
      <c r="J449" s="660">
        <v>249900</v>
      </c>
      <c r="K449" s="660"/>
      <c r="L449" s="660"/>
      <c r="M449" s="661">
        <v>3000</v>
      </c>
      <c r="N449" s="661"/>
      <c r="O449" s="660"/>
      <c r="P449" s="647" t="str">
        <f t="shared" si="82"/>
        <v> </v>
      </c>
      <c r="Q449" s="661"/>
      <c r="R449" s="661"/>
      <c r="S449" s="662"/>
      <c r="T449" s="649" t="s">
        <v>609</v>
      </c>
      <c r="U449" s="669"/>
      <c r="V449" s="651">
        <f t="shared" si="93"/>
        <v>249900</v>
      </c>
      <c r="W449" s="652">
        <f>IF(AND(P449&lt;'[1]koment'!$F$1,N449&gt;='[1]koment'!$F$2),"Komentovat","")</f>
      </c>
      <c r="X449" s="653" t="e">
        <f>IF(W449="Komentovat",X447+1,X447)</f>
        <v>#REF!</v>
      </c>
      <c r="Y449" s="651">
        <f t="shared" si="95"/>
        <v>5600</v>
      </c>
      <c r="Z449" s="654" t="str">
        <f t="shared" si="96"/>
        <v>ORG 2876 - Rekonstrukce administrativního centra Jalta</v>
      </c>
      <c r="AA449" s="655" t="str">
        <f t="shared" si="97"/>
        <v>5600617128766121</v>
      </c>
      <c r="AB449" s="638"/>
      <c r="AC449" s="638"/>
      <c r="AD449" s="638"/>
      <c r="AE449" s="638"/>
      <c r="AF449" s="638"/>
    </row>
    <row r="450" spans="1:32" ht="12.75" outlineLevel="2">
      <c r="A450" s="639">
        <f t="shared" si="81"/>
        <v>448</v>
      </c>
      <c r="B450" s="658" t="s">
        <v>606</v>
      </c>
      <c r="C450" s="641" t="s">
        <v>1139</v>
      </c>
      <c r="D450" s="641">
        <v>3035</v>
      </c>
      <c r="E450" s="641">
        <v>6121</v>
      </c>
      <c r="F450" s="649"/>
      <c r="G450" s="642" t="s">
        <v>1141</v>
      </c>
      <c r="H450" s="665">
        <v>2010</v>
      </c>
      <c r="I450" s="641">
        <v>2013</v>
      </c>
      <c r="J450" s="660">
        <v>22900</v>
      </c>
      <c r="K450" s="660"/>
      <c r="L450" s="660">
        <f>1440+750+20208+487</f>
        <v>22885</v>
      </c>
      <c r="M450" s="661"/>
      <c r="N450" s="661"/>
      <c r="O450" s="660"/>
      <c r="P450" s="647" t="str">
        <f t="shared" si="82"/>
        <v> </v>
      </c>
      <c r="Q450" s="661"/>
      <c r="R450" s="661"/>
      <c r="S450" s="662"/>
      <c r="T450" s="649" t="s">
        <v>609</v>
      </c>
      <c r="U450" s="669"/>
      <c r="V450" s="651">
        <f t="shared" si="93"/>
        <v>15</v>
      </c>
      <c r="W450" s="652">
        <f>IF(AND(P450&lt;'[1]koment'!$F$1,N450&gt;='[1]koment'!$F$2),"Komentovat","")</f>
      </c>
      <c r="X450" s="653" t="e">
        <f t="shared" si="94"/>
        <v>#REF!</v>
      </c>
      <c r="Y450" s="651">
        <f t="shared" si="95"/>
        <v>5600</v>
      </c>
      <c r="Z450" s="654" t="str">
        <f t="shared" si="96"/>
        <v>ORG 3035 - Statické zajištění budovy Staré Radnice</v>
      </c>
      <c r="AA450" s="655" t="str">
        <f t="shared" si="97"/>
        <v>5600617130356121</v>
      </c>
      <c r="AB450" s="638"/>
      <c r="AC450" s="638"/>
      <c r="AD450" s="638"/>
      <c r="AE450" s="638"/>
      <c r="AF450" s="638"/>
    </row>
    <row r="451" spans="1:32" ht="12.75" outlineLevel="2">
      <c r="A451" s="639">
        <f t="shared" si="81"/>
        <v>449</v>
      </c>
      <c r="B451" s="658" t="s">
        <v>606</v>
      </c>
      <c r="C451" s="641" t="s">
        <v>1139</v>
      </c>
      <c r="D451" s="641">
        <v>3087</v>
      </c>
      <c r="E451" s="641">
        <v>6121</v>
      </c>
      <c r="F451" s="649"/>
      <c r="G451" s="642" t="s">
        <v>1142</v>
      </c>
      <c r="H451" s="665">
        <v>2009</v>
      </c>
      <c r="I451" s="641">
        <v>2014</v>
      </c>
      <c r="J451" s="660">
        <v>17758</v>
      </c>
      <c r="K451" s="660"/>
      <c r="L451" s="660">
        <v>4858</v>
      </c>
      <c r="M451" s="661">
        <v>10200</v>
      </c>
      <c r="N451" s="661">
        <v>200</v>
      </c>
      <c r="O451" s="660"/>
      <c r="P451" s="647">
        <f t="shared" si="82"/>
        <v>0</v>
      </c>
      <c r="Q451" s="661">
        <v>12700</v>
      </c>
      <c r="R451" s="661"/>
      <c r="S451" s="662"/>
      <c r="T451" s="649" t="s">
        <v>609</v>
      </c>
      <c r="U451" s="669"/>
      <c r="V451" s="651">
        <f t="shared" si="93"/>
        <v>0</v>
      </c>
      <c r="W451" s="652">
        <f>IF(AND(P451&lt;'[1]koment'!$F$1,N451&gt;='[1]koment'!$F$2),"Komentovat","")</f>
      </c>
      <c r="X451" s="653" t="e">
        <f t="shared" si="94"/>
        <v>#REF!</v>
      </c>
      <c r="Y451" s="651" t="str">
        <f t="shared" si="95"/>
        <v> </v>
      </c>
      <c r="Z451" s="654">
        <f t="shared" si="96"/>
        <v>0</v>
      </c>
      <c r="AA451" s="655" t="str">
        <f t="shared" si="97"/>
        <v>5600617130876121</v>
      </c>
      <c r="AB451" s="638"/>
      <c r="AC451" s="638"/>
      <c r="AD451" s="638"/>
      <c r="AE451" s="638"/>
      <c r="AF451" s="638"/>
    </row>
    <row r="452" spans="1:32" ht="12.75" outlineLevel="2">
      <c r="A452" s="639">
        <f aca="true" t="shared" si="104" ref="A452:A474">ROW()-2</f>
        <v>450</v>
      </c>
      <c r="B452" s="658" t="s">
        <v>1143</v>
      </c>
      <c r="C452" s="641" t="s">
        <v>1139</v>
      </c>
      <c r="D452" s="641">
        <v>3102</v>
      </c>
      <c r="E452" s="641">
        <v>6111</v>
      </c>
      <c r="F452" s="649"/>
      <c r="G452" s="642" t="s">
        <v>1144</v>
      </c>
      <c r="H452" s="663"/>
      <c r="I452" s="663"/>
      <c r="J452" s="660"/>
      <c r="K452" s="660"/>
      <c r="L452" s="660">
        <f>13499+13499+13500</f>
        <v>40498</v>
      </c>
      <c r="M452" s="661">
        <v>13500</v>
      </c>
      <c r="N452" s="661">
        <v>13500</v>
      </c>
      <c r="O452" s="660">
        <v>13456</v>
      </c>
      <c r="P452" s="647">
        <f aca="true" t="shared" si="105" ref="P452:P474">IF(N452&lt;=0," ",O452/N452)</f>
        <v>0.9967407407407407</v>
      </c>
      <c r="Q452" s="661">
        <v>13500</v>
      </c>
      <c r="R452" s="661"/>
      <c r="S452" s="662"/>
      <c r="T452" s="649" t="s">
        <v>1145</v>
      </c>
      <c r="U452" s="669"/>
      <c r="V452" s="651">
        <f t="shared" si="93"/>
        <v>-67498</v>
      </c>
      <c r="W452" s="652">
        <f>IF(AND(P452&lt;'[1]koment'!$F$1,N452&gt;='[1]koment'!$F$2),"Komentovat","")</f>
      </c>
      <c r="X452" s="653" t="e">
        <f t="shared" si="94"/>
        <v>#REF!</v>
      </c>
      <c r="Y452" s="651">
        <f t="shared" si="95"/>
        <v>5300</v>
      </c>
      <c r="Z452" s="654" t="str">
        <f t="shared" si="96"/>
        <v>ORG 3102 - GIS - rozvoj systému</v>
      </c>
      <c r="AA452" s="655" t="str">
        <f t="shared" si="97"/>
        <v>5300617131026111</v>
      </c>
      <c r="AB452" s="638"/>
      <c r="AC452" s="638"/>
      <c r="AD452" s="638"/>
      <c r="AE452" s="638"/>
      <c r="AF452" s="638"/>
    </row>
    <row r="453" spans="1:32" ht="12.75" outlineLevel="2">
      <c r="A453" s="639">
        <f t="shared" si="104"/>
        <v>451</v>
      </c>
      <c r="B453" s="640" t="s">
        <v>1143</v>
      </c>
      <c r="C453" s="641" t="s">
        <v>1139</v>
      </c>
      <c r="D453" s="642">
        <v>3116</v>
      </c>
      <c r="E453" s="641">
        <v>6111</v>
      </c>
      <c r="F453" s="643"/>
      <c r="G453" s="642" t="s">
        <v>1146</v>
      </c>
      <c r="H453" s="642">
        <v>2008</v>
      </c>
      <c r="I453" s="642">
        <v>2016</v>
      </c>
      <c r="J453" s="644">
        <v>40000</v>
      </c>
      <c r="K453" s="685"/>
      <c r="L453" s="645">
        <v>10850</v>
      </c>
      <c r="M453" s="646"/>
      <c r="N453" s="646">
        <v>719</v>
      </c>
      <c r="O453" s="644">
        <v>718</v>
      </c>
      <c r="P453" s="647">
        <f t="shared" si="105"/>
        <v>0.9986091794158554</v>
      </c>
      <c r="Q453" s="646"/>
      <c r="R453" s="646"/>
      <c r="S453" s="648"/>
      <c r="T453" s="649" t="s">
        <v>1145</v>
      </c>
      <c r="U453" s="669"/>
      <c r="V453" s="651">
        <f t="shared" si="93"/>
        <v>28431</v>
      </c>
      <c r="W453" s="652">
        <f>IF(AND(P453&lt;'[1]koment'!$F$1,N453&gt;='[1]koment'!$F$2),"Komentovat","")</f>
      </c>
      <c r="X453" s="653" t="e">
        <f t="shared" si="94"/>
        <v>#REF!</v>
      </c>
      <c r="Y453" s="651">
        <f t="shared" si="95"/>
        <v>5300</v>
      </c>
      <c r="Z453" s="654" t="str">
        <f t="shared" si="96"/>
        <v>ORG 3116 - Metropolitní síť města Brna</v>
      </c>
      <c r="AA453" s="655" t="str">
        <f t="shared" si="97"/>
        <v>5300617131166111</v>
      </c>
      <c r="AB453" s="638"/>
      <c r="AC453" s="638"/>
      <c r="AD453" s="638"/>
      <c r="AE453" s="638"/>
      <c r="AF453" s="638"/>
    </row>
    <row r="454" spans="1:32" ht="12.75" outlineLevel="2">
      <c r="A454" s="639">
        <f t="shared" si="104"/>
        <v>452</v>
      </c>
      <c r="B454" s="658" t="s">
        <v>195</v>
      </c>
      <c r="C454" s="641" t="s">
        <v>1139</v>
      </c>
      <c r="D454" s="641">
        <v>3282</v>
      </c>
      <c r="E454" s="641">
        <v>6121</v>
      </c>
      <c r="F454" s="649"/>
      <c r="G454" s="642" t="s">
        <v>1147</v>
      </c>
      <c r="H454" s="665">
        <v>2005</v>
      </c>
      <c r="I454" s="665">
        <v>2015</v>
      </c>
      <c r="J454" s="660">
        <v>22751</v>
      </c>
      <c r="K454" s="660"/>
      <c r="L454" s="660">
        <f>10534+3295+1449+4473</f>
        <v>19751</v>
      </c>
      <c r="M454" s="661"/>
      <c r="N454" s="661">
        <v>3000</v>
      </c>
      <c r="O454" s="660">
        <v>2985</v>
      </c>
      <c r="P454" s="647">
        <f t="shared" si="105"/>
        <v>0.995</v>
      </c>
      <c r="Q454" s="661">
        <v>2000</v>
      </c>
      <c r="R454" s="661"/>
      <c r="S454" s="662"/>
      <c r="T454" s="649" t="s">
        <v>926</v>
      </c>
      <c r="U454" s="669"/>
      <c r="V454" s="651">
        <f t="shared" si="93"/>
        <v>-2000</v>
      </c>
      <c r="W454" s="652">
        <f>IF(AND(P454&lt;'[1]koment'!$F$1,N454&gt;='[1]koment'!$F$2),"Komentovat","")</f>
      </c>
      <c r="X454" s="653" t="e">
        <f t="shared" si="94"/>
        <v>#REF!</v>
      </c>
      <c r="Y454" s="651">
        <f t="shared" si="95"/>
        <v>6600</v>
      </c>
      <c r="Z454" s="654" t="str">
        <f t="shared" si="96"/>
        <v>ORG 3282 - Technické zhodnocení objektů MMB</v>
      </c>
      <c r="AA454" s="655" t="str">
        <f t="shared" si="97"/>
        <v>6600617132826121</v>
      </c>
      <c r="AB454" s="638"/>
      <c r="AC454" s="638"/>
      <c r="AD454" s="638"/>
      <c r="AE454" s="638"/>
      <c r="AF454" s="638"/>
    </row>
    <row r="455" spans="1:32" ht="12.75" outlineLevel="2">
      <c r="A455" s="639">
        <f t="shared" si="104"/>
        <v>453</v>
      </c>
      <c r="B455" s="658" t="s">
        <v>1143</v>
      </c>
      <c r="C455" s="641" t="s">
        <v>1139</v>
      </c>
      <c r="D455" s="641">
        <v>3432</v>
      </c>
      <c r="E455" s="641">
        <v>6111</v>
      </c>
      <c r="F455" s="649"/>
      <c r="G455" s="642" t="s">
        <v>1148</v>
      </c>
      <c r="H455" s="663"/>
      <c r="I455" s="663"/>
      <c r="J455" s="660"/>
      <c r="K455" s="660"/>
      <c r="L455" s="660">
        <f>182960+18566+23472+4538</f>
        <v>229536</v>
      </c>
      <c r="M455" s="661">
        <v>13975</v>
      </c>
      <c r="N455" s="661">
        <v>9935</v>
      </c>
      <c r="O455" s="660">
        <v>4859</v>
      </c>
      <c r="P455" s="647">
        <f t="shared" si="105"/>
        <v>0.4890790135883241</v>
      </c>
      <c r="Q455" s="661">
        <v>9000</v>
      </c>
      <c r="R455" s="661"/>
      <c r="S455" s="662"/>
      <c r="T455" s="649" t="s">
        <v>1145</v>
      </c>
      <c r="U455" s="669"/>
      <c r="V455" s="651">
        <f t="shared" si="93"/>
        <v>-248471</v>
      </c>
      <c r="W455" s="652" t="str">
        <f>IF(AND(P455&lt;'[1]koment'!$F$1,N455&gt;='[1]koment'!$F$2),"Komentovat","")</f>
        <v>Komentovat</v>
      </c>
      <c r="X455" s="653" t="e">
        <f t="shared" si="94"/>
        <v>#REF!</v>
      </c>
      <c r="Y455" s="651">
        <f t="shared" si="95"/>
        <v>5300</v>
      </c>
      <c r="Z455" s="654" t="str">
        <f t="shared" si="96"/>
        <v>ORG 3432 - ISMB - agendový aplikační software</v>
      </c>
      <c r="AA455" s="655" t="str">
        <f t="shared" si="97"/>
        <v>5300617134326111</v>
      </c>
      <c r="AB455" s="638"/>
      <c r="AC455" s="638"/>
      <c r="AD455" s="638"/>
      <c r="AE455" s="638"/>
      <c r="AF455" s="638"/>
    </row>
    <row r="456" spans="1:32" ht="12.75" outlineLevel="2">
      <c r="A456" s="639">
        <f t="shared" si="104"/>
        <v>454</v>
      </c>
      <c r="B456" s="658" t="s">
        <v>1143</v>
      </c>
      <c r="C456" s="641" t="s">
        <v>1139</v>
      </c>
      <c r="D456" s="641">
        <v>3476</v>
      </c>
      <c r="E456" s="641">
        <v>6111</v>
      </c>
      <c r="F456" s="649"/>
      <c r="G456" s="642" t="s">
        <v>1149</v>
      </c>
      <c r="H456" s="663"/>
      <c r="I456" s="663"/>
      <c r="J456" s="660"/>
      <c r="K456" s="660"/>
      <c r="L456" s="660">
        <f>186000+20798+13685+18970</f>
        <v>239453</v>
      </c>
      <c r="M456" s="661">
        <v>25799</v>
      </c>
      <c r="N456" s="661">
        <v>27332</v>
      </c>
      <c r="O456" s="660">
        <v>27115</v>
      </c>
      <c r="P456" s="647">
        <f t="shared" si="105"/>
        <v>0.9920605883213816</v>
      </c>
      <c r="Q456" s="661">
        <v>33150</v>
      </c>
      <c r="R456" s="661"/>
      <c r="S456" s="662"/>
      <c r="T456" s="649" t="s">
        <v>1145</v>
      </c>
      <c r="U456" s="669"/>
      <c r="V456" s="651">
        <f t="shared" si="93"/>
        <v>-299935</v>
      </c>
      <c r="W456" s="652">
        <f>IF(AND(P456&lt;'[1]koment'!$F$1,N456&gt;='[1]koment'!$F$2),"Komentovat","")</f>
      </c>
      <c r="X456" s="653" t="e">
        <f t="shared" si="94"/>
        <v>#REF!</v>
      </c>
      <c r="Y456" s="651">
        <f t="shared" si="95"/>
        <v>5300</v>
      </c>
      <c r="Z456" s="654" t="str">
        <f t="shared" si="96"/>
        <v>ORG 3476 - OMI - informační systém</v>
      </c>
      <c r="AA456" s="655" t="str">
        <f t="shared" si="97"/>
        <v>5300617134766111</v>
      </c>
      <c r="AB456" s="638"/>
      <c r="AC456" s="638"/>
      <c r="AD456" s="638"/>
      <c r="AE456" s="638"/>
      <c r="AF456" s="638"/>
    </row>
    <row r="457" spans="1:32" ht="12.75" outlineLevel="2">
      <c r="A457" s="639">
        <f t="shared" si="104"/>
        <v>455</v>
      </c>
      <c r="B457" s="658" t="s">
        <v>1143</v>
      </c>
      <c r="C457" s="641" t="s">
        <v>1139</v>
      </c>
      <c r="D457" s="641">
        <v>5112</v>
      </c>
      <c r="E457" s="641">
        <v>6111</v>
      </c>
      <c r="F457" s="659" t="s">
        <v>665</v>
      </c>
      <c r="G457" s="642" t="s">
        <v>1150</v>
      </c>
      <c r="H457" s="665">
        <v>2010</v>
      </c>
      <c r="I457" s="665">
        <v>2014</v>
      </c>
      <c r="J457" s="660">
        <v>30685</v>
      </c>
      <c r="K457" s="660">
        <v>35229</v>
      </c>
      <c r="L457" s="660">
        <f>24956</f>
        <v>24956</v>
      </c>
      <c r="M457" s="661">
        <v>3250</v>
      </c>
      <c r="N457" s="661">
        <v>3250</v>
      </c>
      <c r="O457" s="660">
        <v>3250</v>
      </c>
      <c r="P457" s="647">
        <f t="shared" si="105"/>
        <v>1</v>
      </c>
      <c r="Q457" s="661"/>
      <c r="R457" s="661"/>
      <c r="S457" s="662"/>
      <c r="T457" s="649" t="s">
        <v>1145</v>
      </c>
      <c r="U457" s="669"/>
      <c r="V457" s="651">
        <f t="shared" si="93"/>
        <v>2479</v>
      </c>
      <c r="W457" s="652">
        <f>IF(AND(P457&lt;'[1]koment'!$F$1,N457&gt;='[1]koment'!$F$2),"Komentovat","")</f>
      </c>
      <c r="X457" s="653" t="e">
        <f t="shared" si="94"/>
        <v>#REF!</v>
      </c>
      <c r="Y457" s="651">
        <f t="shared" si="95"/>
        <v>5300</v>
      </c>
      <c r="Z457" s="654" t="str">
        <f t="shared" si="96"/>
        <v>ORG 5112 - Digitalizace archivu města Brna</v>
      </c>
      <c r="AA457" s="655" t="str">
        <f t="shared" si="97"/>
        <v>5300617151126111EU</v>
      </c>
      <c r="AB457" s="638"/>
      <c r="AC457" s="638"/>
      <c r="AD457" s="638"/>
      <c r="AE457" s="638"/>
      <c r="AF457" s="638"/>
    </row>
    <row r="458" spans="1:32" ht="12.75" outlineLevel="2">
      <c r="A458" s="639">
        <f t="shared" si="104"/>
        <v>456</v>
      </c>
      <c r="B458" s="658" t="s">
        <v>1151</v>
      </c>
      <c r="C458" s="641" t="s">
        <v>1139</v>
      </c>
      <c r="D458" s="641">
        <v>300000</v>
      </c>
      <c r="E458" s="641">
        <v>6122</v>
      </c>
      <c r="F458" s="649"/>
      <c r="G458" s="642" t="s">
        <v>1152</v>
      </c>
      <c r="H458" s="641"/>
      <c r="I458" s="641"/>
      <c r="J458" s="660"/>
      <c r="K458" s="660"/>
      <c r="L458" s="660">
        <f>1860+755+314</f>
        <v>2929</v>
      </c>
      <c r="M458" s="661">
        <v>1550</v>
      </c>
      <c r="N458" s="661">
        <v>3800</v>
      </c>
      <c r="O458" s="660">
        <v>3542</v>
      </c>
      <c r="P458" s="647">
        <f t="shared" si="105"/>
        <v>0.9321052631578948</v>
      </c>
      <c r="Q458" s="661"/>
      <c r="R458" s="661"/>
      <c r="S458" s="662"/>
      <c r="T458" s="649" t="s">
        <v>1153</v>
      </c>
      <c r="U458" s="669"/>
      <c r="V458" s="651">
        <f t="shared" si="93"/>
        <v>0</v>
      </c>
      <c r="W458" s="652">
        <f>IF(AND(P458&lt;'[1]koment'!$F$1,N458&gt;='[1]koment'!$F$2),"Komentovat","")</f>
      </c>
      <c r="X458" s="653" t="e">
        <f t="shared" si="94"/>
        <v>#REF!</v>
      </c>
      <c r="Y458" s="651" t="str">
        <f t="shared" si="95"/>
        <v> </v>
      </c>
      <c r="Z458" s="654">
        <f t="shared" si="96"/>
        <v>0</v>
      </c>
      <c r="AA458" s="655" t="str">
        <f t="shared" si="97"/>
        <v>320061713000006122</v>
      </c>
      <c r="AB458" s="638"/>
      <c r="AC458" s="638"/>
      <c r="AD458" s="638"/>
      <c r="AE458" s="638"/>
      <c r="AF458" s="638"/>
    </row>
    <row r="459" spans="1:32" ht="12.75" outlineLevel="1">
      <c r="A459" s="639">
        <f t="shared" si="104"/>
        <v>457</v>
      </c>
      <c r="B459" s="658"/>
      <c r="C459" s="666" t="s">
        <v>1154</v>
      </c>
      <c r="D459" s="641"/>
      <c r="E459" s="641"/>
      <c r="F459" s="649"/>
      <c r="G459" s="642"/>
      <c r="H459" s="641"/>
      <c r="I459" s="641"/>
      <c r="J459" s="660">
        <f aca="true" t="shared" si="106" ref="J459:O459">SUBTOTAL(9,J449:J458)</f>
        <v>383994</v>
      </c>
      <c r="K459" s="660">
        <f t="shared" si="106"/>
        <v>35229</v>
      </c>
      <c r="L459" s="660">
        <f t="shared" si="106"/>
        <v>595716</v>
      </c>
      <c r="M459" s="661">
        <f t="shared" si="106"/>
        <v>71274</v>
      </c>
      <c r="N459" s="661">
        <f t="shared" si="106"/>
        <v>61736</v>
      </c>
      <c r="O459" s="660">
        <f t="shared" si="106"/>
        <v>55925</v>
      </c>
      <c r="P459" s="647">
        <f t="shared" si="105"/>
        <v>0.9058733963975638</v>
      </c>
      <c r="Q459" s="661">
        <f>SUBTOTAL(9,Q449:Q458)</f>
        <v>70350</v>
      </c>
      <c r="R459" s="661">
        <f>SUBTOTAL(9,R449:R458)</f>
        <v>0</v>
      </c>
      <c r="S459" s="662">
        <f>SUBTOTAL(9,S449:S458)</f>
        <v>0</v>
      </c>
      <c r="T459" s="649"/>
      <c r="U459" s="669"/>
      <c r="V459" s="651"/>
      <c r="W459" s="652"/>
      <c r="X459" s="653"/>
      <c r="Y459" s="651" t="str">
        <f>IF($V459=0," ",IF(LEN($B459)=4,$B459*1,$B459))</f>
        <v> </v>
      </c>
      <c r="Z459" s="654">
        <f>IF($Y459=" ",0,"ORG "&amp;$D459&amp;" - "&amp;$G459)</f>
        <v>0</v>
      </c>
      <c r="AA459" s="655" t="str">
        <f>$B459&amp;LEFT($C459,4)&amp;$D459&amp;$E459&amp;$F459</f>
        <v>Celk</v>
      </c>
      <c r="AB459" s="638"/>
      <c r="AC459" s="638"/>
      <c r="AD459" s="638"/>
      <c r="AE459" s="638"/>
      <c r="AF459" s="638"/>
    </row>
    <row r="460" spans="1:32" ht="12.75" outlineLevel="2">
      <c r="A460" s="639">
        <f t="shared" si="104"/>
        <v>458</v>
      </c>
      <c r="B460" s="640" t="s">
        <v>195</v>
      </c>
      <c r="C460" s="641" t="s">
        <v>1155</v>
      </c>
      <c r="D460" s="642">
        <v>2776</v>
      </c>
      <c r="E460" s="641">
        <v>6121</v>
      </c>
      <c r="F460" s="643"/>
      <c r="G460" s="642" t="s">
        <v>1156</v>
      </c>
      <c r="H460" s="642">
        <v>2014</v>
      </c>
      <c r="I460" s="642">
        <v>2014</v>
      </c>
      <c r="J460" s="644">
        <v>69</v>
      </c>
      <c r="K460" s="644"/>
      <c r="L460" s="645"/>
      <c r="M460" s="646"/>
      <c r="N460" s="646">
        <v>69</v>
      </c>
      <c r="O460" s="644">
        <v>68</v>
      </c>
      <c r="P460" s="647">
        <f t="shared" si="105"/>
        <v>0.9855072463768116</v>
      </c>
      <c r="Q460" s="646"/>
      <c r="R460" s="646"/>
      <c r="S460" s="648"/>
      <c r="T460" s="649" t="s">
        <v>1157</v>
      </c>
      <c r="U460" s="669"/>
      <c r="V460" s="651">
        <f t="shared" si="93"/>
        <v>0</v>
      </c>
      <c r="W460" s="652">
        <f>IF(AND(P460&lt;'[1]koment'!$F$1,N460&gt;='[1]koment'!$F$2),"Komentovat","")</f>
      </c>
      <c r="X460" s="653" t="e">
        <f>IF(W460="Komentovat",X458+1,X458)</f>
        <v>#REF!</v>
      </c>
      <c r="Y460" s="651" t="str">
        <f t="shared" si="95"/>
        <v> </v>
      </c>
      <c r="Z460" s="654">
        <f t="shared" si="96"/>
        <v>0</v>
      </c>
      <c r="AA460" s="655" t="str">
        <f t="shared" si="97"/>
        <v>6600621127766121</v>
      </c>
      <c r="AB460" s="638"/>
      <c r="AC460" s="638"/>
      <c r="AD460" s="638"/>
      <c r="AE460" s="638"/>
      <c r="AF460" s="638"/>
    </row>
    <row r="461" spans="1:32" ht="12.75" outlineLevel="2">
      <c r="A461" s="639">
        <f t="shared" si="104"/>
        <v>459</v>
      </c>
      <c r="B461" s="658" t="s">
        <v>1158</v>
      </c>
      <c r="C461" s="641" t="s">
        <v>1155</v>
      </c>
      <c r="D461" s="641">
        <v>3074</v>
      </c>
      <c r="E461" s="641">
        <v>6129</v>
      </c>
      <c r="F461" s="649"/>
      <c r="G461" s="642" t="s">
        <v>1159</v>
      </c>
      <c r="H461" s="665">
        <v>2009</v>
      </c>
      <c r="I461" s="665">
        <v>2018</v>
      </c>
      <c r="J461" s="660">
        <v>15000</v>
      </c>
      <c r="K461" s="660"/>
      <c r="L461" s="660">
        <f>685+768+641+1023</f>
        <v>3117</v>
      </c>
      <c r="M461" s="661">
        <v>1500</v>
      </c>
      <c r="N461" s="661">
        <v>1000</v>
      </c>
      <c r="O461" s="660">
        <v>151</v>
      </c>
      <c r="P461" s="647">
        <f t="shared" si="105"/>
        <v>0.151</v>
      </c>
      <c r="Q461" s="661">
        <v>1500</v>
      </c>
      <c r="R461" s="661"/>
      <c r="S461" s="662">
        <f>1500+6906</f>
        <v>8406</v>
      </c>
      <c r="T461" s="649" t="s">
        <v>1157</v>
      </c>
      <c r="U461" s="669"/>
      <c r="V461" s="651">
        <f t="shared" si="93"/>
        <v>977</v>
      </c>
      <c r="W461" s="652">
        <f>IF(AND(P461&lt;'[1]koment'!$F$1,N461&gt;='[1]koment'!$F$2),"Komentovat","")</f>
      </c>
      <c r="X461" s="653" t="e">
        <f t="shared" si="94"/>
        <v>#REF!</v>
      </c>
      <c r="Y461" s="651">
        <f t="shared" si="95"/>
        <v>3900</v>
      </c>
      <c r="Z461" s="654" t="str">
        <f t="shared" si="96"/>
        <v>ORG 3074 - Velké dějiny města Brna</v>
      </c>
      <c r="AA461" s="655" t="str">
        <f t="shared" si="97"/>
        <v>3900621130746129</v>
      </c>
      <c r="AB461" s="638"/>
      <c r="AC461" s="638"/>
      <c r="AD461" s="638"/>
      <c r="AE461" s="638"/>
      <c r="AF461" s="638"/>
    </row>
    <row r="462" spans="1:32" ht="12.75" outlineLevel="1">
      <c r="A462" s="639">
        <f t="shared" si="104"/>
        <v>460</v>
      </c>
      <c r="B462" s="658"/>
      <c r="C462" s="666" t="s">
        <v>1160</v>
      </c>
      <c r="D462" s="641"/>
      <c r="E462" s="641"/>
      <c r="F462" s="649"/>
      <c r="G462" s="642"/>
      <c r="H462" s="665"/>
      <c r="I462" s="665"/>
      <c r="J462" s="660">
        <f aca="true" t="shared" si="107" ref="J462:O462">SUBTOTAL(9,J460:J461)</f>
        <v>15069</v>
      </c>
      <c r="K462" s="660">
        <f t="shared" si="107"/>
        <v>0</v>
      </c>
      <c r="L462" s="660">
        <f t="shared" si="107"/>
        <v>3117</v>
      </c>
      <c r="M462" s="661">
        <f t="shared" si="107"/>
        <v>1500</v>
      </c>
      <c r="N462" s="661">
        <f t="shared" si="107"/>
        <v>1069</v>
      </c>
      <c r="O462" s="660">
        <f t="shared" si="107"/>
        <v>219</v>
      </c>
      <c r="P462" s="647">
        <f t="shared" si="105"/>
        <v>0.2048643592142189</v>
      </c>
      <c r="Q462" s="661">
        <f>SUBTOTAL(9,Q460:Q461)</f>
        <v>1500</v>
      </c>
      <c r="R462" s="661">
        <f>SUBTOTAL(9,R460:R461)</f>
        <v>0</v>
      </c>
      <c r="S462" s="662">
        <f>SUBTOTAL(9,S460:S461)</f>
        <v>8406</v>
      </c>
      <c r="T462" s="649"/>
      <c r="U462" s="669"/>
      <c r="V462" s="651"/>
      <c r="W462" s="652"/>
      <c r="X462" s="653"/>
      <c r="Y462" s="651" t="str">
        <f>IF($V462=0," ",IF(LEN($B462)=4,$B462*1,$B462))</f>
        <v> </v>
      </c>
      <c r="Z462" s="654">
        <f>IF($Y462=" ",0,"ORG "&amp;$D462&amp;" - "&amp;$G462)</f>
        <v>0</v>
      </c>
      <c r="AA462" s="655" t="str">
        <f>$B462&amp;LEFT($C462,4)&amp;$D462&amp;$E462&amp;$F462</f>
        <v>Celk</v>
      </c>
      <c r="AB462" s="638"/>
      <c r="AC462" s="638"/>
      <c r="AD462" s="638"/>
      <c r="AE462" s="638"/>
      <c r="AF462" s="638"/>
    </row>
    <row r="463" spans="1:32" ht="12.75" outlineLevel="2">
      <c r="A463" s="639">
        <f t="shared" si="104"/>
        <v>461</v>
      </c>
      <c r="B463" s="658" t="s">
        <v>212</v>
      </c>
      <c r="C463" s="641" t="s">
        <v>1161</v>
      </c>
      <c r="D463" s="641">
        <v>0</v>
      </c>
      <c r="E463" s="641">
        <v>6341</v>
      </c>
      <c r="F463" s="649">
        <v>41</v>
      </c>
      <c r="G463" s="642" t="s">
        <v>1162</v>
      </c>
      <c r="H463" s="641"/>
      <c r="I463" s="641"/>
      <c r="J463" s="660"/>
      <c r="K463" s="660"/>
      <c r="L463" s="660">
        <f>71730+80796+104218</f>
        <v>256744</v>
      </c>
      <c r="M463" s="661"/>
      <c r="N463" s="661">
        <v>144903</v>
      </c>
      <c r="O463" s="660">
        <v>144903</v>
      </c>
      <c r="P463" s="647">
        <f t="shared" si="105"/>
        <v>1</v>
      </c>
      <c r="Q463" s="661"/>
      <c r="R463" s="661"/>
      <c r="S463" s="662"/>
      <c r="T463" s="649" t="s">
        <v>966</v>
      </c>
      <c r="U463" s="669"/>
      <c r="V463" s="651">
        <f t="shared" si="93"/>
        <v>0</v>
      </c>
      <c r="W463" s="652">
        <f>IF(AND(P463&lt;'[1]koment'!$F$1,N463&gt;='[1]koment'!$F$2),"Komentovat","")</f>
      </c>
      <c r="X463" s="653" t="e">
        <f>IF(W463="Komentovat",X461+1,X461)</f>
        <v>#REF!</v>
      </c>
      <c r="Y463" s="651" t="str">
        <f t="shared" si="95"/>
        <v> </v>
      </c>
      <c r="Z463" s="654">
        <f t="shared" si="96"/>
        <v>0</v>
      </c>
      <c r="AA463" s="655" t="str">
        <f t="shared" si="97"/>
        <v>170064090634141</v>
      </c>
      <c r="AB463" s="638"/>
      <c r="AC463" s="638"/>
      <c r="AD463" s="638"/>
      <c r="AE463" s="638"/>
      <c r="AF463" s="638"/>
    </row>
    <row r="464" spans="1:32" ht="12.75" outlineLevel="2">
      <c r="A464" s="639">
        <f t="shared" si="104"/>
        <v>462</v>
      </c>
      <c r="B464" s="658" t="s">
        <v>212</v>
      </c>
      <c r="C464" s="641" t="s">
        <v>1161</v>
      </c>
      <c r="D464" s="641">
        <v>0</v>
      </c>
      <c r="E464" s="641">
        <v>6441</v>
      </c>
      <c r="F464" s="649">
        <v>41</v>
      </c>
      <c r="G464" s="642" t="s">
        <v>1163</v>
      </c>
      <c r="H464" s="641"/>
      <c r="I464" s="641"/>
      <c r="J464" s="660"/>
      <c r="K464" s="660"/>
      <c r="L464" s="660">
        <f>8240</f>
        <v>8240</v>
      </c>
      <c r="M464" s="661"/>
      <c r="N464" s="661">
        <v>4900</v>
      </c>
      <c r="O464" s="660">
        <v>4900</v>
      </c>
      <c r="P464" s="647">
        <f t="shared" si="105"/>
        <v>1</v>
      </c>
      <c r="Q464" s="661"/>
      <c r="R464" s="661"/>
      <c r="S464" s="662"/>
      <c r="T464" s="649" t="s">
        <v>966</v>
      </c>
      <c r="U464" s="669"/>
      <c r="V464" s="651">
        <f t="shared" si="93"/>
        <v>0</v>
      </c>
      <c r="W464" s="652">
        <f>IF(AND(P464&lt;'[1]koment'!$F$1,N464&gt;='[1]koment'!$F$2),"Komentovat","")</f>
      </c>
      <c r="X464" s="653" t="e">
        <f t="shared" si="94"/>
        <v>#REF!</v>
      </c>
      <c r="Y464" s="651" t="str">
        <f t="shared" si="95"/>
        <v> </v>
      </c>
      <c r="Z464" s="654">
        <f t="shared" si="96"/>
        <v>0</v>
      </c>
      <c r="AA464" s="655" t="str">
        <f t="shared" si="97"/>
        <v>170064090644141</v>
      </c>
      <c r="AB464" s="638"/>
      <c r="AC464" s="638"/>
      <c r="AD464" s="638"/>
      <c r="AE464" s="638"/>
      <c r="AF464" s="638"/>
    </row>
    <row r="465" spans="1:32" ht="12.75" outlineLevel="2">
      <c r="A465" s="639">
        <f t="shared" si="104"/>
        <v>463</v>
      </c>
      <c r="B465" s="658" t="s">
        <v>212</v>
      </c>
      <c r="C465" s="641" t="s">
        <v>1161</v>
      </c>
      <c r="D465" s="641">
        <v>0</v>
      </c>
      <c r="E465" s="641">
        <v>6341</v>
      </c>
      <c r="F465" s="649"/>
      <c r="G465" s="642" t="s">
        <v>1164</v>
      </c>
      <c r="H465" s="641"/>
      <c r="I465" s="641"/>
      <c r="J465" s="660"/>
      <c r="K465" s="660"/>
      <c r="L465" s="660">
        <f>7637</f>
        <v>7637</v>
      </c>
      <c r="M465" s="661"/>
      <c r="N465" s="661">
        <v>64900</v>
      </c>
      <c r="O465" s="660">
        <v>64900</v>
      </c>
      <c r="P465" s="647">
        <f t="shared" si="105"/>
        <v>1</v>
      </c>
      <c r="Q465" s="661"/>
      <c r="R465" s="661"/>
      <c r="S465" s="662"/>
      <c r="T465" s="649" t="s">
        <v>966</v>
      </c>
      <c r="U465" s="669"/>
      <c r="V465" s="651">
        <f t="shared" si="93"/>
        <v>0</v>
      </c>
      <c r="W465" s="652">
        <f>IF(AND(P465&lt;'[1]koment'!$F$1,N465&gt;='[1]koment'!$F$2),"Komentovat","")</f>
      </c>
      <c r="X465" s="653" t="e">
        <f t="shared" si="94"/>
        <v>#REF!</v>
      </c>
      <c r="Y465" s="651" t="str">
        <f t="shared" si="95"/>
        <v> </v>
      </c>
      <c r="Z465" s="654">
        <f t="shared" si="96"/>
        <v>0</v>
      </c>
      <c r="AA465" s="655" t="str">
        <f t="shared" si="97"/>
        <v>1700640906341</v>
      </c>
      <c r="AB465" s="638"/>
      <c r="AC465" s="638"/>
      <c r="AD465" s="638"/>
      <c r="AE465" s="638"/>
      <c r="AF465" s="638"/>
    </row>
    <row r="466" spans="1:32" ht="12.75" outlineLevel="2">
      <c r="A466" s="639">
        <f t="shared" si="104"/>
        <v>464</v>
      </c>
      <c r="B466" s="640" t="s">
        <v>1028</v>
      </c>
      <c r="C466" s="641" t="s">
        <v>1161</v>
      </c>
      <c r="D466" s="642">
        <v>0</v>
      </c>
      <c r="E466" s="641">
        <v>6341</v>
      </c>
      <c r="F466" s="643"/>
      <c r="G466" s="642" t="s">
        <v>1165</v>
      </c>
      <c r="H466" s="642"/>
      <c r="I466" s="642"/>
      <c r="J466" s="644"/>
      <c r="K466" s="644"/>
      <c r="L466" s="645"/>
      <c r="M466" s="646"/>
      <c r="N466" s="646">
        <v>1062</v>
      </c>
      <c r="O466" s="644">
        <v>1062</v>
      </c>
      <c r="P466" s="647">
        <f t="shared" si="105"/>
        <v>1</v>
      </c>
      <c r="Q466" s="646"/>
      <c r="R466" s="646"/>
      <c r="S466" s="648"/>
      <c r="T466" s="649" t="s">
        <v>966</v>
      </c>
      <c r="U466" s="669"/>
      <c r="V466" s="651">
        <f t="shared" si="93"/>
        <v>0</v>
      </c>
      <c r="W466" s="652">
        <f>IF(AND(P466&lt;'[1]koment'!$F$1,N466&gt;='[1]koment'!$F$2),"Komentovat","")</f>
      </c>
      <c r="X466" s="653" t="e">
        <f t="shared" si="94"/>
        <v>#REF!</v>
      </c>
      <c r="Y466" s="651" t="str">
        <f t="shared" si="95"/>
        <v> </v>
      </c>
      <c r="Z466" s="654">
        <f t="shared" si="96"/>
        <v>0</v>
      </c>
      <c r="AA466" s="655" t="str">
        <f t="shared" si="97"/>
        <v>4200640906341</v>
      </c>
      <c r="AB466" s="638"/>
      <c r="AC466" s="638"/>
      <c r="AD466" s="638"/>
      <c r="AE466" s="638"/>
      <c r="AF466" s="638"/>
    </row>
    <row r="467" spans="1:32" ht="12.75" outlineLevel="2">
      <c r="A467" s="639">
        <f t="shared" si="104"/>
        <v>465</v>
      </c>
      <c r="B467" s="640" t="s">
        <v>889</v>
      </c>
      <c r="C467" s="641" t="s">
        <v>1161</v>
      </c>
      <c r="D467" s="642">
        <v>0</v>
      </c>
      <c r="E467" s="641">
        <v>6341</v>
      </c>
      <c r="F467" s="643">
        <v>41</v>
      </c>
      <c r="G467" s="642" t="s">
        <v>1166</v>
      </c>
      <c r="H467" s="642"/>
      <c r="I467" s="642"/>
      <c r="J467" s="644"/>
      <c r="K467" s="644"/>
      <c r="L467" s="645"/>
      <c r="M467" s="646"/>
      <c r="N467" s="646">
        <v>24613</v>
      </c>
      <c r="O467" s="644">
        <v>24613</v>
      </c>
      <c r="P467" s="647">
        <f t="shared" si="105"/>
        <v>1</v>
      </c>
      <c r="Q467" s="646"/>
      <c r="R467" s="646"/>
      <c r="S467" s="648"/>
      <c r="T467" s="649" t="s">
        <v>966</v>
      </c>
      <c r="U467" s="669"/>
      <c r="V467" s="651">
        <f t="shared" si="93"/>
        <v>0</v>
      </c>
      <c r="W467" s="652">
        <f>IF(AND(P467&lt;'[1]koment'!$F$1,N467&gt;='[1]koment'!$F$2),"Komentovat","")</f>
      </c>
      <c r="X467" s="653" t="e">
        <f t="shared" si="94"/>
        <v>#REF!</v>
      </c>
      <c r="Y467" s="651" t="str">
        <f t="shared" si="95"/>
        <v> </v>
      </c>
      <c r="Z467" s="654">
        <f t="shared" si="96"/>
        <v>0</v>
      </c>
      <c r="AA467" s="655" t="str">
        <f t="shared" si="97"/>
        <v>740064090634141</v>
      </c>
      <c r="AB467" s="638"/>
      <c r="AC467" s="638"/>
      <c r="AD467" s="638"/>
      <c r="AE467" s="638"/>
      <c r="AF467" s="638"/>
    </row>
    <row r="468" spans="1:27" ht="12.75" outlineLevel="2">
      <c r="A468" s="639">
        <f t="shared" si="104"/>
        <v>466</v>
      </c>
      <c r="B468" s="658" t="s">
        <v>889</v>
      </c>
      <c r="C468" s="641" t="s">
        <v>1161</v>
      </c>
      <c r="D468" s="641">
        <v>0</v>
      </c>
      <c r="E468" s="641">
        <v>6341</v>
      </c>
      <c r="F468" s="649"/>
      <c r="G468" s="642" t="s">
        <v>1167</v>
      </c>
      <c r="H468" s="641"/>
      <c r="I468" s="641"/>
      <c r="J468" s="660"/>
      <c r="K468" s="660"/>
      <c r="L468" s="660">
        <f>79855+1550+59597</f>
        <v>141002</v>
      </c>
      <c r="M468" s="661"/>
      <c r="N468" s="661">
        <v>51657</v>
      </c>
      <c r="O468" s="660">
        <v>50143</v>
      </c>
      <c r="P468" s="647">
        <f t="shared" si="105"/>
        <v>0.9706912906285692</v>
      </c>
      <c r="Q468" s="661"/>
      <c r="R468" s="661"/>
      <c r="S468" s="662"/>
      <c r="T468" s="649" t="s">
        <v>966</v>
      </c>
      <c r="U468" s="686"/>
      <c r="V468" s="651">
        <f t="shared" si="93"/>
        <v>0</v>
      </c>
      <c r="W468" s="652">
        <f>IF(AND(P468&lt;'[1]koment'!$F$1,N468&gt;='[1]koment'!$F$2),"Komentovat","")</f>
      </c>
      <c r="X468" s="653" t="e">
        <f t="shared" si="94"/>
        <v>#REF!</v>
      </c>
      <c r="Y468" s="651" t="str">
        <f t="shared" si="95"/>
        <v> </v>
      </c>
      <c r="Z468" s="654">
        <f t="shared" si="96"/>
        <v>0</v>
      </c>
      <c r="AA468" s="655" t="str">
        <f t="shared" si="97"/>
        <v>7400640906341</v>
      </c>
    </row>
    <row r="469" spans="1:27" ht="12.75" outlineLevel="1">
      <c r="A469" s="639">
        <f t="shared" si="104"/>
        <v>467</v>
      </c>
      <c r="B469" s="687"/>
      <c r="C469" s="688" t="s">
        <v>1168</v>
      </c>
      <c r="D469" s="689"/>
      <c r="E469" s="689"/>
      <c r="F469" s="669"/>
      <c r="G469" s="650"/>
      <c r="H469" s="689"/>
      <c r="I469" s="689"/>
      <c r="J469" s="690">
        <f aca="true" t="shared" si="108" ref="J469:O469">SUBTOTAL(9,J463:J468)</f>
        <v>0</v>
      </c>
      <c r="K469" s="690">
        <f t="shared" si="108"/>
        <v>0</v>
      </c>
      <c r="L469" s="690">
        <f t="shared" si="108"/>
        <v>413623</v>
      </c>
      <c r="M469" s="691">
        <f t="shared" si="108"/>
        <v>0</v>
      </c>
      <c r="N469" s="691">
        <f t="shared" si="108"/>
        <v>292035</v>
      </c>
      <c r="O469" s="690">
        <f t="shared" si="108"/>
        <v>290521</v>
      </c>
      <c r="P469" s="647">
        <f t="shared" si="105"/>
        <v>0.9948156899001832</v>
      </c>
      <c r="Q469" s="691">
        <f>SUBTOTAL(9,Q463:Q468)</f>
        <v>0</v>
      </c>
      <c r="R469" s="691">
        <f>SUBTOTAL(9,R463:R468)</f>
        <v>0</v>
      </c>
      <c r="S469" s="692">
        <f>SUBTOTAL(9,S463:S468)</f>
        <v>0</v>
      </c>
      <c r="T469" s="669"/>
      <c r="U469" s="686"/>
      <c r="V469" s="651"/>
      <c r="W469" s="652"/>
      <c r="X469" s="653"/>
      <c r="Y469" s="651"/>
      <c r="Z469" s="654"/>
      <c r="AA469" s="655"/>
    </row>
    <row r="470" spans="1:27" ht="12.75">
      <c r="A470" s="639">
        <f t="shared" si="104"/>
        <v>468</v>
      </c>
      <c r="B470" s="687"/>
      <c r="C470" s="688" t="s">
        <v>1169</v>
      </c>
      <c r="D470" s="689"/>
      <c r="E470" s="689"/>
      <c r="F470" s="669"/>
      <c r="G470" s="650"/>
      <c r="H470" s="689"/>
      <c r="I470" s="689"/>
      <c r="J470" s="690">
        <f aca="true" t="shared" si="109" ref="J470:O470">SUBTOTAL(9,J3:J468)</f>
        <v>31349962</v>
      </c>
      <c r="K470" s="690">
        <f t="shared" si="109"/>
        <v>2280056</v>
      </c>
      <c r="L470" s="690">
        <f t="shared" si="109"/>
        <v>8996786</v>
      </c>
      <c r="M470" s="691">
        <f t="shared" si="109"/>
        <v>2337096</v>
      </c>
      <c r="N470" s="691">
        <f t="shared" si="109"/>
        <v>2658335</v>
      </c>
      <c r="O470" s="690">
        <f t="shared" si="109"/>
        <v>2228193</v>
      </c>
      <c r="P470" s="647">
        <f t="shared" si="105"/>
        <v>0.8381911986262077</v>
      </c>
      <c r="Q470" s="691">
        <f>SUBTOTAL(9,Q3:Q468)</f>
        <v>2412947</v>
      </c>
      <c r="R470" s="691">
        <f>SUBTOTAL(9,R3:R468)</f>
        <v>1801346</v>
      </c>
      <c r="S470" s="692">
        <f>SUBTOTAL(9,S3:S468)</f>
        <v>13029233</v>
      </c>
      <c r="T470" s="669"/>
      <c r="U470" s="686"/>
      <c r="V470" s="651"/>
      <c r="W470" s="652"/>
      <c r="X470" s="653"/>
      <c r="Y470" s="651"/>
      <c r="Z470" s="654"/>
      <c r="AA470" s="655"/>
    </row>
    <row r="471" spans="2:27" ht="12.75">
      <c r="B471" s="693"/>
      <c r="C471" s="694"/>
      <c r="D471" s="694"/>
      <c r="E471" s="694"/>
      <c r="F471" s="686"/>
      <c r="G471" s="686"/>
      <c r="H471" s="694"/>
      <c r="I471" s="694"/>
      <c r="J471" s="695"/>
      <c r="K471" s="695"/>
      <c r="L471" s="695"/>
      <c r="P471" s="696"/>
      <c r="Q471" s="695"/>
      <c r="R471" s="695"/>
      <c r="S471" s="697"/>
      <c r="T471" s="686"/>
      <c r="U471" s="698"/>
      <c r="V471" s="699"/>
      <c r="W471" s="652"/>
      <c r="X471" s="653"/>
      <c r="Y471" s="651"/>
      <c r="Z471" s="699"/>
      <c r="AA471" s="699"/>
    </row>
    <row r="472" spans="2:27" ht="12.75">
      <c r="B472" s="700"/>
      <c r="C472" s="698"/>
      <c r="D472" s="701"/>
      <c r="E472" s="701"/>
      <c r="F472" s="698"/>
      <c r="G472" s="698"/>
      <c r="H472" s="701"/>
      <c r="I472" s="701"/>
      <c r="J472" s="698"/>
      <c r="K472" s="698"/>
      <c r="L472" s="698"/>
      <c r="M472" s="702"/>
      <c r="N472" s="702"/>
      <c r="O472" s="702"/>
      <c r="P472" s="703"/>
      <c r="Q472" s="698"/>
      <c r="R472" s="698"/>
      <c r="S472" s="698"/>
      <c r="T472" s="698"/>
      <c r="U472" s="698"/>
      <c r="V472" s="699"/>
      <c r="W472" s="652"/>
      <c r="X472" s="704"/>
      <c r="Y472" s="699"/>
      <c r="Z472" s="699"/>
      <c r="AA472" s="699"/>
    </row>
    <row r="473" spans="2:27" ht="12.75" customHeight="1">
      <c r="B473" s="700"/>
      <c r="G473" s="705" t="s">
        <v>1170</v>
      </c>
      <c r="H473" s="706" t="s">
        <v>245</v>
      </c>
      <c r="I473" s="706" t="s">
        <v>309</v>
      </c>
      <c r="J473" s="706" t="s">
        <v>1171</v>
      </c>
      <c r="K473" s="706" t="s">
        <v>596</v>
      </c>
      <c r="P473" s="707"/>
      <c r="Q473" s="708"/>
      <c r="R473" s="708"/>
      <c r="S473" s="709"/>
      <c r="T473" s="698"/>
      <c r="U473" s="698"/>
      <c r="V473" s="699"/>
      <c r="W473" s="652"/>
      <c r="X473" s="704"/>
      <c r="Y473" s="699"/>
      <c r="Z473" s="699"/>
      <c r="AA473" s="699"/>
    </row>
    <row r="474" spans="2:27" ht="12.75">
      <c r="B474" s="700"/>
      <c r="G474" s="698"/>
      <c r="H474" s="698"/>
      <c r="I474" s="698"/>
      <c r="J474" s="698"/>
      <c r="K474" s="698"/>
      <c r="M474" s="695"/>
      <c r="N474" s="695"/>
      <c r="O474" s="695"/>
      <c r="P474" s="707"/>
      <c r="Q474" s="698"/>
      <c r="R474" s="698"/>
      <c r="S474" s="698"/>
      <c r="T474" s="698"/>
      <c r="W474" s="652"/>
      <c r="Z474" s="699"/>
      <c r="AA474" s="699"/>
    </row>
    <row r="475" spans="2:27" ht="12.75">
      <c r="B475" s="700"/>
      <c r="G475" s="698" t="s">
        <v>1172</v>
      </c>
      <c r="H475" s="710">
        <f>SUBTOTAL(9,M$3:M$471)-H476-H477-H478-H479</f>
        <v>958805</v>
      </c>
      <c r="I475" s="710">
        <f>SUBTOTAL(9,N$3:N$471)-I476-I477-I478-I479</f>
        <v>1150734</v>
      </c>
      <c r="J475" s="710">
        <f>SUBTOTAL(9,O$3:O$471)-J476-J477-J478-J479</f>
        <v>1032675</v>
      </c>
      <c r="K475" s="711">
        <f aca="true" t="shared" si="110" ref="K475:K480">IF(I475&lt;=0," ",J475/I475)</f>
        <v>0.897405482066229</v>
      </c>
      <c r="M475" s="712"/>
      <c r="N475" s="712"/>
      <c r="O475" s="713"/>
      <c r="P475" s="714"/>
      <c r="Q475" s="712"/>
      <c r="R475" s="712"/>
      <c r="S475" s="712"/>
      <c r="T475" s="712"/>
      <c r="W475" s="652"/>
      <c r="Z475" s="699"/>
      <c r="AA475" s="699"/>
    </row>
    <row r="476" spans="2:23" ht="12.75">
      <c r="B476" s="700"/>
      <c r="G476" s="698" t="s">
        <v>1173</v>
      </c>
      <c r="H476" s="710">
        <f>_xlfn.SUMIFS(M$3:M$471,($F$3:$F$471),49)</f>
        <v>492000</v>
      </c>
      <c r="I476" s="710">
        <f>_xlfn.SUMIFS(N$3:N$471,($F$3:$F$471),49)</f>
        <v>492000</v>
      </c>
      <c r="J476" s="710">
        <f>_xlfn.SUMIFS(O$3:O$471,($F$3:$F$471),49)</f>
        <v>296840</v>
      </c>
      <c r="K476" s="711">
        <f t="shared" si="110"/>
        <v>0.6033333333333334</v>
      </c>
      <c r="M476" s="712"/>
      <c r="N476" s="712"/>
      <c r="O476" s="713"/>
      <c r="P476" s="714"/>
      <c r="Q476" s="712"/>
      <c r="R476" s="712"/>
      <c r="S476" s="712"/>
      <c r="T476" s="712"/>
      <c r="W476" s="652"/>
    </row>
    <row r="477" spans="2:27" ht="12.75">
      <c r="B477" s="700"/>
      <c r="G477" s="698" t="s">
        <v>1174</v>
      </c>
      <c r="H477" s="321">
        <f>_xlfn.SUMIFS($M$3:$M$471,$D$3:$D$471,"&gt;5000",$D$3:$D$471,"&lt;=5999")</f>
        <v>429630</v>
      </c>
      <c r="I477" s="321">
        <f>_xlfn.SUMIFS($N$3:$N$471,$D$3:$D$471,"&gt;5000",$D$3:$D$471,"&lt;=5999")</f>
        <v>704095</v>
      </c>
      <c r="J477" s="321">
        <f>_xlfn.SUMIFS($O$3:$O$471,$D$3:$D$471,"&gt;5000",$D$3:$D$471,"&lt;=5999")</f>
        <v>614335</v>
      </c>
      <c r="K477" s="711">
        <f t="shared" si="110"/>
        <v>0.8725172029342632</v>
      </c>
      <c r="M477" s="712"/>
      <c r="N477" s="712"/>
      <c r="O477" s="715"/>
      <c r="P477" s="716"/>
      <c r="Q477" s="712"/>
      <c r="R477" s="712"/>
      <c r="S477" s="712"/>
      <c r="T477" s="712"/>
      <c r="W477" s="652"/>
      <c r="Z477" s="699"/>
      <c r="AA477" s="699"/>
    </row>
    <row r="478" spans="2:27" ht="12.75">
      <c r="B478" s="700"/>
      <c r="G478" s="698" t="s">
        <v>1175</v>
      </c>
      <c r="H478" s="697">
        <f>_xlfn.SUMIFS(M$3:M$471,($F$3:$F$471),40)</f>
        <v>0</v>
      </c>
      <c r="I478" s="710">
        <f>_xlfn.SUMIFS(N$3:N$471,($F$3:$F$471),40)</f>
        <v>14835</v>
      </c>
      <c r="J478" s="710">
        <f>_xlfn.SUMIFS(O$3:O$471,($F$3:$F$471),40)</f>
        <v>7090</v>
      </c>
      <c r="K478" s="711">
        <f t="shared" si="110"/>
        <v>0.47792382878328277</v>
      </c>
      <c r="M478" s="712"/>
      <c r="N478" s="712"/>
      <c r="O478" s="713"/>
      <c r="P478" s="714"/>
      <c r="Q478" s="712"/>
      <c r="R478" s="712"/>
      <c r="S478" s="712"/>
      <c r="T478" s="712"/>
      <c r="W478" s="652"/>
      <c r="Z478" s="699"/>
      <c r="AA478" s="699"/>
    </row>
    <row r="479" spans="2:27" ht="12.75">
      <c r="B479" s="700"/>
      <c r="G479" s="686" t="s">
        <v>1176</v>
      </c>
      <c r="H479" s="697">
        <f>_xlfn.SUMIFS(M$3:M$471,($F$3:$F$471),41)</f>
        <v>456661</v>
      </c>
      <c r="I479" s="697">
        <f>_xlfn.SUMIFS(N$3:N$471,($F$3:$F$471),41)</f>
        <v>296671</v>
      </c>
      <c r="J479" s="697">
        <f>_xlfn.SUMIFS(O$3:O$471,($F$3:$F$471),41)</f>
        <v>277253</v>
      </c>
      <c r="K479" s="711">
        <f t="shared" si="110"/>
        <v>0.9345470234704437</v>
      </c>
      <c r="M479" s="717"/>
      <c r="N479" s="717"/>
      <c r="O479" s="713"/>
      <c r="P479" s="714"/>
      <c r="Q479" s="712"/>
      <c r="R479" s="712"/>
      <c r="S479" s="712"/>
      <c r="T479" s="712"/>
      <c r="W479" s="699"/>
      <c r="Z479" s="699"/>
      <c r="AA479" s="699"/>
    </row>
    <row r="480" spans="2:20" ht="12.75">
      <c r="B480" s="700"/>
      <c r="G480" s="718" t="s">
        <v>1177</v>
      </c>
      <c r="H480" s="719">
        <f>SUM(H475:H479)</f>
        <v>2337096</v>
      </c>
      <c r="I480" s="719">
        <f>SUM(I475:I479)</f>
        <v>2658335</v>
      </c>
      <c r="J480" s="719">
        <f>SUM(J475:J479)</f>
        <v>2228193</v>
      </c>
      <c r="K480" s="720">
        <f t="shared" si="110"/>
        <v>0.8381911986262077</v>
      </c>
      <c r="M480" s="713"/>
      <c r="N480" s="713"/>
      <c r="O480" s="713"/>
      <c r="P480" s="714"/>
      <c r="Q480" s="712"/>
      <c r="R480" s="712"/>
      <c r="S480" s="712"/>
      <c r="T480" s="712"/>
    </row>
    <row r="481" ht="12.75">
      <c r="P481" s="707"/>
    </row>
    <row r="482" ht="12.75">
      <c r="P482" s="707"/>
    </row>
    <row r="483" ht="12.75">
      <c r="P483" s="707"/>
    </row>
    <row r="484" ht="12.75">
      <c r="P484" s="707"/>
    </row>
    <row r="485" ht="12.75">
      <c r="P485" s="707"/>
    </row>
    <row r="486" ht="12.75">
      <c r="P486" s="707"/>
    </row>
    <row r="487" ht="12.75">
      <c r="P487" s="707"/>
    </row>
    <row r="488" ht="12.75">
      <c r="P488" s="707"/>
    </row>
    <row r="489" ht="12.75">
      <c r="P489" s="707"/>
    </row>
    <row r="490" ht="12.75">
      <c r="P490" s="707"/>
    </row>
    <row r="491" ht="12.75">
      <c r="P491" s="707"/>
    </row>
    <row r="492" ht="12.75">
      <c r="P492" s="707"/>
    </row>
    <row r="493" ht="12.75">
      <c r="P493" s="707"/>
    </row>
    <row r="494" ht="12.75">
      <c r="P494" s="707"/>
    </row>
    <row r="495" ht="12.75">
      <c r="P495" s="707"/>
    </row>
    <row r="496" ht="12.75">
      <c r="P496" s="707"/>
    </row>
    <row r="497" ht="12.75">
      <c r="P497" s="707"/>
    </row>
    <row r="498" ht="12.75">
      <c r="P498" s="707"/>
    </row>
    <row r="499" ht="12.75">
      <c r="P499" s="707"/>
    </row>
    <row r="500" ht="12.75">
      <c r="P500" s="707"/>
    </row>
    <row r="501" ht="12.75">
      <c r="P501" s="707"/>
    </row>
    <row r="502" ht="12.75">
      <c r="P502" s="707"/>
    </row>
    <row r="503" ht="12.75">
      <c r="P503" s="707"/>
    </row>
    <row r="504" ht="12.75">
      <c r="P504" s="707"/>
    </row>
    <row r="505" ht="12.75">
      <c r="P505" s="707"/>
    </row>
    <row r="506" ht="12.75">
      <c r="P506" s="707"/>
    </row>
    <row r="507" ht="12.75">
      <c r="P507" s="707"/>
    </row>
    <row r="508" ht="12.75">
      <c r="P508" s="707"/>
    </row>
    <row r="509" ht="12.75">
      <c r="P509" s="707"/>
    </row>
    <row r="510" ht="12.75">
      <c r="P510" s="707"/>
    </row>
    <row r="511" ht="12.75">
      <c r="P511" s="707"/>
    </row>
    <row r="512" ht="12.75">
      <c r="P512" s="707"/>
    </row>
    <row r="513" ht="12.75">
      <c r="P513" s="707"/>
    </row>
    <row r="514" ht="12.75">
      <c r="P514" s="707"/>
    </row>
    <row r="515" ht="12.75">
      <c r="P515" s="707"/>
    </row>
    <row r="516" ht="12.75">
      <c r="P516" s="707"/>
    </row>
    <row r="517" ht="12.75">
      <c r="P517" s="707"/>
    </row>
    <row r="518" ht="12.75">
      <c r="P518" s="707"/>
    </row>
    <row r="519" ht="12.75">
      <c r="P519" s="707"/>
    </row>
    <row r="520" ht="12.75">
      <c r="P520" s="707"/>
    </row>
    <row r="521" ht="12.75">
      <c r="P521" s="707"/>
    </row>
    <row r="522" ht="12.75">
      <c r="P522" s="707"/>
    </row>
    <row r="523" ht="12.75">
      <c r="P523" s="707"/>
    </row>
    <row r="524" ht="12.75">
      <c r="P524" s="707"/>
    </row>
    <row r="525" ht="12.75">
      <c r="P525" s="707"/>
    </row>
    <row r="526" ht="12.75">
      <c r="P526" s="707"/>
    </row>
    <row r="527" ht="12.75">
      <c r="P527" s="707"/>
    </row>
    <row r="528" ht="12.75">
      <c r="P528" s="707"/>
    </row>
    <row r="529" ht="12.75">
      <c r="P529" s="707"/>
    </row>
    <row r="530" ht="12.75">
      <c r="P530" s="707"/>
    </row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</sheetData>
  <sheetProtection/>
  <conditionalFormatting sqref="H116:J289 H3:O6 G3:G21 H7:J113 H290:O470 K7:O289 G24:G470 B3:F470 P3:T470">
    <cfRule type="expression" priority="7" dxfId="8">
      <formula>LEFT($C3,7)="Celkový"</formula>
    </cfRule>
    <cfRule type="expression" priority="8" dxfId="9">
      <formula>LEFT($C3,6)="Celkem"</formula>
    </cfRule>
  </conditionalFormatting>
  <conditionalFormatting sqref="C26 B307:J307">
    <cfRule type="expression" priority="5" dxfId="10">
      <formula>LEFT($C26,7)="Celkový"</formula>
    </cfRule>
    <cfRule type="expression" priority="6" dxfId="11">
      <formula>LEFT($C26,6)="Celkem"</formula>
    </cfRule>
  </conditionalFormatting>
  <conditionalFormatting sqref="G26">
    <cfRule type="expression" priority="3" dxfId="10">
      <formula>LEFT($C26,7)="Celkový"</formula>
    </cfRule>
    <cfRule type="expression" priority="4" dxfId="11">
      <formula>LEFT($C26,6)="Celkem"</formula>
    </cfRule>
  </conditionalFormatting>
  <conditionalFormatting sqref="G22:G23">
    <cfRule type="expression" priority="1" dxfId="8">
      <formula>LEFT($C22,7)="Celkový"</formula>
    </cfRule>
    <cfRule type="expression" priority="2" dxfId="9">
      <formula>LEFT($C22,6)="Celkem"</formula>
    </cfRule>
  </conditionalFormatting>
  <printOptions/>
  <pageMargins left="0.7086614173228347" right="0.7086614173228347" top="0.7874015748031497" bottom="0.7874015748031497" header="0.3937007874015748" footer="0.31496062992125984"/>
  <pageSetup horizontalDpi="600" verticalDpi="600" orientation="landscape" paperSize="9" scale="74" r:id="rId4"/>
  <headerFooter>
    <oddHeader>&amp;C&amp;"Times New Roman,Tučné"&amp;14Čerpání rozpočtu kapitálových výdajů města k 31.12.2014 - závazný plán (v tis. Kč)</oddHeader>
  </headerFooter>
  <colBreaks count="1" manualBreakCount="1">
    <brk id="20" max="65535" man="1"/>
  </colBreak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Jiri Trnecka</cp:lastModifiedBy>
  <cp:lastPrinted>2015-05-26T08:14:10Z</cp:lastPrinted>
  <dcterms:created xsi:type="dcterms:W3CDTF">2001-09-17T09:09:31Z</dcterms:created>
  <dcterms:modified xsi:type="dcterms:W3CDTF">2015-05-26T08:14:13Z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K6F56YJ4D42X-540-474</vt:lpwstr>
  </property>
  <property fmtid="{D5CDD505-2E9C-101B-9397-08002B2CF9AE}" pid="3" name="_dlc_DocIdItemGuid">
    <vt:lpwstr>72f7dba8-643f-461d-8831-54197b81d6de</vt:lpwstr>
  </property>
  <property fmtid="{D5CDD505-2E9C-101B-9397-08002B2CF9AE}" pid="4" name="_dlc_DocIdUrl">
    <vt:lpwstr>http://project.brno.cz/ORF/RI/_layouts/DocIdRedir.aspx?ID=K6F56YJ4D42X-540-474, K6F56YJ4D42X-540-474</vt:lpwstr>
  </property>
  <property fmtid="{D5CDD505-2E9C-101B-9397-08002B2CF9AE}" pid="5" name="Rok">
    <vt:lpwstr>3</vt:lpwstr>
  </property>
  <property fmtid="{D5CDD505-2E9C-101B-9397-08002B2CF9AE}" pid="6" name="Plnění rozpočtu">
    <vt:lpwstr>4</vt:lpwstr>
  </property>
</Properties>
</file>