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0" yWindow="0" windowWidth="28800" windowHeight="12195"/>
  </bookViews>
  <sheets>
    <sheet name="FRR, FKŠ" sheetId="19" r:id="rId1"/>
    <sheet name="FRB" sheetId="27" r:id="rId2"/>
    <sheet name="FBV" sheetId="28" r:id="rId3"/>
    <sheet name="FKEP" sheetId="29" r:id="rId4"/>
    <sheet name="SF" sheetId="30" r:id="rId5"/>
    <sheet name="VS MP" sheetId="31" r:id="rId6"/>
    <sheet name="Souhrn" sheetId="14" state="hidden" r:id="rId7"/>
    <sheet name="FKŠ Kč" sheetId="8" state="hidden" r:id="rId8"/>
    <sheet name="FRR Kč" sheetId="7" state="hidden" r:id="rId9"/>
    <sheet name="FV2013" sheetId="25" state="hidden" r:id="rId10"/>
    <sheet name="236" sheetId="23" state="hidden" r:id="rId11"/>
    <sheet name="231" sheetId="26" state="hidden" r:id="rId12"/>
    <sheet name="419" sheetId="24" state="hidden" r:id="rId13"/>
  </sheets>
  <externalReferences>
    <externalReference r:id="rId14"/>
    <externalReference r:id="rId15"/>
    <externalReference r:id="rId16"/>
  </externalReferences>
  <definedNames>
    <definedName name="__x000d_">#REF!</definedName>
    <definedName name="_1_" localSheetId="5">#REF!</definedName>
    <definedName name="_1_">#REF!</definedName>
    <definedName name="_xlnm._FilterDatabase" localSheetId="3" hidden="1">FKEP!$A$1:$A$205</definedName>
    <definedName name="_xlnm._FilterDatabase" localSheetId="4">#REF!</definedName>
    <definedName name="_xlnm._FilterDatabase" localSheetId="5">#REF!</definedName>
    <definedName name="_xlnm._FilterDatabase">#REF!</definedName>
    <definedName name="_Order1" hidden="1">255</definedName>
    <definedName name="_xlnm.Print_Titles" localSheetId="3">FKEP!$1:$3</definedName>
    <definedName name="_xlnm.Print_Area" localSheetId="2">FBV!$A$2:$H$73</definedName>
    <definedName name="_xlnm.Print_Area" localSheetId="3">FKEP!$A$1:$G$146</definedName>
    <definedName name="_xlnm.Print_Area" localSheetId="7">'FKŠ Kč'!$A$1:$E$18</definedName>
    <definedName name="_xlnm.Print_Area" localSheetId="1">FRB!$A$1:$I$41</definedName>
    <definedName name="_xlnm.Print_Area" localSheetId="8">'FRR Kč'!$A$1:$E$23</definedName>
    <definedName name="_xlnm.Print_Area" localSheetId="0">'FRR, FKŠ'!$A$1:$D$51</definedName>
    <definedName name="_xlnm.Print_Area" localSheetId="9">'FV2013'!$A$1:$C$20</definedName>
    <definedName name="_xlnm.Print_Area" localSheetId="4">SF!$A$1:$F$48</definedName>
    <definedName name="_xlnm.Print_Area" localSheetId="6">Souhrn!$A$1:$E$51</definedName>
    <definedName name="_xlnm.Print_Area" localSheetId="5">'VS MP'!$A$1:$D$13</definedName>
    <definedName name="Print_Area" localSheetId="4">#REF!</definedName>
    <definedName name="Print_Area" localSheetId="5">#REF!</definedName>
    <definedName name="Print_Area">#REF!</definedName>
    <definedName name="Print_Titles" localSheetId="4">#REF!</definedName>
    <definedName name="Print_Titles" localSheetId="5">#REF!</definedName>
    <definedName name="Print_Titles">#REF!</definedName>
  </definedNames>
  <calcPr calcId="152511"/>
</workbook>
</file>

<file path=xl/calcChain.xml><?xml version="1.0" encoding="utf-8"?>
<calcChain xmlns="http://schemas.openxmlformats.org/spreadsheetml/2006/main">
  <c r="C11" i="31" l="1"/>
  <c r="B11" i="31"/>
  <c r="D9" i="31"/>
  <c r="C9" i="31"/>
  <c r="B9" i="31"/>
  <c r="D5" i="31"/>
  <c r="D11" i="31" s="1"/>
  <c r="C5" i="31"/>
  <c r="B5" i="31"/>
  <c r="F35" i="30"/>
  <c r="E35" i="30"/>
  <c r="E32" i="30" s="1"/>
  <c r="E22" i="30" s="1"/>
  <c r="E16" i="30" s="1"/>
  <c r="F32" i="30"/>
  <c r="F22" i="30" s="1"/>
  <c r="F16" i="30" s="1"/>
  <c r="D32" i="30"/>
  <c r="C32" i="30"/>
  <c r="B32" i="30"/>
  <c r="B22" i="30" s="1"/>
  <c r="B16" i="30" s="1"/>
  <c r="F23" i="30"/>
  <c r="E23" i="30"/>
  <c r="D23" i="30"/>
  <c r="C23" i="30"/>
  <c r="C22" i="30" s="1"/>
  <c r="C16" i="30" s="1"/>
  <c r="C42" i="30" s="1"/>
  <c r="B23" i="30"/>
  <c r="D22" i="30"/>
  <c r="D16" i="30" s="1"/>
  <c r="D42" i="30" s="1"/>
  <c r="F18" i="30"/>
  <c r="E18" i="30"/>
  <c r="D18" i="30"/>
  <c r="C18" i="30"/>
  <c r="B13" i="30"/>
  <c r="B4" i="30" s="1"/>
  <c r="F11" i="30"/>
  <c r="E11" i="30"/>
  <c r="F4" i="30"/>
  <c r="F42" i="30" s="1"/>
  <c r="F46" i="30" s="1"/>
  <c r="E4" i="30"/>
  <c r="D4" i="30"/>
  <c r="C4" i="30"/>
  <c r="E42" i="30" l="1"/>
  <c r="F47" i="30" s="1"/>
  <c r="F48" i="30" s="1"/>
  <c r="B42" i="30"/>
  <c r="G148" i="29" l="1"/>
  <c r="H146" i="29"/>
  <c r="G146" i="29"/>
  <c r="H144" i="29"/>
  <c r="G144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G119" i="29"/>
  <c r="H119" i="29" s="1"/>
  <c r="F119" i="29"/>
  <c r="H118" i="29"/>
  <c r="H117" i="29"/>
  <c r="H116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4" i="29" s="1"/>
  <c r="H95" i="29"/>
  <c r="F94" i="29"/>
  <c r="E94" i="29"/>
  <c r="D94" i="29"/>
  <c r="C94" i="29"/>
  <c r="H92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F61" i="29"/>
  <c r="H60" i="29"/>
  <c r="H59" i="29"/>
  <c r="H58" i="29"/>
  <c r="H57" i="29"/>
  <c r="F57" i="29"/>
  <c r="F17" i="29" s="1"/>
  <c r="F15" i="29" s="1"/>
  <c r="F140" i="29" s="1"/>
  <c r="H56" i="29"/>
  <c r="H55" i="29"/>
  <c r="F55" i="29"/>
  <c r="H54" i="29"/>
  <c r="H53" i="29"/>
  <c r="H52" i="29"/>
  <c r="H51" i="29"/>
  <c r="H50" i="29"/>
  <c r="H49" i="29"/>
  <c r="H48" i="29"/>
  <c r="H47" i="29"/>
  <c r="H46" i="29"/>
  <c r="G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F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7" i="29" s="1"/>
  <c r="H15" i="29" s="1"/>
  <c r="G20" i="29"/>
  <c r="H19" i="29"/>
  <c r="H18" i="29"/>
  <c r="G17" i="29"/>
  <c r="E17" i="29"/>
  <c r="E15" i="29" s="1"/>
  <c r="D17" i="29"/>
  <c r="D15" i="29" s="1"/>
  <c r="D140" i="29" s="1"/>
  <c r="C17" i="29"/>
  <c r="C15" i="29"/>
  <c r="E9" i="29"/>
  <c r="D9" i="29"/>
  <c r="G4" i="29"/>
  <c r="F4" i="29"/>
  <c r="E4" i="29"/>
  <c r="E140" i="29" s="1"/>
  <c r="D4" i="29"/>
  <c r="C4" i="29"/>
  <c r="C140" i="29" s="1"/>
  <c r="H63" i="28"/>
  <c r="G63" i="28"/>
  <c r="F63" i="28"/>
  <c r="E63" i="28"/>
  <c r="D63" i="28"/>
  <c r="H62" i="28"/>
  <c r="G62" i="28"/>
  <c r="F62" i="28"/>
  <c r="E62" i="28"/>
  <c r="D62" i="28"/>
  <c r="H61" i="28"/>
  <c r="G61" i="28"/>
  <c r="F61" i="28"/>
  <c r="E61" i="28"/>
  <c r="D61" i="28"/>
  <c r="F60" i="28"/>
  <c r="E60" i="28"/>
  <c r="C60" i="28"/>
  <c r="H59" i="28"/>
  <c r="G59" i="28"/>
  <c r="G44" i="28" s="1"/>
  <c r="F59" i="28"/>
  <c r="E59" i="28"/>
  <c r="D59" i="28"/>
  <c r="C59" i="28"/>
  <c r="C44" i="28" s="1"/>
  <c r="H58" i="28"/>
  <c r="G58" i="28"/>
  <c r="F58" i="28"/>
  <c r="E58" i="28"/>
  <c r="D58" i="28"/>
  <c r="C58" i="28"/>
  <c r="F57" i="28"/>
  <c r="E57" i="28"/>
  <c r="D57" i="28"/>
  <c r="H56" i="28"/>
  <c r="G56" i="28"/>
  <c r="F56" i="28"/>
  <c r="E56" i="28"/>
  <c r="D56" i="28"/>
  <c r="C56" i="28"/>
  <c r="D55" i="28"/>
  <c r="C55" i="28"/>
  <c r="H54" i="28"/>
  <c r="G54" i="28"/>
  <c r="F54" i="28"/>
  <c r="E54" i="28"/>
  <c r="D54" i="28"/>
  <c r="C54" i="28"/>
  <c r="D53" i="28"/>
  <c r="C53" i="28"/>
  <c r="H52" i="28"/>
  <c r="G52" i="28"/>
  <c r="F52" i="28"/>
  <c r="E52" i="28"/>
  <c r="D52" i="28"/>
  <c r="C52" i="28"/>
  <c r="H51" i="28"/>
  <c r="G51" i="28"/>
  <c r="F51" i="28"/>
  <c r="E51" i="28"/>
  <c r="D51" i="28"/>
  <c r="C51" i="28"/>
  <c r="H50" i="28"/>
  <c r="G50" i="28"/>
  <c r="F50" i="28"/>
  <c r="E50" i="28"/>
  <c r="D50" i="28"/>
  <c r="C50" i="28"/>
  <c r="H49" i="28"/>
  <c r="G49" i="28"/>
  <c r="F49" i="28"/>
  <c r="E49" i="28"/>
  <c r="D49" i="28"/>
  <c r="C49" i="28"/>
  <c r="D48" i="28"/>
  <c r="C48" i="28"/>
  <c r="H47" i="28"/>
  <c r="G47" i="28"/>
  <c r="F47" i="28"/>
  <c r="E47" i="28"/>
  <c r="D47" i="28"/>
  <c r="C47" i="28"/>
  <c r="H46" i="28"/>
  <c r="G46" i="28"/>
  <c r="F46" i="28"/>
  <c r="E46" i="28"/>
  <c r="D46" i="28"/>
  <c r="C46" i="28"/>
  <c r="H45" i="28"/>
  <c r="H44" i="28" s="1"/>
  <c r="G45" i="28"/>
  <c r="F45" i="28"/>
  <c r="E45" i="28"/>
  <c r="E44" i="28" s="1"/>
  <c r="D45" i="28"/>
  <c r="D44" i="28" s="1"/>
  <c r="C45" i="28"/>
  <c r="F44" i="28"/>
  <c r="H42" i="28"/>
  <c r="G42" i="28"/>
  <c r="F42" i="28"/>
  <c r="E42" i="28"/>
  <c r="D42" i="28"/>
  <c r="H41" i="28"/>
  <c r="G41" i="28"/>
  <c r="F41" i="28"/>
  <c r="E41" i="28"/>
  <c r="D41" i="28"/>
  <c r="G40" i="28"/>
  <c r="E40" i="28"/>
  <c r="D40" i="28"/>
  <c r="C39" i="28"/>
  <c r="H38" i="28"/>
  <c r="G38" i="28"/>
  <c r="F38" i="28"/>
  <c r="E38" i="28"/>
  <c r="D38" i="28"/>
  <c r="D37" i="28"/>
  <c r="C37" i="28"/>
  <c r="C36" i="28"/>
  <c r="H35" i="28"/>
  <c r="G35" i="28"/>
  <c r="F35" i="28"/>
  <c r="E35" i="28"/>
  <c r="D35" i="28"/>
  <c r="C35" i="28"/>
  <c r="H34" i="28"/>
  <c r="G34" i="28"/>
  <c r="F34" i="28"/>
  <c r="E34" i="28"/>
  <c r="D34" i="28"/>
  <c r="C34" i="28"/>
  <c r="H33" i="28"/>
  <c r="G33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H30" i="28"/>
  <c r="G30" i="28"/>
  <c r="F30" i="28"/>
  <c r="E30" i="28"/>
  <c r="D30" i="28"/>
  <c r="C30" i="28"/>
  <c r="H29" i="28"/>
  <c r="G29" i="28"/>
  <c r="F29" i="28"/>
  <c r="E29" i="28"/>
  <c r="D29" i="28"/>
  <c r="C29" i="28"/>
  <c r="H28" i="28"/>
  <c r="H20" i="28" s="1"/>
  <c r="G28" i="28"/>
  <c r="F28" i="28"/>
  <c r="E28" i="28"/>
  <c r="D28" i="28"/>
  <c r="D20" i="28" s="1"/>
  <c r="C28" i="28"/>
  <c r="H27" i="28"/>
  <c r="G27" i="28"/>
  <c r="F27" i="28"/>
  <c r="E27" i="28"/>
  <c r="D27" i="28"/>
  <c r="F26" i="28"/>
  <c r="E26" i="28"/>
  <c r="D26" i="28"/>
  <c r="C25" i="28"/>
  <c r="H24" i="28"/>
  <c r="G24" i="28"/>
  <c r="F24" i="28"/>
  <c r="E24" i="28"/>
  <c r="D24" i="28"/>
  <c r="C24" i="28"/>
  <c r="H23" i="28"/>
  <c r="G23" i="28"/>
  <c r="F23" i="28"/>
  <c r="F20" i="28" s="1"/>
  <c r="F18" i="28" s="1"/>
  <c r="E23" i="28"/>
  <c r="E20" i="28" s="1"/>
  <c r="E18" i="28" s="1"/>
  <c r="D23" i="28"/>
  <c r="C23" i="28"/>
  <c r="H22" i="28"/>
  <c r="G22" i="28"/>
  <c r="F22" i="28"/>
  <c r="E22" i="28"/>
  <c r="D22" i="28"/>
  <c r="C22" i="28"/>
  <c r="D21" i="28"/>
  <c r="C21" i="28"/>
  <c r="G20" i="28"/>
  <c r="C20" i="28"/>
  <c r="H17" i="28"/>
  <c r="G17" i="28"/>
  <c r="F17" i="28"/>
  <c r="E17" i="28"/>
  <c r="D17" i="28"/>
  <c r="G16" i="28"/>
  <c r="E16" i="28"/>
  <c r="D16" i="28"/>
  <c r="C16" i="28"/>
  <c r="H15" i="28"/>
  <c r="G15" i="28"/>
  <c r="F15" i="28"/>
  <c r="E15" i="28"/>
  <c r="H14" i="28"/>
  <c r="G14" i="28"/>
  <c r="F14" i="28"/>
  <c r="E14" i="28"/>
  <c r="D14" i="28"/>
  <c r="C14" i="28"/>
  <c r="H13" i="28"/>
  <c r="G13" i="28"/>
  <c r="F13" i="28"/>
  <c r="E13" i="28"/>
  <c r="D13" i="28"/>
  <c r="C13" i="28"/>
  <c r="F12" i="28"/>
  <c r="E12" i="28"/>
  <c r="H11" i="28"/>
  <c r="G11" i="28"/>
  <c r="F11" i="28"/>
  <c r="E11" i="28"/>
  <c r="D11" i="28"/>
  <c r="C11" i="28"/>
  <c r="G10" i="28"/>
  <c r="E10" i="28"/>
  <c r="D10" i="28"/>
  <c r="C10" i="28"/>
  <c r="D9" i="28"/>
  <c r="C9" i="28"/>
  <c r="H8" i="28"/>
  <c r="G8" i="28"/>
  <c r="F8" i="28"/>
  <c r="E8" i="28"/>
  <c r="D8" i="28"/>
  <c r="H7" i="28"/>
  <c r="G7" i="28"/>
  <c r="F7" i="28"/>
  <c r="E7" i="28"/>
  <c r="D7" i="28"/>
  <c r="H6" i="28"/>
  <c r="H4" i="28" s="1"/>
  <c r="G6" i="28"/>
  <c r="F6" i="28"/>
  <c r="E6" i="28"/>
  <c r="D6" i="28"/>
  <c r="D4" i="28" s="1"/>
  <c r="H5" i="28"/>
  <c r="G5" i="28"/>
  <c r="F5" i="28"/>
  <c r="F4" i="28" s="1"/>
  <c r="F64" i="28" s="1"/>
  <c r="E5" i="28"/>
  <c r="E4" i="28" s="1"/>
  <c r="E64" i="28" s="1"/>
  <c r="D5" i="28"/>
  <c r="C5" i="28"/>
  <c r="G4" i="28"/>
  <c r="C4" i="28"/>
  <c r="G140" i="29" l="1"/>
  <c r="G94" i="29"/>
  <c r="G15" i="29" s="1"/>
  <c r="C64" i="28"/>
  <c r="C18" i="28"/>
  <c r="D18" i="28"/>
  <c r="D64" i="28" s="1"/>
  <c r="H18" i="28"/>
  <c r="H64" i="28" s="1"/>
  <c r="G18" i="28"/>
  <c r="G64" i="28" s="1"/>
  <c r="H69" i="28" l="1"/>
  <c r="H73" i="28" s="1"/>
  <c r="H70" i="28"/>
  <c r="I40" i="27" l="1"/>
  <c r="I39" i="27"/>
  <c r="I38" i="27"/>
  <c r="H38" i="27"/>
  <c r="G38" i="27"/>
  <c r="F38" i="27"/>
  <c r="E38" i="27"/>
  <c r="D38" i="27"/>
  <c r="C38" i="27"/>
  <c r="B38" i="27"/>
  <c r="I37" i="27"/>
  <c r="I36" i="27"/>
  <c r="I35" i="27" s="1"/>
  <c r="H35" i="27"/>
  <c r="G35" i="27"/>
  <c r="F35" i="27"/>
  <c r="E35" i="27"/>
  <c r="D35" i="27"/>
  <c r="C35" i="27"/>
  <c r="B35" i="27"/>
  <c r="I18" i="27"/>
  <c r="G18" i="27"/>
  <c r="E18" i="27"/>
  <c r="C18" i="27"/>
  <c r="I13" i="27"/>
  <c r="G13" i="27"/>
  <c r="E13" i="27"/>
  <c r="C13" i="27"/>
  <c r="C11" i="27" s="1"/>
  <c r="I11" i="27"/>
  <c r="G11" i="27"/>
  <c r="E11" i="27"/>
  <c r="I4" i="27"/>
  <c r="I25" i="27" s="1"/>
  <c r="G4" i="27"/>
  <c r="G25" i="27" s="1"/>
  <c r="E4" i="27"/>
  <c r="E25" i="27" s="1"/>
  <c r="C4" i="27"/>
  <c r="C25" i="27" l="1"/>
  <c r="A36" i="19" l="1"/>
  <c r="D36" i="19" l="1"/>
  <c r="C36" i="19"/>
  <c r="E14" i="7"/>
  <c r="D14" i="7"/>
  <c r="C43" i="25" l="1"/>
  <c r="B43" i="25"/>
  <c r="E30" i="14" l="1"/>
  <c r="D30" i="14"/>
  <c r="A35" i="19"/>
  <c r="B35" i="19"/>
  <c r="D35" i="19"/>
  <c r="B36" i="14"/>
  <c r="C36" i="14"/>
  <c r="D36" i="14"/>
  <c r="E36" i="14"/>
  <c r="B37" i="14"/>
  <c r="C37" i="14"/>
  <c r="D37" i="14"/>
  <c r="E37" i="14"/>
  <c r="B38" i="14"/>
  <c r="C38" i="14"/>
  <c r="D38" i="14"/>
  <c r="E38" i="14"/>
  <c r="B39" i="14"/>
  <c r="C39" i="14"/>
  <c r="D39" i="14"/>
  <c r="E39" i="14"/>
  <c r="A36" i="14"/>
  <c r="A37" i="14"/>
  <c r="A38" i="14"/>
  <c r="A39" i="14"/>
  <c r="A35" i="14"/>
  <c r="B35" i="14"/>
  <c r="D35" i="14"/>
  <c r="E35" i="14"/>
  <c r="C35" i="14"/>
  <c r="C35" i="19"/>
  <c r="E7" i="7" l="1"/>
  <c r="D7" i="7"/>
  <c r="Q78" i="24"/>
  <c r="R89" i="23"/>
  <c r="R31" i="26" l="1"/>
  <c r="S31" i="26"/>
  <c r="Q31" i="26"/>
  <c r="S89" i="23" l="1"/>
  <c r="E15" i="7" l="1"/>
  <c r="E6" i="7"/>
  <c r="G6" i="14" s="1"/>
  <c r="G12" i="14"/>
  <c r="F12" i="14"/>
  <c r="F6" i="14"/>
  <c r="R78" i="24"/>
  <c r="S78" i="24"/>
  <c r="D6" i="7"/>
  <c r="D15" i="7"/>
  <c r="Q89" i="23"/>
  <c r="F14" i="25" l="1"/>
  <c r="F13" i="25"/>
  <c r="E4" i="25"/>
  <c r="C13" i="25"/>
  <c r="C13" i="7"/>
  <c r="C6" i="7"/>
  <c r="H15" i="7" l="1"/>
  <c r="H13" i="7"/>
  <c r="F14" i="7"/>
  <c r="F8" i="7"/>
  <c r="F9" i="7"/>
  <c r="F10" i="7"/>
  <c r="F7" i="7"/>
  <c r="F6" i="7"/>
  <c r="J16" i="25"/>
  <c r="J10" i="25"/>
  <c r="J11" i="25"/>
  <c r="J5" i="25"/>
  <c r="I14" i="25"/>
  <c r="F4" i="7" l="1"/>
  <c r="B34" i="25"/>
  <c r="H9" i="25" l="1"/>
  <c r="J9" i="25" s="1"/>
  <c r="H8" i="25"/>
  <c r="J8" i="25" s="1"/>
  <c r="H6" i="25"/>
  <c r="E14" i="25"/>
  <c r="E16" i="25"/>
  <c r="E9" i="25"/>
  <c r="E10" i="25"/>
  <c r="E11" i="25"/>
  <c r="D12" i="25"/>
  <c r="E5" i="25"/>
  <c r="C22" i="25"/>
  <c r="N30" i="25"/>
  <c r="C21" i="25"/>
  <c r="I36" i="25"/>
  <c r="R23" i="25"/>
  <c r="F36" i="25"/>
  <c r="H14" i="25" s="1"/>
  <c r="J14" i="25" s="1"/>
  <c r="F35" i="25"/>
  <c r="H7" i="25" s="1"/>
  <c r="J7" i="25" s="1"/>
  <c r="R16" i="25"/>
  <c r="R18" i="25" s="1"/>
  <c r="I32" i="25"/>
  <c r="I31" i="25"/>
  <c r="I29" i="25"/>
  <c r="R12" i="25"/>
  <c r="N12" i="25"/>
  <c r="F28" i="25"/>
  <c r="F27" i="25"/>
  <c r="C12" i="25"/>
  <c r="B12" i="25"/>
  <c r="F26" i="25"/>
  <c r="F25" i="25"/>
  <c r="R7" i="25"/>
  <c r="I23" i="25"/>
  <c r="I26" i="25" s="1"/>
  <c r="F8" i="25"/>
  <c r="E8" i="25" s="1"/>
  <c r="F22" i="25"/>
  <c r="N5" i="25"/>
  <c r="N4" i="25"/>
  <c r="C4" i="25"/>
  <c r="B4" i="25"/>
  <c r="Q93" i="23"/>
  <c r="G6" i="25" l="1"/>
  <c r="J6" i="25" s="1"/>
  <c r="C25" i="25"/>
  <c r="B17" i="25"/>
  <c r="F32" i="25"/>
  <c r="C17" i="25"/>
  <c r="I33" i="25"/>
  <c r="R25" i="25"/>
  <c r="R26" i="25" s="1"/>
  <c r="N8" i="25"/>
  <c r="N18" i="25" s="1"/>
  <c r="N20" i="25" s="1"/>
  <c r="N25" i="25" s="1"/>
  <c r="N31" i="25" s="1"/>
  <c r="N32" i="25" s="1"/>
  <c r="D4" i="25"/>
  <c r="D17" i="25" s="1"/>
  <c r="C31" i="19"/>
  <c r="D30" i="19"/>
  <c r="D31" i="14"/>
  <c r="D31" i="19" s="1"/>
  <c r="E31" i="14"/>
  <c r="C30" i="14"/>
  <c r="C30" i="19" s="1"/>
  <c r="C31" i="14"/>
  <c r="B31" i="14"/>
  <c r="B31" i="19" s="1"/>
  <c r="B30" i="14"/>
  <c r="B30" i="19" s="1"/>
  <c r="D34" i="19"/>
  <c r="C34" i="19"/>
  <c r="B34" i="19"/>
  <c r="E34" i="14"/>
  <c r="D34" i="14"/>
  <c r="C34" i="14"/>
  <c r="C9" i="8"/>
  <c r="E9" i="8"/>
  <c r="D9" i="8"/>
  <c r="D12" i="19"/>
  <c r="D13" i="19"/>
  <c r="D6" i="19"/>
  <c r="D7" i="19"/>
  <c r="D8" i="19"/>
  <c r="D9" i="19"/>
  <c r="D5" i="19"/>
  <c r="D4" i="14"/>
  <c r="G7" i="14"/>
  <c r="G8" i="14"/>
  <c r="G9" i="14"/>
  <c r="G13" i="14"/>
  <c r="H13" i="25" l="1"/>
  <c r="J13" i="25" s="1"/>
  <c r="F6" i="25"/>
  <c r="E6" i="25" s="1"/>
  <c r="E13" i="25"/>
  <c r="E12" i="25" s="1"/>
  <c r="E5" i="7"/>
  <c r="G5" i="14" s="1"/>
  <c r="D5" i="7"/>
  <c r="F5" i="14" s="1"/>
  <c r="F4" i="25" l="1"/>
  <c r="F9" i="14"/>
  <c r="F7" i="14"/>
  <c r="F8" i="14"/>
  <c r="F13" i="7"/>
  <c r="F15" i="7"/>
  <c r="F13" i="14" s="1"/>
  <c r="F12" i="7" l="1"/>
  <c r="F17" i="7" s="1"/>
  <c r="B13" i="19" l="1"/>
  <c r="C13" i="19"/>
  <c r="C12" i="19"/>
  <c r="B12" i="19"/>
  <c r="B6" i="19"/>
  <c r="C6" i="19"/>
  <c r="B7" i="19"/>
  <c r="C7" i="19"/>
  <c r="B8" i="19"/>
  <c r="C8" i="19"/>
  <c r="B9" i="19"/>
  <c r="C9" i="19"/>
  <c r="C5" i="19"/>
  <c r="B5" i="19"/>
  <c r="D29" i="19"/>
  <c r="D40" i="19" s="1"/>
  <c r="C29" i="19"/>
  <c r="C40" i="19" s="1"/>
  <c r="B29" i="19"/>
  <c r="B40" i="19" s="1"/>
  <c r="D11" i="19"/>
  <c r="B11" i="19"/>
  <c r="D4" i="19"/>
  <c r="B4" i="19" l="1"/>
  <c r="B15" i="19" s="1"/>
  <c r="C4" i="19"/>
  <c r="C11" i="19"/>
  <c r="D15" i="19"/>
  <c r="D11" i="14"/>
  <c r="E11" i="14"/>
  <c r="C11" i="14"/>
  <c r="C15" i="19" l="1"/>
  <c r="B11" i="14" l="1"/>
  <c r="C4" i="14"/>
  <c r="C15" i="14" s="1"/>
  <c r="B12" i="7"/>
  <c r="C12" i="7"/>
  <c r="D12" i="7"/>
  <c r="F11" i="14" s="1"/>
  <c r="E12" i="7"/>
  <c r="G11" i="14" s="1"/>
  <c r="B4" i="7"/>
  <c r="B17" i="7" s="1"/>
  <c r="E29" i="14"/>
  <c r="E40" i="14" s="1"/>
  <c r="D29" i="14"/>
  <c r="D40" i="14" s="1"/>
  <c r="C29" i="14"/>
  <c r="C40" i="14" s="1"/>
  <c r="B29" i="14"/>
  <c r="B40" i="14" s="1"/>
  <c r="B4" i="14"/>
  <c r="D15" i="14"/>
  <c r="E4" i="14"/>
  <c r="E15" i="14" s="1"/>
  <c r="D4" i="7"/>
  <c r="F4" i="14" s="1"/>
  <c r="E4" i="7"/>
  <c r="G4" i="14" s="1"/>
  <c r="D4" i="8"/>
  <c r="D16" i="8" s="1"/>
  <c r="C4" i="7"/>
  <c r="B4" i="8"/>
  <c r="B16" i="8" s="1"/>
  <c r="C4" i="8"/>
  <c r="C16" i="8" s="1"/>
  <c r="E4" i="8"/>
  <c r="E16" i="8" s="1"/>
  <c r="B15" i="14" l="1"/>
  <c r="E17" i="7"/>
  <c r="G15" i="14" s="1"/>
  <c r="D17" i="7"/>
  <c r="F15" i="14" s="1"/>
  <c r="C17" i="7"/>
  <c r="F15" i="25"/>
  <c r="F12" i="25" s="1"/>
  <c r="F17" i="25" s="1"/>
  <c r="H15" i="25"/>
  <c r="J15" i="25" s="1"/>
  <c r="E15" i="25" l="1"/>
  <c r="E17" i="25" s="1"/>
  <c r="J4" i="25"/>
  <c r="J12" i="25"/>
  <c r="J17" i="25" l="1"/>
</calcChain>
</file>

<file path=xl/comments1.xml><?xml version="1.0" encoding="utf-8"?>
<comments xmlns="http://schemas.openxmlformats.org/spreadsheetml/2006/main">
  <authors>
    <author>Jiri Trnecka</author>
    <author>Pavla Motlickova</author>
  </authors>
  <commentList>
    <comment ref="I9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+1</t>
        </r>
      </text>
    </comment>
    <comment ref="A19" authorId="1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změna názvu z provozních zápůjček na neivestiční (v NR 2015)</t>
        </r>
      </text>
    </comment>
  </commentList>
</comments>
</file>

<file path=xl/comments2.xml><?xml version="1.0" encoding="utf-8"?>
<comments xmlns="http://schemas.openxmlformats.org/spreadsheetml/2006/main">
  <authors>
    <author>Pavla Motlickova</author>
  </authors>
  <commentList>
    <comment ref="E15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nový statut
</t>
        </r>
      </text>
    </comment>
    <comment ref="D65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rozdíl mezi PS - KS = 8115 (UR 2014), tzn. 1915021 tis.Kč-1670 249 tis. Kč= 244772 tis. Kč</t>
        </r>
      </text>
    </comment>
  </commentList>
</comments>
</file>

<file path=xl/comments3.xml><?xml version="1.0" encoding="utf-8"?>
<comments xmlns="http://schemas.openxmlformats.org/spreadsheetml/2006/main">
  <authors>
    <author>Michaela Kozohorska</author>
    <author>klimesoh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p. 2420 ORJ 4100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Starez §3421 p. 2324 SU 231.131
3 415 300,
2 126,10
Masarykova universita §3299 p. 2324 SU 231.161
515 597,82
200 000,00
-76 000,- (vratka)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26 073 634,60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vazba na FBV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vazba na FBV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231.0058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1609,6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231.74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231.144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41 635 364,85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40 632 856,88-14224,80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1 002 507,97
rozdíl je tvořen z částky
Kč 14 224,80 při převodu z BU FKEP použit chybný ORG 5023 patří 5119
a 1 016 732,77 DPH DUZP 12/2014, fa KDF 145601184 zaplacena v 12/2014, DPH odvedeno 1/2015, 23.1. 2015 provedena dotace projektového účtu z BU FKEP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231.71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11 336 505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11336,5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231.131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231.105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 xml:space="preserve">444 529,26 DPH placeno 1/2014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231.63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231.49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231.32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61 851,- KDF dobropis na projektový BÚ, převod na 236.240 minusem 4139/5345 bez ORG
10 000,- poukaz příjmový, postup jako u předchozí platby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231.33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231.34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13 654 455,82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13 716 409,23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61 953,41
projektový účet byl zadotován více o tuto částku, při vrácení na BU FKEP bylo účtováno na MD  6330 5345 bez ORG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231.24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231.104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231.108
zůstatek k 31. 12. 24,66, úroky za 12/2014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součet běžných a investičních
8 084 441,144</t>
        </r>
      </text>
    </comment>
    <comment ref="H31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DPH DUZP 12/13, odvod leden </t>
        </r>
        <r>
          <rPr>
            <sz val="11"/>
            <color indexed="81"/>
            <rFont val="Tahoma"/>
            <family val="2"/>
            <charset val="238"/>
          </rPr>
          <t xml:space="preserve">234 233,23
</t>
        </r>
        <r>
          <rPr>
            <sz val="9"/>
            <color indexed="81"/>
            <rFont val="Tahoma"/>
            <family val="2"/>
            <charset val="238"/>
          </rPr>
          <t>DPH DUZP 3/14 dodatečné daňové přiznání, odvod 7/14</t>
        </r>
        <r>
          <rPr>
            <sz val="11"/>
            <color indexed="81"/>
            <rFont val="Tahoma"/>
            <family val="2"/>
            <charset val="238"/>
          </rPr>
          <t xml:space="preserve"> 1 323 552,63</t>
        </r>
        <r>
          <rPr>
            <sz val="9"/>
            <color indexed="81"/>
            <rFont val="Tahoma"/>
            <family val="2"/>
            <charset val="238"/>
          </rPr>
          <t xml:space="preserve">
fa přeevidována do roku 2015 v celkové výši 
6 302 631,58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231.107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231.109 stav k 31. 12. 0,40
KDF 145601143 41 414,-
PRE 1402860     41 414,40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27 342 952,10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26 266 362,12 - 3160,- vratka do FKEP, účtováno bez ORG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 rozdíl 1 079 750,38
složen 8 696,94 DPH DUZP 12/2014
1 071 053,44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231.125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231.152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231.128 stav k 31. 12. 0,05, připsané úroky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23 158 600,39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23 153 672,60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rozdíl 4 927,79 je složen z částky 14 224,80 - při převodu z BU FKEP použit chybný ORG 5023 patří 50119 a 9 297,01 - převod na úhradu RCH proveden vyšší, vraáceno na BU FKEP zápisem MD 6330 5345 bez ORG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231.153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231.138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508,20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231.139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231.142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231.169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rozdíl 407 068,30
DPH RCH DUZP 12/2014
KDF 145601160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231.091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231.79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k 31. 12. 2014 Kč 90,00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774 195,11
DPH RCH 12/2013, převod v lednu 2014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231.140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231.155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součet P a I
1 660 936,08</t>
        </r>
      </text>
    </comment>
    <comment ref="H46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363 470,52</t>
        </r>
        <r>
          <rPr>
            <sz val="9"/>
            <color indexed="81"/>
            <rFont val="Tahoma"/>
            <family val="2"/>
            <charset val="238"/>
          </rPr>
          <t xml:space="preserve">
č. d. 414047 21. 1. 2014
DPH RCH 12/2013, převod leden 2014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231.146
zůstatek k 31. 12.
24,11 úroky za 12/2013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2 684 257,35</t>
        </r>
      </text>
    </comment>
    <comment ref="H47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371 484,79
č. d. 414047 24.1.2014, DPH RCH 12/2013, převod leden 2014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231.147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24 217 529,03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231.148  k 31.12. zůstatek 220,82, úroky za 12/2014</t>
        </r>
      </text>
    </comment>
    <comment ref="H49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373 779,44  DPH RCH 12/2013, převod 1/2014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231.160 k 31. 12. zůstatek 22,53, úroky 12/2014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110 459,84
rozdíl se skládá z částky 38 637,97 převod z BU FKEP na projektový účet nebyl označen ORG 
71 821,88 DPH RCH KDF dobropis DUZP 10/14, přeevidovány do roku 2015, platba zatím není (145601037-39)
31 410,71
38 824,83
  1 586,34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231.158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333 742,20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231.167  zůstatek k 31. 12. 36,21, úroky za 12/2014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58 553 621,96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58 364 399,22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189 222,74
DPH RCH DUZP 12/2014, odvod 1/2015
26 433,56 KDF 1456001187
162 789,18  KDF 1456000295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231.168  k 31. 12. zůstatek 31,36 úroky 12/2014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15 277 089,99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15 689 576,58</t>
        </r>
      </text>
    </comment>
    <comment ref="H53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177 453,83 RCH 12/2013 odvod 1/2014
235 032,76 RCH 11/2014 fa přeevidována do 201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231.175, zůstatek k 31.12.
53,45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231.92  zůstatek k 31. 12. 50,22, úroky 12/2014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rozdíl 269 988,77
složen
DPH RCH 12/2014
236 490,11
23 498,66
a 10 000,- PRE při dotaci projektového účtu nebyl použit ORG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231.95, zůstatek k 31. 12. 2,23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231.70 zůstatek k 31. 12.
11,26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8 494 538,62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6 159 228,59
+ 2 167 669,73  při převodu z BU FKEP byl použit špatný ORG a to 5156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rozdíl 167 640,30
DPH RCH DUZP 12/2014
73 301,46
94 338,84</t>
        </r>
      </text>
    </comment>
    <comment ref="A5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231.76  zůstatek 2,88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231.78  zůstatek 2,71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231.62 zůstatek 2,68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231.55 zůstek 5,63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při převodu z BU FKEP použit špatný ORG patří 5152</t>
        </r>
      </text>
    </comment>
    <comment ref="A6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231.59 zůstatek 2,83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231.174</t>
        </r>
      </text>
    </comment>
    <comment ref="A6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231.69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134 111,30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134365,40-254,10=134 111,30  (při vratce mylného převodu nebyl použit ORG)</t>
        </r>
      </text>
    </comment>
    <comment ref="A6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231.64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231.106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231.415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231.415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k 31. 12. 2014 Kč 
508,20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231.178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231.183</t>
        </r>
      </text>
    </comment>
    <comment ref="A7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231.177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2x Kč 254,10
1x 254,10 mělo být označeno ORG 5123 (otevřená škola - pohybem ke zdravému životnímu stylu), platba odešla ze správného  projektového účtu, kam byla i zadotována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převedeno je 254,10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převedeno 254,10
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231.38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převedeno 254,10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231.94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převedeno 61 500,-
odesláno 61 459,27
zůstatek 40,73 převeden zpět
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1268,62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345 334,16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732 500,-</t>
        </r>
      </text>
    </comment>
    <comment ref="E10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1 712 598</t>
        </r>
      </text>
    </comment>
    <comment ref="A11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231.64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204 491,67</t>
        </r>
      </text>
    </comment>
    <comment ref="A11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231.165</t>
        </r>
      </text>
    </comment>
    <comment ref="A11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231.166</t>
        </r>
      </text>
    </comment>
    <comment ref="A11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231.161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 byl rozdíl 76 000,- vratka příspěvku od Masarykovy university, byl použit ORG </t>
        </r>
      </text>
    </comment>
    <comment ref="A1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231.170
výdaje vyplacené i na pokladně - cestovné</t>
        </r>
      </text>
    </comment>
    <comment ref="E1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1 628 511,51</t>
        </r>
      </text>
    </comment>
    <comment ref="F12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1 389 652,00- 1 433,34
1 388 218,66</t>
        </r>
      </text>
    </comment>
    <comment ref="H120" authorId="0" shapeId="0">
      <text>
        <r>
          <rPr>
            <sz val="9"/>
            <color indexed="81"/>
            <rFont val="Tahoma"/>
            <family val="2"/>
            <charset val="238"/>
          </rPr>
          <t xml:space="preserve">240 292,85 cestovné vyplacené na pokladně
</t>
        </r>
      </text>
    </comment>
    <comment ref="A12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231.171
</t>
        </r>
      </text>
    </comment>
    <comment ref="H12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cestovné vyplacené na pokladně 23 544,86</t>
        </r>
      </text>
    </comment>
    <comment ref="A12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231.173 zůstatek 1,33</t>
        </r>
      </text>
    </comment>
    <comment ref="A12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231.176 zůstatek 0,06</t>
        </r>
      </text>
    </comment>
    <comment ref="A12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231.77 zůstatek 0,18</t>
        </r>
      </text>
    </comment>
    <comment ref="A12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231.53 zůstatek 1,41</t>
        </r>
      </text>
    </comment>
    <comment ref="A12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231.56 zůstatek 9,59</t>
        </r>
      </text>
    </comment>
    <comment ref="A13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231.184 zůstatek 0,68</t>
        </r>
      </text>
    </comment>
    <comment ref="A1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231.185</t>
        </r>
      </text>
    </comment>
    <comment ref="F1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tři dobropisy
724,50
362,00
6 155,00
vratka na BU FKEP nebyla označena příslušným ORG</t>
        </r>
      </text>
    </comment>
    <comment ref="A13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231.186 zůstatek 6,02</t>
        </r>
      </text>
    </comment>
    <comment ref="A13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231.187  zůstatek k 31. 12.
9 181 928,18
</t>
        </r>
      </text>
    </comment>
    <comment ref="D13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22 243,48</t>
        </r>
      </text>
    </comment>
    <comment ref="F13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při vratce z projektového účtu na BU FKEP účtováno MD 6330 5345 bez ORG
31 666,00
31 666,00
220 610,00
</t>
        </r>
      </text>
    </comment>
  </commentList>
</comments>
</file>

<file path=xl/comments4.xml><?xml version="1.0" encoding="utf-8"?>
<comments xmlns="http://schemas.openxmlformats.org/spreadsheetml/2006/main">
  <authors>
    <author>trnecka</author>
    <author>Petr Bauer</author>
    <author>Jiří Trnečka</author>
  </authors>
  <commentList>
    <comment ref="N4" authorId="0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bez úroků na ZBÚ k FKEP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viz Q27</t>
        </r>
      </text>
    </comment>
    <comment ref="H10" authorId="1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dopočet zdrojů pro FRR k vykrytí potřeb FV2013 = K16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SPOD ze ZBÚ</t>
        </r>
      </text>
    </comment>
    <comment ref="O16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Digitárium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MČ + FV výdaje</t>
        </r>
      </text>
    </comment>
    <comment ref="F22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DUMB</t>
        </r>
      </text>
    </comment>
    <comment ref="I22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Černovice</t>
        </r>
      </text>
    </comment>
    <comment ref="F23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SZZ II.</t>
        </r>
      </text>
    </comment>
    <comment ref="I23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Volby</t>
        </r>
      </text>
    </comment>
    <comment ref="F25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TSB</t>
        </r>
      </text>
    </comment>
    <comment ref="O27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ORF</t>
        </r>
      </text>
    </comment>
    <comment ref="F30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SZZ II.</t>
        </r>
      </text>
    </comment>
    <comment ref="F31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3 132 555,77 Kč mimo FV</t>
        </r>
      </text>
    </comment>
    <comment ref="I35" authorId="0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MČ FBV</t>
        </r>
      </text>
    </comment>
    <comment ref="I36" authorId="0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20 %</t>
        </r>
      </text>
    </comment>
  </commentList>
</comments>
</file>

<file path=xl/sharedStrings.xml><?xml version="1.0" encoding="utf-8"?>
<sst xmlns="http://schemas.openxmlformats.org/spreadsheetml/2006/main" count="3870" uniqueCount="868">
  <si>
    <t>v tis. Kč</t>
  </si>
  <si>
    <t xml:space="preserve">FOND  REZERV  A  ROZVOJE </t>
  </si>
  <si>
    <t>Schválený rozpočet</t>
  </si>
  <si>
    <t>ZDROJE celkem</t>
  </si>
  <si>
    <t>POTŘEBY celkem</t>
  </si>
  <si>
    <t>Zůstatek</t>
  </si>
  <si>
    <t>Upravený rozpočet</t>
  </si>
  <si>
    <t>Počáteční stav zdrojů</t>
  </si>
  <si>
    <t xml:space="preserve">Počáteční stav zdrojů </t>
  </si>
  <si>
    <t>v Kč</t>
  </si>
  <si>
    <t>Bank. účet 236</t>
  </si>
  <si>
    <t>účet 419</t>
  </si>
  <si>
    <t>ZDROJE</t>
  </si>
  <si>
    <t>231</t>
  </si>
  <si>
    <t>Příjmy</t>
  </si>
  <si>
    <t>V stát, JMK</t>
  </si>
  <si>
    <t>Nájmy - OK</t>
  </si>
  <si>
    <t>Nájmy - OZ</t>
  </si>
  <si>
    <t>FRR potřeby</t>
  </si>
  <si>
    <t>Rezerva 20%</t>
  </si>
  <si>
    <t>OTS</t>
  </si>
  <si>
    <t>VPS</t>
  </si>
  <si>
    <t>5366, ÚZ 98xxx</t>
  </si>
  <si>
    <t>OSP</t>
  </si>
  <si>
    <t>DPH</t>
  </si>
  <si>
    <t>OK</t>
  </si>
  <si>
    <t>SUM po FV</t>
  </si>
  <si>
    <t>OŠMT</t>
  </si>
  <si>
    <t>V ostatní</t>
  </si>
  <si>
    <t>SR: 8115</t>
  </si>
  <si>
    <t>Nájemné - OŽP</t>
  </si>
  <si>
    <t>Nájemné - KPMB</t>
  </si>
  <si>
    <t>UR: 8115</t>
  </si>
  <si>
    <t>Nájemné - OK</t>
  </si>
  <si>
    <t>MP</t>
  </si>
  <si>
    <t>VHČ DPH 2011</t>
  </si>
  <si>
    <t>Kč</t>
  </si>
  <si>
    <t>MČ</t>
  </si>
  <si>
    <t>FREE</t>
  </si>
  <si>
    <t>VHČ DPH 2010</t>
  </si>
  <si>
    <t>z FRR do FBV</t>
  </si>
  <si>
    <t>z FRR do FKEP</t>
  </si>
  <si>
    <t>z FRR do SF</t>
  </si>
  <si>
    <t>z FRR do VS MP</t>
  </si>
  <si>
    <t>10% FBV</t>
  </si>
  <si>
    <t>20% majetek</t>
  </si>
  <si>
    <t>Zůstatek fondu ve výši 12 995 tis. Kč tvoří rezerva na zajištění služeb sociální prevence.</t>
  </si>
  <si>
    <t>účet 236/419</t>
  </si>
  <si>
    <t>Převod z rozpočtu města dle statutu fondu</t>
  </si>
  <si>
    <t>UCS</t>
  </si>
  <si>
    <t>UUS</t>
  </si>
  <si>
    <t>NS</t>
  </si>
  <si>
    <t>H</t>
  </si>
  <si>
    <t>M</t>
  </si>
  <si>
    <t>D</t>
  </si>
  <si>
    <t>Doklad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</si>
  <si>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</si>
  <si>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</si>
  <si>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</si>
  <si>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</si>
  <si>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</si>
  <si>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</si>
  <si>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</si>
  <si>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</si>
  <si>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</si>
  <si>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Dal</t>
  </si>
  <si>
    <t>MD - Dal</t>
  </si>
  <si>
    <t>Popis řádku</t>
  </si>
  <si>
    <t>Rok DPH</t>
  </si>
  <si>
    <t>Mě DPH</t>
  </si>
  <si>
    <t>ZD</t>
  </si>
  <si>
    <t>PID</t>
  </si>
  <si>
    <t>Datum změny</t>
  </si>
  <si>
    <t>Agenda</t>
  </si>
  <si>
    <t>ESU IČO</t>
  </si>
  <si>
    <t>ESU RČ</t>
  </si>
  <si>
    <t>Popis dokladu</t>
  </si>
  <si>
    <t>0001</t>
  </si>
  <si>
    <t>HU</t>
  </si>
  <si>
    <t>00001</t>
  </si>
  <si>
    <t>400001</t>
  </si>
  <si>
    <t>236</t>
  </si>
  <si>
    <t>0010</t>
  </si>
  <si>
    <t>006402</t>
  </si>
  <si>
    <t>2229</t>
  </si>
  <si>
    <t>000</t>
  </si>
  <si>
    <t>0000000000000</t>
  </si>
  <si>
    <t>UCT</t>
  </si>
  <si>
    <t>400002</t>
  </si>
  <si>
    <t>400003</t>
  </si>
  <si>
    <t>FV - Ruské kulturní osvět</t>
  </si>
  <si>
    <t>400004</t>
  </si>
  <si>
    <t>400005</t>
  </si>
  <si>
    <t>400006</t>
  </si>
  <si>
    <t>400007</t>
  </si>
  <si>
    <t>400008</t>
  </si>
  <si>
    <t>FV - Technické sítě Brno</t>
  </si>
  <si>
    <t>400009</t>
  </si>
  <si>
    <t>400010</t>
  </si>
  <si>
    <t>FV - Sdružení zdravotnick</t>
  </si>
  <si>
    <t>KÚ JSDH - MČ</t>
  </si>
  <si>
    <t>5366, ÚZ 14004</t>
  </si>
  <si>
    <t>VHČ DPH 2012</t>
  </si>
  <si>
    <t>ÚP</t>
  </si>
  <si>
    <t>SPOD</t>
  </si>
  <si>
    <t>OIEF</t>
  </si>
  <si>
    <t>Zůstatek fondu ve výši 12 995 tis. Kč tvoří rezerva na zajištění služeb sociální prevence</t>
  </si>
  <si>
    <t>FV - Ratolest Brno</t>
  </si>
  <si>
    <t>PRE</t>
  </si>
  <si>
    <t>44992785</t>
  </si>
  <si>
    <t>již na FRR je</t>
  </si>
  <si>
    <t>UR 2013 v Kč</t>
  </si>
  <si>
    <t>000000</t>
  </si>
  <si>
    <t>400011</t>
  </si>
  <si>
    <t>006399</t>
  </si>
  <si>
    <t>2328</t>
  </si>
  <si>
    <t>400012</t>
  </si>
  <si>
    <t>400013</t>
  </si>
  <si>
    <t>400015</t>
  </si>
  <si>
    <t>419</t>
  </si>
  <si>
    <t>0000</t>
  </si>
  <si>
    <t>UCR</t>
  </si>
  <si>
    <t>0020</t>
  </si>
  <si>
    <t>400014</t>
  </si>
  <si>
    <t>400016</t>
  </si>
  <si>
    <t>FOND KRYTÍ ŠKOD</t>
  </si>
  <si>
    <t>Příjmy z FV 2013</t>
  </si>
  <si>
    <t>LIC</t>
  </si>
  <si>
    <t>MB00</t>
  </si>
  <si>
    <t>990016</t>
  </si>
  <si>
    <t>000000000</t>
  </si>
  <si>
    <t>0000000000</t>
  </si>
  <si>
    <t>000000213</t>
  </si>
  <si>
    <t>0000001700</t>
  </si>
  <si>
    <t>FV - Společenství Romů na</t>
  </si>
  <si>
    <t>MB00X01ICQHU</t>
  </si>
  <si>
    <t>MB00X01IE9EU</t>
  </si>
  <si>
    <t>FV - Tělovýchovná jednota Sokol</t>
  </si>
  <si>
    <t>MB00X01IE9FP</t>
  </si>
  <si>
    <t>FV - ZŠ Nám.Republiky Bo</t>
  </si>
  <si>
    <t>MB00X01IG6J0</t>
  </si>
  <si>
    <t>FV - TEEN CHALLENGE - KC</t>
  </si>
  <si>
    <t>MB00X01IH5UB</t>
  </si>
  <si>
    <t>FV - Nahé divadlo</t>
  </si>
  <si>
    <t>MB00X01IOZT3</t>
  </si>
  <si>
    <t>MB00X01IOZVT</t>
  </si>
  <si>
    <t>FV - Facka</t>
  </si>
  <si>
    <t>MB00X01IOZUY</t>
  </si>
  <si>
    <t>FV - Veterinární a farmac</t>
  </si>
  <si>
    <t>MB00X01IOZWO</t>
  </si>
  <si>
    <t>FV -Armáda spásy</t>
  </si>
  <si>
    <t>MB00X01IOZXJ</t>
  </si>
  <si>
    <t>MB00X01IU7DL</t>
  </si>
  <si>
    <t>MB00X01IU7EG</t>
  </si>
  <si>
    <t>FV - A SCHOOL</t>
  </si>
  <si>
    <t>MB00X01IU7CQ</t>
  </si>
  <si>
    <t>MB00X01IU7FB</t>
  </si>
  <si>
    <t>MB00X01IVYHF</t>
  </si>
  <si>
    <t>MB00X01IVYGK</t>
  </si>
  <si>
    <t>FV - Společenství Romů na Moravě</t>
  </si>
  <si>
    <t>MB00X01J1ATS</t>
  </si>
  <si>
    <t>MB00X01J4VNG</t>
  </si>
  <si>
    <t>FV - Dům umění města Brna</t>
  </si>
  <si>
    <t>MB00X01J8RIH</t>
  </si>
  <si>
    <t>FV - Martin Černý</t>
  </si>
  <si>
    <t>MB00X01J8RJC</t>
  </si>
  <si>
    <t>FV - PS Lesní moudrost</t>
  </si>
  <si>
    <t>MB00X01JO9DW</t>
  </si>
  <si>
    <t>FV - Ing.David Hradecko</t>
  </si>
  <si>
    <t>MB00X01JY59M</t>
  </si>
  <si>
    <t>MB00X01K2KZ6</t>
  </si>
  <si>
    <t>Mylná platba - Women basketbal Brno</t>
  </si>
  <si>
    <t>MB00X01K8XYM</t>
  </si>
  <si>
    <t>Mylná platba - JIC, zájmové sdružení</t>
  </si>
  <si>
    <t>MB00X01KCVRJ</t>
  </si>
  <si>
    <t>MB00X01KFEZN</t>
  </si>
  <si>
    <t>990028</t>
  </si>
  <si>
    <t>MB00X01KUG50</t>
  </si>
  <si>
    <t>převod vratky dotace od Jihomoravského inovačního centra, která není předmětem fin. vypořádání r. 2013  *IC-44992785;*DIC-CZ44992785;*DICT-Statutární město Brno;  *EVK-PRE-20141400876;*EVKT-převod vratky dotace od Jihomoravského inovačního centra, která není předmětem fin. vypořádání r. 2013;*PID-MB00X01KUG50;</t>
  </si>
  <si>
    <t>DPMB - SU 231</t>
  </si>
  <si>
    <t>FV 2013</t>
  </si>
  <si>
    <t>Převod z FBV do FRR v rámci FV 2013 s městskými částmi</t>
  </si>
  <si>
    <t>VHČ DPH 2013</t>
  </si>
  <si>
    <t>Zapojení rezervy ve schváleném rozpočtu města k vykrytí potřeb FV 2013</t>
  </si>
  <si>
    <t>KÚ jízdné</t>
  </si>
  <si>
    <t>5366 ÚZ 222</t>
  </si>
  <si>
    <t>Tvorba FRR ze ZBÚ na vykrytí potřeb FV 2013</t>
  </si>
  <si>
    <t>5902 ÚZ 213</t>
  </si>
  <si>
    <t>KV z r. 2013</t>
  </si>
  <si>
    <t>Výdaje z FV 2013</t>
  </si>
  <si>
    <t>jiné</t>
  </si>
  <si>
    <t>Převody z FRR do FBV, FKEP a Soc. fondu v rámci FV 2013</t>
  </si>
  <si>
    <t>OŠMT p.o.</t>
  </si>
  <si>
    <t>OZ p.o.</t>
  </si>
  <si>
    <t>Nájemné - OŠMT</t>
  </si>
  <si>
    <t>SPOD MMB 39 tis.</t>
  </si>
  <si>
    <t>do 2012 vč.</t>
  </si>
  <si>
    <t>Volby MMB 36 tis.</t>
  </si>
  <si>
    <t>do 2013 vč.</t>
  </si>
  <si>
    <t>zůstatek r. 2012</t>
  </si>
  <si>
    <t>zůstatek r. 2013</t>
  </si>
  <si>
    <t>CELKEM</t>
  </si>
  <si>
    <t>Skutečnost k 30.6.2014</t>
  </si>
  <si>
    <t>SU236-UR 2014</t>
  </si>
  <si>
    <t>OD - DPMB (SU231)</t>
  </si>
  <si>
    <t>Celkem</t>
  </si>
  <si>
    <t>ze ZBÚ MČ na ZBÚ MMB</t>
  </si>
  <si>
    <t>z FRR MČ na FRR MMB</t>
  </si>
  <si>
    <t>ze ZBÚ MMB na ZBÚ MČ</t>
  </si>
  <si>
    <t>z FRR MMB na FRR MČ</t>
  </si>
  <si>
    <t>volby do PS PČR</t>
  </si>
  <si>
    <t>ostatní dotace</t>
  </si>
  <si>
    <t>rozpad 2226</t>
  </si>
  <si>
    <t>rozpad 5367</t>
  </si>
  <si>
    <t xml:space="preserve">Převody: </t>
  </si>
  <si>
    <t>Výdaje z FV 2013 - MČ</t>
  </si>
  <si>
    <t>Příjmy z FV 2013 - MČ</t>
  </si>
  <si>
    <t>Převést ID - květen</t>
  </si>
  <si>
    <t>Převést ID - červen</t>
  </si>
  <si>
    <r>
      <t>ZDROJE celkem</t>
    </r>
    <r>
      <rPr>
        <i/>
        <sz val="10"/>
        <rFont val="Calibri"/>
        <family val="2"/>
        <charset val="238"/>
        <scheme val="minor"/>
      </rPr>
      <t xml:space="preserve"> (Dal)</t>
    </r>
  </si>
  <si>
    <r>
      <t>POTŘEBY celkem</t>
    </r>
    <r>
      <rPr>
        <i/>
        <sz val="10"/>
        <rFont val="Calibri"/>
        <family val="2"/>
        <charset val="238"/>
        <scheme val="minor"/>
      </rPr>
      <t xml:space="preserve"> (Má dáti)</t>
    </r>
  </si>
  <si>
    <t>od/pro MČ</t>
  </si>
  <si>
    <t>006330</t>
  </si>
  <si>
    <t>5345</t>
  </si>
  <si>
    <t>MB00X01L820W</t>
  </si>
  <si>
    <t>FV 2013  *IC-44992785;*DIC-CZ44992785;*DICT-Statutární město Brno;  *EVK-PRE-20141401037;*EVKT-FV 2013;*PID-MB00X01L820W;</t>
  </si>
  <si>
    <t>MB00X01L818Z</t>
  </si>
  <si>
    <t>FV 2013 - FV SR, JMK, p.o., ostatní  *IC-44992785;*DIC-CZ44992785;*DICT-Statutární město Brno;  *EVK-PRE-20141401036;*EVKT-FV 2013 - FV SR, JMK, p.o., ostatní;*PID-MB00X01L818Z;</t>
  </si>
  <si>
    <t>MB00X01L82EY</t>
  </si>
  <si>
    <t>FV 2013  *IC-44992785;*DIC-CZ44992785;*DICT-Statutární město Brno;  *EVK-PRE-20141401039;*EVKT-FV 2013;*PID-MB00X01L82EY;</t>
  </si>
  <si>
    <t>MB00X01L82R5</t>
  </si>
  <si>
    <t>FV 2013 - vratky dotací MČ - volby  *IC-44992785;*DIC-CZ44992785;*DICT-Statutární město Brno;  *EVK-PRE-20141401041;*EVKT-FV 2013 - vratky dotací MČ - volby;*PID-MB00X01L82R5;</t>
  </si>
  <si>
    <t>4134</t>
  </si>
  <si>
    <t>MB00X01L8RE3</t>
  </si>
  <si>
    <t>Nespárovaná bankovní transakce  Příjem : 104706,72 Kč  Výpis č. 20 z 27.05.2014 č.ú. 7510006754/5400, VS = 5344, SS =   Likvidace : Nováková Pavla Popis : STATUTARNI MESTO BRNO - MB00X01L80XP</t>
  </si>
  <si>
    <t>MB00X01L8RFY</t>
  </si>
  <si>
    <t>Nespárovaná bankovní transakce  Příjem : 1071770,83 Kč  Výpis č. 20 z 27.05.2014 č.ú. 7510006754/5400, VS = 5344, SS =   Likvidace : Nováková Pavla Popis : STATUTARNI MESTO BRNO - MB00X01L8103</t>
  </si>
  <si>
    <t>MB00X01L8RCD</t>
  </si>
  <si>
    <t>Nespárovaná bankovní transakce  Příjem : 50000000,00 Kč  Výpis č. 20 z 27.05.2014 č.ú. 7510006754/5400, VS = 5344, SS =   Likvidace : Nováková Pavla Popis : STATUTARNI MESTO BRNO - MB00X01L80JN</t>
  </si>
  <si>
    <t>MB00X01L8RD8</t>
  </si>
  <si>
    <t>Nespárovaná bankovní transakce  Příjem : 88491664,58 Kč  Výpis č. 20 z 27.05.2014 č.ú. 7510006754/5400, VS = 5344, SS =   Likvidace : Nováková Pavla Popis : STATUTARNI MESTO BRNO - MB00X01L80U4</t>
  </si>
  <si>
    <t>MB00X01L8VG1</t>
  </si>
  <si>
    <t>FV 2013  *IC-44992785;*DIC-CZ44992785;*DICT-Statutární město Brno;  *EVK-PRE-20141401051;*EVKT-FV 2013;*PID-MB00X01L8VG1;</t>
  </si>
  <si>
    <t>MB00X01LA0DR</t>
  </si>
  <si>
    <t>Nespárovaná bankovní transakce  Příjem : 64251139,00 Kč  Výpis č. 21 z 28.05.2014 č.ú. 7510006754/5400, VS = 5344, SS =   Likvidace : Nováková Pavla Popis : STATUTARNI MESTO BRNO - MB00X01L8X0V</t>
  </si>
  <si>
    <t>2226</t>
  </si>
  <si>
    <t>FV - MČ Černovice</t>
  </si>
  <si>
    <t>MB00X01LJYX4</t>
  </si>
  <si>
    <t>Nespárovaná bankovní transakce  Příjem : 42113,00 Kč  Výpis č. 22 z 10.06.2014 č.ú. 7510006754/5400, VS = 64025367, SS =   Likvidace : Nováková Pavla Popis : ST.M?STO BRNO-M?STSK -</t>
  </si>
  <si>
    <t>z FRR na ZBÚ - vratky dotací</t>
  </si>
  <si>
    <t>FV 2013 - vratky od MČ na ZBÚ</t>
  </si>
  <si>
    <t>FV 2013 - ze ZBÚ do FRR</t>
  </si>
  <si>
    <t>FV 2013 z FBV do FRR pro MČ</t>
  </si>
  <si>
    <t>z FRR na MČ - volby</t>
  </si>
  <si>
    <t>0050</t>
  </si>
  <si>
    <t>FV -  MČ Chrlice</t>
  </si>
  <si>
    <t>MB00X01LLVI2</t>
  </si>
  <si>
    <t>Nespárovaná bankovní transakce  Příjem : 101331,96 Kč  Výpis č. 23 z 12.06.2014 č.ú. 7510006754/5400, VS = 64025367, SS =   Likvidace : Nováková Pavla Popis : ST. M?STO BRNO-M?STS -</t>
  </si>
  <si>
    <t>FV -  MČ Slatina</t>
  </si>
  <si>
    <t>MB00X01LMRPI</t>
  </si>
  <si>
    <t>Nespárovaná bankovní transakce  Příjem : 45,00 Kč  Výpis č. 24 z 13.06.2014 č.ú. 7510006754/5400, VS = 64025367, SS =   Likvidace : Nováková Pavla Popis : ST. M?STO BRNO-M?STS -</t>
  </si>
  <si>
    <t>FV -  MČ Brno-sever</t>
  </si>
  <si>
    <t>MB00X01LMRON</t>
  </si>
  <si>
    <t>Nespárovaná bankovní transakce  Příjem : 140000,00 Kč  Výpis č. 24 z 13.06.2014 č.ú. 7510006754/5400, VS = 64025367, SS =   Likvidace : Nováková Pavla Popis : ST.M?STO BRNO-M?STSK -</t>
  </si>
  <si>
    <t>FV -  MČ Bystrc</t>
  </si>
  <si>
    <t>MB00X01LMRNS</t>
  </si>
  <si>
    <t>Nespárovaná bankovní transakce  Příjem : 280683,50 Kč  Výpis č. 24 z 13.06.2014 č.ú. 7510006754/5400, VS = 64025367, SS =   Likvidace : Nováková Pavla Popis : BYSTRC MESTSKA CAST - FINAN©Ní VYPO2áDáNí FBV INVBYSTRC</t>
  </si>
  <si>
    <t>150154</t>
  </si>
  <si>
    <t>0415</t>
  </si>
  <si>
    <t>FV - MČ Jehnice</t>
  </si>
  <si>
    <t>MB00X01LJYTO</t>
  </si>
  <si>
    <t>Nespárovaná bankovní transakce  Příjem : 39,00 Kč  Výpis č. 105 z 10.06.2014 č.ú. 7510005735/5400, VS = 64025367, SS =   Likvidace : Nováková Pavla Popis : ST.M?STO BRNO-M?STSK -</t>
  </si>
  <si>
    <t>150155</t>
  </si>
  <si>
    <t>MB00X01LJYW9</t>
  </si>
  <si>
    <t>Nespárovaná bankovní transakce  Příjem : 430,00 Kč  Výpis č. 105 z 10.06.2014 č.ú. 7510005735/5400, VS = 64025367, SS =   Likvidace : Nováková Pavla Popis : ST.M?STO BRNO-M?STK+ -</t>
  </si>
  <si>
    <t>150156</t>
  </si>
  <si>
    <t>FV - MČ Ivanovice</t>
  </si>
  <si>
    <t>MB00X01LJYUJ</t>
  </si>
  <si>
    <t>Nespárovaná bankovní transakce  Příjem : 599,00 Kč  Výpis č. 105 z 10.06.2014 č.ú. 7510005735/5400, VS = 64025367, SS =   Likvidace : Nováková Pavla Popis : ST. M?STO BRNO-M?STS - 13 - VOLBY PCR</t>
  </si>
  <si>
    <t>150167</t>
  </si>
  <si>
    <t>FV - MČ Útěchov</t>
  </si>
  <si>
    <t>MB00X01LL57N</t>
  </si>
  <si>
    <t>Nespárovaná bankovní transakce  Příjem : 12519,00 Kč  Výpis č. 106 z 11.06.2014 č.ú. 7510005735/5400, VS = 64025367, SS =   Likvidace : Nováková Pavla Popis : S.M.BRNO-MC UTECH.HL - MC BRNO-UTECHOV</t>
  </si>
  <si>
    <t>150168</t>
  </si>
  <si>
    <t>FV - MČ Žebětín</t>
  </si>
  <si>
    <t>MB00X01LL5B3</t>
  </si>
  <si>
    <t>Nespárovaná bankovní transakce  Příjem : 16820,00 Kč  Výpis č. 106 z 11.06.2014 č.ú. 7510005735/5400, VS = 64025367, SS =   Likvidace : Nováková Pavla Popis : ST. M?STO BRNO-M?STS - FV R. 2013 - VOLBY DO PARLAUMC BRNO - ZEBETIN VRATKA</t>
  </si>
  <si>
    <t>150169</t>
  </si>
  <si>
    <t>FV - MČ Vinohrady</t>
  </si>
  <si>
    <t>MB00X01LL5A8</t>
  </si>
  <si>
    <t>Nespárovaná bankovní transakce  Příjem : 62312,50 Kč  Výpis č. 106 z 11.06.2014 č.ú. 7510005735/5400, VS = 64025367, SS =   Likvidace : Nováková Pavla Popis : ST. M?STO BRNO-M?STS -</t>
  </si>
  <si>
    <t>150177</t>
  </si>
  <si>
    <t>FV – MČ Bosonohy</t>
  </si>
  <si>
    <t>MB00X01LLV2A</t>
  </si>
  <si>
    <t>Nespárovaná bankovní transakce  Příjem : 2694,00 Kč  Výpis č. 107 z 12.06.2014 č.ú. 7510005735/5400, VS = 64025367, SS =   Likvidace : Nováková Pavla Popis : ST. M?STO BRNO-M?STS -</t>
  </si>
  <si>
    <t>150184</t>
  </si>
  <si>
    <t>FV – MČ Chrlice</t>
  </si>
  <si>
    <t>MB00X01LLV1F</t>
  </si>
  <si>
    <t>Nespárovaná bankovní transakce  Příjem : 73299,20 Kč  Výpis č. 107 z 12.06.2014 č.ú. 7510005735/5400, VS = 64025367, SS =   Likvidace : Nováková Pavla Popis : ST. M?STO BRNO-M?STS -</t>
  </si>
  <si>
    <t>150185</t>
  </si>
  <si>
    <t>MB00X01LMLF2</t>
  </si>
  <si>
    <t>Oprava dokl.č.150184/6, oprava textu u ř.1 a 2</t>
  </si>
  <si>
    <t>FV -  MČ Kohoutovice</t>
  </si>
  <si>
    <t>150186</t>
  </si>
  <si>
    <t>MB00X01LLV0K</t>
  </si>
  <si>
    <t>Nespárovaná bankovní transakce  Příjem : 43967,00 Kč  Výpis č. 107 z 12.06.2014 č.ú. 7510005735/5400, VS = 64025367, SS =   Likvidace : Nováková Pavla Popis : ST. M?STO BRNO-M?STS -</t>
  </si>
  <si>
    <t>150192</t>
  </si>
  <si>
    <t>MB00X01LMRWJ</t>
  </si>
  <si>
    <t>Nespárovaná bankovní transakce  Příjem : 55152,88 Kč  Výpis č. 108 z 13.06.2014 č.ú. 7510005735/5400, VS = 64025367, SS =   Likvidace : Nováková Pavla Popis : ST. M?STO BRNO-M?STS -</t>
  </si>
  <si>
    <t>150193</t>
  </si>
  <si>
    <t>FV -  MČ Tuřany</t>
  </si>
  <si>
    <t>MB00X01LMRXE</t>
  </si>
  <si>
    <t>Nespárovaná bankovní transakce  Příjem : 65577,00 Kč  Výpis č. 108 z 13.06.2014 č.ú. 7510005735/5400, VS = 64025367, SS =   Likvidace : Nováková Pavla Popis : ST.M?STO BRNO-M?STSK -</t>
  </si>
  <si>
    <t>150194</t>
  </si>
  <si>
    <t>MB00X01LMRVO</t>
  </si>
  <si>
    <t>Nespárovaná bankovní transakce  Příjem : 169252,03 Kč  Výpis č. 108 z 13.06.2014 č.ú. 7510005735/5400, VS = 64025367, SS =   Likvidace : Nováková Pavla Popis : ST.M?STO BRNO-M?STSK -</t>
  </si>
  <si>
    <t>150195</t>
  </si>
  <si>
    <t>MB00X01LMRUT</t>
  </si>
  <si>
    <t>Nespárovaná bankovní transakce  Příjem : 171304,76 Kč  Výpis č. 108 z 13.06.2014 č.ú. 7510005735/5400, VS = 64025367, SS =   Likvidace : Nováková Pavla Popis : BYSTRC MESTSKA CAST - FINAN©Ní VYPO2áDáNí UZ 9807BYSTRC</t>
  </si>
  <si>
    <t>FV -  MČ Brno-jih</t>
  </si>
  <si>
    <t>MB00X01LO4ZV</t>
  </si>
  <si>
    <t>Nespárovaná bankovní transakce  Příjem : 80275,88 Kč  Výpis č. 25 z 16.06.2014 č.ú. 7510006754/5400, VS = 64025367, SS =   Likvidace : Nováková Pavla Popis : ST. M?STO BRNO-M?STS - FINANCNI VYPORADANI ZA ROK MC BRNO-JIH VRATKA ZA JSDH+NEINVESTICNI TRANS</t>
  </si>
  <si>
    <t>FV -  MČ Starý Lískovec</t>
  </si>
  <si>
    <t>MB00X01LP3GC</t>
  </si>
  <si>
    <t>Nespárovaná bankovní transakce  Příjem : 1935,90 Kč  Výpis č. 26 z 17.06.2014 č.ú. 7510006754/5400, VS = 64025367, SS =   Likvidace : Nováková Pavla Popis : ST. M?STO BRNO-M?STS - FV 2013 STARY LISKOVEC</t>
  </si>
  <si>
    <t>FV -  MČ Líšeň</t>
  </si>
  <si>
    <t>MB00X01LP3FH</t>
  </si>
  <si>
    <t>Nespárovaná bankovní transakce  Příjem : 1446483,26 Kč  Výpis č. 26 z 17.06.2014 č.ú. 7510006754/5400, VS = 64025367, SS =   Likvidace : Nováková Pavla Popis : ST.M?STO BRNO-M?STSK -</t>
  </si>
  <si>
    <t>Mylná platba MČ Komín, patří na ZBÚ</t>
  </si>
  <si>
    <t>MB00X01LQVPA</t>
  </si>
  <si>
    <t>Nespárovaná bankovní transakce  Příjem : 18883,47 Kč  Výpis č. 27 z 18.06.2014 č.ú. 7510006754/5400, VS = 64025367, SS =   Likvidace : Nováková Pavla Popis : ST.M?STO BRNO-M?STSK -</t>
  </si>
  <si>
    <t>FV - MČ Ořešín</t>
  </si>
  <si>
    <t>MB00X01LQVQ5</t>
  </si>
  <si>
    <t>Nespárovaná bankovní transakce  Příjem : 20,00 Kč  Výpis č. 28 z 19.06.2014 č.ú. 7510006754/5400, VS = 4499278528, SS =   Likvidace : Nováková Pavla Popis : ST. M?STO BRNO-M?STS - FINANCNI VYPORADANI</t>
  </si>
  <si>
    <t>Mylná pl. - MČ Brno-střed, patří na dep.účet</t>
  </si>
  <si>
    <t>MB00X01LT7JP</t>
  </si>
  <si>
    <t>Nespárovaná bankovní transakce  Příjem : 1340,00 Kč  Výpis č. 29 z 20.06.2014 č.ú. 7510006754/5400, VS = 64025909, SS =   Likvidace : Nováková Pavla Popis : STATUT+RN? M?STO BRN -</t>
  </si>
  <si>
    <t>FV - MČ Jundrov</t>
  </si>
  <si>
    <t>MB00X01LT7IU</t>
  </si>
  <si>
    <t>Nespárovaná bankovní transakce  Příjem : 507217,30 Kč  Výpis č. 29 z 20.06.2014 č.ú. 7510006754/5400, VS = 64025367, SS =   Likvidace : Nováková Pavla Popis : STATUT+RN? M?STO BRN -</t>
  </si>
  <si>
    <t>Mylná pl. - MČ Jundrov, patří na ZBÚ</t>
  </si>
  <si>
    <t>MB00X01LQZL2</t>
  </si>
  <si>
    <t>mylně zaslané FV 2013  *IC-44992785;*DIC-CZ44992785;*DICT-Statutární město Brno;  *EVK-PRE-20141401284;*EVKT-mylně zaslané FV 2013;*PID-MB00X01LQZL2;</t>
  </si>
  <si>
    <t>5367</t>
  </si>
  <si>
    <t>MB00X01LFJZ7</t>
  </si>
  <si>
    <t>POU</t>
  </si>
  <si>
    <t>FV 2013  *IC-44992785;*DIC-CZ44992785;*DICT-MČ Brno-střed;  *EVK-POU-2014141700889;*EVKT-FV 2013;*PID-MB00X01LFJZ7;</t>
  </si>
  <si>
    <t>400017</t>
  </si>
  <si>
    <t>MB00X01LFKGN</t>
  </si>
  <si>
    <t>FV 2013  *IC-44992785;*DIC-;*DICT-MČ Bohunice;  *EVK-POU-2014141700890;*EVKT-FV 2013;*PID-MB00X01LFKGN;</t>
  </si>
  <si>
    <t>400019</t>
  </si>
  <si>
    <t>MB00X01LFKJ8</t>
  </si>
  <si>
    <t>FV 2013  *IC-44992785;*DIC-;*DICT-MČ Starý Lískovec;  *EVK-POU-2014141700891;*EVKT-FV 2013;*PID-MB00X01LFKJ8;</t>
  </si>
  <si>
    <t>400021</t>
  </si>
  <si>
    <t>MB00X01LFKNO</t>
  </si>
  <si>
    <t>FV 2013  *IC-44992785;*DIC-CZ44992785;*DICT-MČ Nový Lískovec;  *EVK-POU-2014141700892;*EVKT-FV 2013;*PID-MB00X01LFKNO;</t>
  </si>
  <si>
    <t>400023</t>
  </si>
  <si>
    <t>MB00X01LFKXA</t>
  </si>
  <si>
    <t>FV 2013  *IC-44992785;*DIC-;*DICT-MČ Kohoutovice;  *EVK-POU-2014141700893;*EVKT-FV 2013;*PID-MB00X01LFKXA;</t>
  </si>
  <si>
    <t>400025</t>
  </si>
  <si>
    <t>MB00X01LFL39</t>
  </si>
  <si>
    <t>FV 2013  *IC-44992785;*DIC-;*DICT-MČ Bosonohy;  *EVK-POU-2014141700894;*EVKT-FV 2013;*PID-MB00X01LFL39;</t>
  </si>
  <si>
    <t>400027</t>
  </si>
  <si>
    <t>MB00X01LFL9F</t>
  </si>
  <si>
    <t>FV 2013  *IC-44992785;*DIC-;*DICT-MČ Žabovřesky;  *EVK-POU-2014141700895;*EVKT-FV 2013;*PID-MB00X01LFL9F;</t>
  </si>
  <si>
    <t>400029</t>
  </si>
  <si>
    <t>MB00X01LFLHB</t>
  </si>
  <si>
    <t>FV 2013  *IC-44992785;*DIC-CZ44992785;*DICT-MČ Bystrc;  *EVK-POU-2014141700896;*EVKT-FV 2013;*PID-MB00X01LFLHB;</t>
  </si>
  <si>
    <t>400031</t>
  </si>
  <si>
    <t>MB00X01LFLOC</t>
  </si>
  <si>
    <t>FV 2013  *IC-44992785;*DIC-;*DICT-MČ Kníničky;  *EVK-POU-2014141700897;*EVKT-FV 2013;*PID-MB00X01LFLOC;</t>
  </si>
  <si>
    <t>400033</t>
  </si>
  <si>
    <t>MB00X01LFLUI</t>
  </si>
  <si>
    <t>FV 2013  *IC-44992785;*DIC-;*DICT-MČ Komín;  *EVK-POU-2014141700898;*EVKT-FV 2013;*PID-MB00X01LFLUI;</t>
  </si>
  <si>
    <t>400035</t>
  </si>
  <si>
    <t>MB00X01LFLX3</t>
  </si>
  <si>
    <t>FV 2013  *IC-44992785;*DIC-;*DICT-MČ Jundrov;  *EVK-POU-2014141700899;*EVKT-FV 2013;*PID-MB00X01LFLX3;</t>
  </si>
  <si>
    <t>400037</t>
  </si>
  <si>
    <t>MB00X01LFM1C</t>
  </si>
  <si>
    <t>FV 2013  *IC-44992785;*DIC-;*DICT-MČ Žebětín;  *EVK-POU-2014141700900;*EVKT-FV 2013;*PID-MB00X01LFM1C;</t>
  </si>
  <si>
    <t>400039</t>
  </si>
  <si>
    <t>MB00X01LFM32</t>
  </si>
  <si>
    <t>FV 2013  *IC-44992785;*DIC-CZ44992785;*DICT-Statutární město Brno MČ Brno-sever;  *EVK-POU-2014141700901;*EVKT-FV 2013;*PID-MB00X01LFM32;</t>
  </si>
  <si>
    <t>400041</t>
  </si>
  <si>
    <t>MB00X01LFM8D</t>
  </si>
  <si>
    <t>FV 2013  *IC-44992785;*DIC-;*DICT-MČ Maloměřice,Obřany;  *EVK-POU-2014141700902;*EVKT-FV 2013;*PID-MB00X01LFM8D;</t>
  </si>
  <si>
    <t>400043</t>
  </si>
  <si>
    <t>MB00X01LFMIZ</t>
  </si>
  <si>
    <t>FV 2013  *IC-44992785;*DIC-CZ44992785;*DICT-MČ Židenice;  *EVK-POU-2014141700903;*EVKT-FV 2013;*PID-MB00X01LFMIZ;</t>
  </si>
  <si>
    <t>400045</t>
  </si>
  <si>
    <t>MB00X01LFMNA</t>
  </si>
  <si>
    <t>FV 2013  *IC-44992785;*DIC-;*DICT-MČ Černovice;  *EVK-POU-2014141700904;*EVKT-FV 2013;*PID-MB00X01LFMNA;</t>
  </si>
  <si>
    <t>400047</t>
  </si>
  <si>
    <t>MB00X01LFMUB</t>
  </si>
  <si>
    <t>FV 2013  *IC-44992785;*DIC-;*DICT-MČ Brno-jih;  *EVK-POU-2014141700905;*EVKT-FV 2013;*PID-MB00X01LFMUB;</t>
  </si>
  <si>
    <t>400049</t>
  </si>
  <si>
    <t>MB00X01LFMZM</t>
  </si>
  <si>
    <t>FV 2013  *IC-44992785;*DIC-;*DICT-MČ Vinohrady;  *EVK-POU-2014141700906;*EVKT-FV 2013;*PID-MB00X01LFMZM;</t>
  </si>
  <si>
    <t>400051</t>
  </si>
  <si>
    <t>MB00X01LFN4Q</t>
  </si>
  <si>
    <t>FV 2013  *IC-44992785;*DIC-;*DICT-MČ Líšeň;  *EVK-POU-2014141700907;*EVKT-FV 2013;*PID-MB00X01LFN4Q;</t>
  </si>
  <si>
    <t>400053</t>
  </si>
  <si>
    <t>MB00X01LFN86</t>
  </si>
  <si>
    <t>FV 2013  *IC-44992785;*DIC-;*DICT-MČ Slatina;  *EVK-POU-2014141700908;*EVKT-FV 2013;*PID-MB00X01LFN86;</t>
  </si>
  <si>
    <t>400055</t>
  </si>
  <si>
    <t>MB00X01LFNG2</t>
  </si>
  <si>
    <t>FV 2013  *IC-44992785;*DIC-;*DICT-MČ Tuřany;  *EVK-POU-2014141700909;*EVKT-FV 2013;*PID-MB00X01LFNG2;</t>
  </si>
  <si>
    <t>400057</t>
  </si>
  <si>
    <t>MB00X01LFNM8</t>
  </si>
  <si>
    <t>FV 2013  *IC-44992785;*DIC-;*DICT-MČ Chrlice;  *EVK-POU-2014141700910;*EVKT-FV 2013;*PID-MB00X01LFNM8;</t>
  </si>
  <si>
    <t>400059</t>
  </si>
  <si>
    <t>MB00X01LFNQO</t>
  </si>
  <si>
    <t>FV 2013  *IC-44992785;*DIC-;*DICT-MČ Královo Pole;  *EVK-POU-2014141700911;*EVKT-FV 2013;*PID-MB00X01LFNQO;</t>
  </si>
  <si>
    <t>400061</t>
  </si>
  <si>
    <t>MB00X01LFNU4</t>
  </si>
  <si>
    <t>FV 2013  *IC-44992785;*DIC-;*DICT-MČ Medlánky;  *EVK-POU-2014141700912;*EVKT-FV 2013;*PID-MB00X01LFNU4;</t>
  </si>
  <si>
    <t>400063</t>
  </si>
  <si>
    <t>MB00X01LFO2T</t>
  </si>
  <si>
    <t>FV 2013  *IC-44992785;*DIC-;*DICT-MČ Řečkovice,Mokrá h.;  *EVK-POU-2014141700913;*EVKT-FV 2013;*PID-MB00X01LFO2T;</t>
  </si>
  <si>
    <t>400065</t>
  </si>
  <si>
    <t>MB00X01LFO9U</t>
  </si>
  <si>
    <t>FV 2013  *IC-44992785;*DIC-;*DICT-MČ Ivanovice;  *EVK-POU-2014141700914;*EVKT-FV 2013;*PID-MB00X01LFO9U;</t>
  </si>
  <si>
    <t>400067</t>
  </si>
  <si>
    <t>MB00X01LFOCF</t>
  </si>
  <si>
    <t>FV 2013  *IC-44992785;*DIC-;*DICT-MČ Jehnice;  *EVK-POU-2014141700915;*EVKT-FV 2013;*PID-MB00X01LFOCF;</t>
  </si>
  <si>
    <t>400069</t>
  </si>
  <si>
    <t>MB00X01LFOGV</t>
  </si>
  <si>
    <t>FV 2013  *IC-44992785;*DIC-;*DICT-MČ Ořešín;  *EVK-POU-2014141700916;*EVKT-FV 2013;*PID-MB00X01LFOGV;</t>
  </si>
  <si>
    <t>400071</t>
  </si>
  <si>
    <t>MB00X01LFOJG</t>
  </si>
  <si>
    <t>FV 2013  *IC-44992785;*DIC-;*DICT-MČ Útěchov;  *EVK-POU-2014141700917;*EVKT-FV 2013;*PID-MB00X01LFOJG;</t>
  </si>
  <si>
    <t>400072</t>
  </si>
  <si>
    <t>MB00X01LV4F4</t>
  </si>
  <si>
    <t>mylně zaslané FV 2013  *IC-44992785;*DIC-CZ44992785;*DICT-Statutární město Brno;  *EVK-PRE-20141401341;*EVKT-mylně zaslané FV 2013;*PID-MB00X01LV4F4;</t>
  </si>
  <si>
    <t>400073</t>
  </si>
  <si>
    <t>MB00X01LUR8Z</t>
  </si>
  <si>
    <t>mylná platba  *IC-44992785;*DIC-CZ44992785;*DICT-Statutární město Brno;  *EVK-PRE-20141401334;*EVKT-mylná platba;*PID-MB00X01LUR8Z;</t>
  </si>
  <si>
    <t>400074</t>
  </si>
  <si>
    <t>FV - MČ Řečkovice, M.Hora</t>
  </si>
  <si>
    <t>MB00X01LX5PT</t>
  </si>
  <si>
    <t>Nespárovaná bankovní transakce  Příjem : 273,00 Kč  Výpis č. 31 z 24.06.2014 č.ú. 7510006754/5400, VS = 64025367, SS =   Likvidace : Nováková Pavla Popis : STATUT+RN? M?STO BRN -</t>
  </si>
  <si>
    <t>400075</t>
  </si>
  <si>
    <t>FV - MČ Kníničky</t>
  </si>
  <si>
    <t>MB00X01LZMG1</t>
  </si>
  <si>
    <t>Nespárovaná bankovní transakce  Příjem : 15168,00 Kč  Výpis č. 32 z 26.06.2014 č.ú. 7510006754/5400, VS = 64025367, SS =   Likvidace : Nováková Pavla Popis : ST. M?STO BRNO-M?STS - VOLBY PODZIM 2013 VRATKA NA</t>
  </si>
  <si>
    <t>150239</t>
  </si>
  <si>
    <t>FV -  MČ Maloměřice,Obřany</t>
  </si>
  <si>
    <t>MB00X01LO534</t>
  </si>
  <si>
    <t>Nespárovaná bankovní transakce  Příjem : 26733,20 Kč  Výpis č. 109 z 16.06.2014 č.ú. 7510005735/5400, VS = 64025367, SS =   Likvidace : Nováková Pavla Popis : ST. M?STO BRNO-M?STS -</t>
  </si>
  <si>
    <t>150240</t>
  </si>
  <si>
    <t>MB00X01LO529</t>
  </si>
  <si>
    <t>Nespárovaná bankovní transakce  Příjem : 106228,00 Kč  Výpis č. 109 z 16.06.2014 č.ú. 7510005735/5400, VS = 64025367, SS =   Likvidace : Nováková Pavla Popis : ST. M?STO BRNO-M?STS - FINANCNI VYPORADANI ZA ROK MC BRNO-JIH VRATKA ZA VOLBYPARLAMENTU CR</t>
  </si>
  <si>
    <t>150278</t>
  </si>
  <si>
    <t>FV - MČ Starý Lískovec</t>
  </si>
  <si>
    <t>MB00X01LP3A6</t>
  </si>
  <si>
    <t>Nespárovaná bankovní transakce  Příjem : 24145,84 Kč  Výpis č. 110 z 17.06.2014 č.ú. 7510005735/5400, VS = 64025367, SS =   Likvidace : Nováková Pavla Popis : ST. M?STO BRNO-M?STS - FV 2013 STARY LISKOVEC</t>
  </si>
  <si>
    <t>150279</t>
  </si>
  <si>
    <t>FV - MČ Líšeň</t>
  </si>
  <si>
    <t>MB00X01LP39B</t>
  </si>
  <si>
    <t>Nespárovaná bankovní transakce  Příjem : 35892,59 Kč  Výpis č. 110 z 17.06.2014 č.ú. 7510005735/5400, VS = 64025367, SS =   Likvidace : Nováková Pavla Popis : ST.M?STO BRNO-M?STSK -</t>
  </si>
  <si>
    <t>150284</t>
  </si>
  <si>
    <t>FV - MČ Bohunice</t>
  </si>
  <si>
    <t>MB00X01LQ82Y</t>
  </si>
  <si>
    <t>Nespárovaná bankovní transakce  Příjem : 4824,00 Kč  Výpis č. 111 z 18.06.2014 č.ú. 7510005735/5400, VS = 64025367, SS =   Likvidace : Nováková Pavla Popis : ST. M?STO BRNO-M?STS -</t>
  </si>
  <si>
    <t>150334</t>
  </si>
  <si>
    <t>MB00X01LQVWB</t>
  </si>
  <si>
    <t>Nespárovaná bankovní transakce  Příjem : 25,00 Kč  Výpis č. 112 z 19.06.2014 č.ú. 7510005735/5400, VS = 4499278528, SS =   Likvidace : Nováková Pavla Popis : ST. M?STO BRNO-M?STS - FINANCNI VYPORADANI</t>
  </si>
  <si>
    <t>150335</t>
  </si>
  <si>
    <t>FV - MČ Nový Lískovec</t>
  </si>
  <si>
    <t>MB00X01LQVX6</t>
  </si>
  <si>
    <t>Nespárovaná bankovní transakce  Příjem : 4107,28 Kč  Výpis č. 112 z 19.06.2014 č.ú. 7510005735/5400, VS = 64025367, SS =   Likvidace : Nováková Pavla Popis : STATUTARNI MESTO BRN -</t>
  </si>
  <si>
    <t>150340</t>
  </si>
  <si>
    <t>FV - MČ Komín</t>
  </si>
  <si>
    <t>MB00X01LT7AY</t>
  </si>
  <si>
    <t>Nespárovaná bankovní transakce  Příjem : 18883,47 Kč  Výpis č. 113 z 20.06.2014 č.ú. 7510005735/5400, VS = 3780210, SS =   Likvidace : Nováková Pavla Popis : STATUTARNI MESTO BRNO - MB00X01LQZL2</t>
  </si>
  <si>
    <t>150358</t>
  </si>
  <si>
    <t>FV - MČ Medlánky</t>
  </si>
  <si>
    <t>MB00X01LX5HX</t>
  </si>
  <si>
    <t>Nespárovaná bankovní transakce  Příjem : 5783,00 Kč  Výpis č. 115 z 24.06.2014 č.ú. 7510005735/5400, VS = 64025367, SS =   Likvidace : Nováková Pavla Popis : ST. M?STO BRNO-M?STS - MEDLANKY FIN.VYP.</t>
  </si>
  <si>
    <t>150359</t>
  </si>
  <si>
    <t>MB00X01LX5G2</t>
  </si>
  <si>
    <t>Nespárovaná bankovní transakce  Příjem : 9760,40 Kč  Výpis č. 115 z 24.06.2014 č.ú. 7510005735/5400, VS = 64025367, SS =   Likvidace : Nováková Pavla Popis : STATUT+RN? M?STO BRN -</t>
  </si>
  <si>
    <t>150360</t>
  </si>
  <si>
    <t>MB00X01LX5JN</t>
  </si>
  <si>
    <t>Nespárovaná bankovní transakce  Příjem : 15339,90 Kč  Výpis č. 115 z 24.06.2014 č.ú. 7510005735/5400, VS = 3780210, SS =   Likvidace : Nováková Pavla Popis : STATUTARNI MESTO BRNO - MB00X01LV4F4</t>
  </si>
  <si>
    <t>150363</t>
  </si>
  <si>
    <t>FV - MČ Královo Pole</t>
  </si>
  <si>
    <t>MB00X01LYSN9</t>
  </si>
  <si>
    <t>Nespárovaná bankovní transakce  Příjem : 139315,78 Kč  Výpis č. 116 z 25.06.2014 č.ú. 7510005735/5400, VS = 64025367, SS =   Likvidace : Nováková Pavla Popis : STATUTARNI MESTO BRN - ODESLANI FINANCNIHO VYPORADOK 2013 NA MMB</t>
  </si>
  <si>
    <t>150370</t>
  </si>
  <si>
    <t>MB00X01LZMLC</t>
  </si>
  <si>
    <t>Nespárovaná bankovní transakce  Příjem : 6766,00 Kč  Výpis č. 117 z 26.06.2014 č.ú. 7510005735/5400, VS = 64025367, SS =   Likvidace : Nováková Pavla Popis : ST. M?STO BRNO-M?STS - VOLBY PODZIM 2013 VRATKA NA</t>
  </si>
  <si>
    <t>400018</t>
  </si>
  <si>
    <t>400020</t>
  </si>
  <si>
    <t>400022</t>
  </si>
  <si>
    <t>400024</t>
  </si>
  <si>
    <t>400026</t>
  </si>
  <si>
    <t>400028</t>
  </si>
  <si>
    <t>400030</t>
  </si>
  <si>
    <t>400032</t>
  </si>
  <si>
    <t>400034</t>
  </si>
  <si>
    <t>400036</t>
  </si>
  <si>
    <t>400038</t>
  </si>
  <si>
    <t>400040</t>
  </si>
  <si>
    <t>400042</t>
  </si>
  <si>
    <t>400044</t>
  </si>
  <si>
    <t>400046</t>
  </si>
  <si>
    <t>400048</t>
  </si>
  <si>
    <t>400050</t>
  </si>
  <si>
    <t>400052</t>
  </si>
  <si>
    <t>400054</t>
  </si>
  <si>
    <t>400056</t>
  </si>
  <si>
    <t>400058</t>
  </si>
  <si>
    <t>400060</t>
  </si>
  <si>
    <t>400062</t>
  </si>
  <si>
    <t>400064</t>
  </si>
  <si>
    <t>400066</t>
  </si>
  <si>
    <t>400068</t>
  </si>
  <si>
    <t>400070</t>
  </si>
  <si>
    <t>Škodní událost - vytopení sklepních prostor Dětského rehabilitačního centra, Kyjevská 5, po přívalovém dešti</t>
  </si>
  <si>
    <t>Škodní událost - vytopení objektu správní budovy Městského fotbalového stadionu v Srbské ulici</t>
  </si>
  <si>
    <t>MB00X01N6PWR</t>
  </si>
  <si>
    <t>FV 2013 - doplatek dotace na SPOD  *IC-44992785;*DIC-CZ44992785;*DICT-Statutární město Brno;  *EVK-PRE-20141401885;*EVKT-FV 2013 - doplatek dotace na SPOD;*PID-MB00X01N6PWR;</t>
  </si>
  <si>
    <t>k 31.12.2014</t>
  </si>
  <si>
    <t>Skuteč. k 31.12.2014</t>
  </si>
  <si>
    <t>FOND ROZVOJE BYDLENÍ</t>
  </si>
  <si>
    <t xml:space="preserve">Schválený </t>
  </si>
  <si>
    <t>Skutečnost k 31. 12. 2014</t>
  </si>
  <si>
    <t>rozpočet 2014</t>
  </si>
  <si>
    <t>k 31. 12. 2014</t>
  </si>
  <si>
    <t>Účet 419</t>
  </si>
  <si>
    <t>odsouhlaseno se Soldánovou</t>
  </si>
  <si>
    <t>Splátky z poskytnutých zápůjček</t>
  </si>
  <si>
    <t>Úroky ze zápůjček</t>
  </si>
  <si>
    <t>Připsané úroky na účet</t>
  </si>
  <si>
    <t>Ostatní převody, smluvní pokuty a penále</t>
  </si>
  <si>
    <t>Kapitálové</t>
  </si>
  <si>
    <t xml:space="preserve"> - investiční zápůjčky fyzickým osobám</t>
  </si>
  <si>
    <t xml:space="preserve"> - investiční zápůjčky městským částem</t>
  </si>
  <si>
    <t>Běžné</t>
  </si>
  <si>
    <t xml:space="preserve"> - neinvestiční zápůjčky městským částem</t>
  </si>
  <si>
    <t xml:space="preserve">                                     </t>
  </si>
  <si>
    <t xml:space="preserve"> - neinvestiční zápůjčky fyz. osobám</t>
  </si>
  <si>
    <t xml:space="preserve"> - neinvestiční zápůjčky práv. osobám</t>
  </si>
  <si>
    <t xml:space="preserve"> - zaplacené poplatky</t>
  </si>
  <si>
    <t xml:space="preserve"> - vratky přeplatků ze zápůjček</t>
  </si>
  <si>
    <t>Rozdíl mezi stavem účtu 419 a stavem příslušného bankovního účtu je tvořen saldem mezi poskytnutými zápůjčkami a přijatými splátkami zápůjček.</t>
  </si>
  <si>
    <t>Přehled o zápůjčkách poskytnutých z Fondu rozvoje bydlení města Brna a jejich splácení</t>
  </si>
  <si>
    <t>Ukazatel / Rok</t>
  </si>
  <si>
    <t>Počet žadatelů</t>
  </si>
  <si>
    <t>Počet smluv s otevřeným účtem</t>
  </si>
  <si>
    <t xml:space="preserve">Finanční prostředky poskytnuté </t>
  </si>
  <si>
    <t>na zápůjčky (v tis. Kč):</t>
  </si>
  <si>
    <t>_</t>
  </si>
  <si>
    <t xml:space="preserve">  - investiční</t>
  </si>
  <si>
    <t xml:space="preserve">     - neinvestiční</t>
  </si>
  <si>
    <t>Finanční prostředky ze splácení (v tis.Kč):</t>
  </si>
  <si>
    <t xml:space="preserve">            - úmory (splátky)</t>
  </si>
  <si>
    <t xml:space="preserve">              - úroky ze splácení</t>
  </si>
  <si>
    <t>FOND BYTOVÉ VÝSTAVBY</t>
  </si>
  <si>
    <t xml:space="preserve">Upravený rozpočet </t>
  </si>
  <si>
    <t>Skutečnost</t>
  </si>
  <si>
    <t>Předpis stavu fondu</t>
  </si>
  <si>
    <t>Ban.účet 236</t>
  </si>
  <si>
    <t>Převod do FRR ve výši 10 % z kupní ceny nemovitostí</t>
  </si>
  <si>
    <t>Převod z FRR - rozdíl mezi předpisem stavu fondu a stavem účtu 419 k 31.12.2013</t>
  </si>
  <si>
    <t>Převod z FRR - vratky transferů poskytnutých městským částem z FBV</t>
  </si>
  <si>
    <t>Převod do FKEP (spolufinancování projektů v odvětví bydlení)</t>
  </si>
  <si>
    <t>Převod do FKEP (krátkodobá návratná finanční výpomoc)</t>
  </si>
  <si>
    <t>Prodej nemovitostí v průběhu roku</t>
  </si>
  <si>
    <t>Prodej pozemků</t>
  </si>
  <si>
    <t>Pronájem pozemků</t>
  </si>
  <si>
    <t>Příjmy z nájemného - spoluvlastnický podíl</t>
  </si>
  <si>
    <t>Sankční platby přijaté od jiných subjektů</t>
  </si>
  <si>
    <t>Splátky zápůjček</t>
  </si>
  <si>
    <t>Dotace IPRM - projekt Stavební úpravy a půdní vestavba BD Bratislavská 60</t>
  </si>
  <si>
    <r>
      <t xml:space="preserve"> -</t>
    </r>
    <r>
      <rPr>
        <sz val="8"/>
        <rFont val="Times New Roman CE"/>
        <charset val="238"/>
      </rPr>
      <t xml:space="preserve"> použití dle zásad pro zapojení fin. prostředků FBV a ost.fondů, ORG 4925 </t>
    </r>
  </si>
  <si>
    <t xml:space="preserve"> - DPS Křídlovická, ORG 2937                                                                            </t>
  </si>
  <si>
    <t xml:space="preserve"> - DPS Mlýnská, ORG 2936</t>
  </si>
  <si>
    <t xml:space="preserve"> - bytové domy Vojtova, ORG 2933</t>
  </si>
  <si>
    <t xml:space="preserve"> - bytový dům B vč. komunikace a TI Jeneweinova, ORG 3129</t>
  </si>
  <si>
    <t xml:space="preserve"> - Zámečnická 2 - sdílené bydlení, ORG 2797</t>
  </si>
  <si>
    <t xml:space="preserve"> </t>
  </si>
  <si>
    <t xml:space="preserve"> - DPS Tuřany - Holásky, ORG 2913</t>
  </si>
  <si>
    <t xml:space="preserve"> - lokalita bydlení Holásky - TI, ORG 3197</t>
  </si>
  <si>
    <t xml:space="preserve"> - technické zhodnocení bytových domů ve správě OSM MMB, ORG 3036 (ORJ 6600)</t>
  </si>
  <si>
    <t xml:space="preserve"> - technické zhodnocení sociálních bytů, ORG 2925 (ORJ 6600)</t>
  </si>
  <si>
    <t xml:space="preserve"> - protihlukové opatření - výměna oken, ORG 2852 (ORJ 5600)</t>
  </si>
  <si>
    <t xml:space="preserve"> - sanace odvodňovacích vrtů Brno-Bystrc, 2. etapa, ORG 2900 (ORJ 5600)</t>
  </si>
  <si>
    <t xml:space="preserve"> - rekonstrukce a dostavba kanalizace v Brně, ORG 3375 (ORJ 5600)</t>
  </si>
  <si>
    <t xml:space="preserve"> - tramvaj Plotní, soubor staveb, ORG 4276 (ORJ 5600)</t>
  </si>
  <si>
    <t xml:space="preserve"> - ÚN v Brně - rek. střechy a půdní vest. kanceláří Koliště 41, ORG 2821 (ORJ 5600)</t>
  </si>
  <si>
    <t xml:space="preserve"> - Přírodní koupací biotop, Horní Heršpice, ORG 2824 (ORJ 5600)</t>
  </si>
  <si>
    <t xml:space="preserve"> - použití finančních prostředků FBV - rezerva, ORG 2818 (ORJ 5600)</t>
  </si>
  <si>
    <t xml:space="preserve"> - nabytí pozemku v k.ú. Židenice, ORG 2806 (ORJ 6300)</t>
  </si>
  <si>
    <t xml:space="preserve"> - rekonstrukce školských zařízení, ORG 3192 (ORJ 7400)</t>
  </si>
  <si>
    <t xml:space="preserve"> - investiční zápůjčky MČ (ORJ 1700)</t>
  </si>
  <si>
    <t xml:space="preserve"> - investiční transfery MČ (ORJ 1700)</t>
  </si>
  <si>
    <t xml:space="preserve"> - investiční transfery MČ (ORJ 7400)</t>
  </si>
  <si>
    <t xml:space="preserve"> - náklady na uplatnění oprav - fyzické osoby</t>
  </si>
  <si>
    <t xml:space="preserve"> - náklady na uplatnění oprav - právnické osoby</t>
  </si>
  <si>
    <t xml:space="preserve"> - náklady na uplatnění oprav - společenství vlastníků </t>
  </si>
  <si>
    <t xml:space="preserve"> - náklady na uplatnění oprav - spolky</t>
  </si>
  <si>
    <t xml:space="preserve"> - znalecké posudky, studie </t>
  </si>
  <si>
    <t xml:space="preserve"> - nákup služeb a geometrické plány</t>
  </si>
  <si>
    <t xml:space="preserve"> - správní poplatky</t>
  </si>
  <si>
    <t xml:space="preserve"> - daň z nabytí nemovitých věcí</t>
  </si>
  <si>
    <t xml:space="preserve"> - poštovné</t>
  </si>
  <si>
    <t xml:space="preserve"> - nájemné</t>
  </si>
  <si>
    <t xml:space="preserve"> - náhrady nájemného MČ -  sociální byty (pol.5341)</t>
  </si>
  <si>
    <t xml:space="preserve"> - poskytnuté neinvestiční příspěvky a náhrady</t>
  </si>
  <si>
    <t xml:space="preserve"> - úhrady sankcí jiným rozpočtům</t>
  </si>
  <si>
    <t xml:space="preserve"> - údržba vrty Brno-Bystrc, OSM MMB (ORJ 6600)</t>
  </si>
  <si>
    <t xml:space="preserve"> - opravy bytových domů ve správě OSM MMB (ORJ 6600)</t>
  </si>
  <si>
    <t xml:space="preserve"> - opravy bytových domů svěřených MČ-sociální byty (ORJ 6600)</t>
  </si>
  <si>
    <t xml:space="preserve"> - opravy školských zařízení (ORJ 7400)</t>
  </si>
  <si>
    <t xml:space="preserve"> - neinvestiční transfery MČ na školská zařízení (ORJ 7400)</t>
  </si>
  <si>
    <t xml:space="preserve"> - neinvestiční transfery MČ (ORJ 1700)</t>
  </si>
  <si>
    <t>Finanční vypořádání roku 2014</t>
  </si>
  <si>
    <t>Stav účtu 419 k 31. 12. 2014</t>
  </si>
  <si>
    <t xml:space="preserve">Převod z FBV do FRR: rozdíl mezi předpisem stavu fondu (2 143 986 tis. Kč) a stavem účtu 419 (2 145 597 tis. Kč) </t>
  </si>
  <si>
    <t>Převod z FRR do FBV: vratky transferů poskytnutých městským částem z FBV</t>
  </si>
  <si>
    <t>Převod z FBV do FRR: příjem městských částí ve výši 10 % z kupní ceny prodaných nemovitostí</t>
  </si>
  <si>
    <t>Stav Fondu bytové výstavby po finančním vypořádání</t>
  </si>
  <si>
    <t>FOND KOFINANCOVÁNÍ</t>
  </si>
  <si>
    <t>Schválený rozpočet 2014</t>
  </si>
  <si>
    <t>Skutečnost (předpis)</t>
  </si>
  <si>
    <t>Skutečnost k 31.12.2014</t>
  </si>
  <si>
    <t>EVROPSKÝCH PROJEKTŮ</t>
  </si>
  <si>
    <t xml:space="preserve"> k 31.12.2014</t>
  </si>
  <si>
    <t>bank. účet 236</t>
  </si>
  <si>
    <t>Příjem z finančního vypořádání roku 2013</t>
  </si>
  <si>
    <t>Přijaté splátky půjčených prostředků z FKEP</t>
  </si>
  <si>
    <t>Přijaté příspěvky</t>
  </si>
  <si>
    <t>Přijaté transfery od městských částí</t>
  </si>
  <si>
    <t xml:space="preserve">Tvorba fondu z refundovaných prostředků </t>
  </si>
  <si>
    <t>Převod z FBV (spolufinancování projektů v odvětví bydlení)</t>
  </si>
  <si>
    <t>Převod z FBV (krátkodobá návratná finanční výpomoc)</t>
  </si>
  <si>
    <t>Příjmy z úroků</t>
  </si>
  <si>
    <t>5014</t>
  </si>
  <si>
    <t>- Strategie parkování v městě Brně</t>
  </si>
  <si>
    <t>5015</t>
  </si>
  <si>
    <t>- Rekonstrukce Wilsonova lesa</t>
  </si>
  <si>
    <t>5023</t>
  </si>
  <si>
    <t>- Zelný trh</t>
  </si>
  <si>
    <t>5041</t>
  </si>
  <si>
    <t>- Sportovní areál Brno-Útěchov</t>
  </si>
  <si>
    <t>5042</t>
  </si>
  <si>
    <t>- Areál dopravní výchovy</t>
  </si>
  <si>
    <t>5055</t>
  </si>
  <si>
    <t>- Zahrada v pohybu</t>
  </si>
  <si>
    <t>5057</t>
  </si>
  <si>
    <t>- Areál volného času při ulici Mírová</t>
  </si>
  <si>
    <t>5068</t>
  </si>
  <si>
    <t>- Rekonstrukce bytového domu Francouzská 42</t>
  </si>
  <si>
    <t>5071</t>
  </si>
  <si>
    <t>- Rekonstrukce bytového domu Bratislavská 39</t>
  </si>
  <si>
    <t>5072</t>
  </si>
  <si>
    <t>- Rekonstrukce bytového domu Bratislavská 36a</t>
  </si>
  <si>
    <t>5073</t>
  </si>
  <si>
    <t>- Rekonstrukce bytového domu Bratislavská 60</t>
  </si>
  <si>
    <t>5086</t>
  </si>
  <si>
    <t>- Zavedení služby tísňové péče</t>
  </si>
  <si>
    <t>5094</t>
  </si>
  <si>
    <t>- Revitalizace městských parků, II. etapa</t>
  </si>
  <si>
    <t>5096</t>
  </si>
  <si>
    <t>- Rekonstrukce objektu Hlídka 4</t>
  </si>
  <si>
    <t>5097</t>
  </si>
  <si>
    <t>- ZŠ Novolíšeňská - Sportovní centrum pro všechny generace</t>
  </si>
  <si>
    <t>5098</t>
  </si>
  <si>
    <t>- Park Hvězdička</t>
  </si>
  <si>
    <t>5102</t>
  </si>
  <si>
    <t>- Sportovní areál lokalita Hněvkovského</t>
  </si>
  <si>
    <t>5112</t>
  </si>
  <si>
    <t>- Digitalizace archivu města Brna</t>
  </si>
  <si>
    <t>5119</t>
  </si>
  <si>
    <t>- Knihovna pro město</t>
  </si>
  <si>
    <t>5121</t>
  </si>
  <si>
    <t>- Novostavba tělovcičny v MČ Brno-Tuřany</t>
  </si>
  <si>
    <t>5122</t>
  </si>
  <si>
    <t>- Domov pro seniory, Foltýnova 21, Brno - odstranění bariér a zvýšení lůžkové kapacity</t>
  </si>
  <si>
    <t>5123</t>
  </si>
  <si>
    <t>- Otevřená škola - pohybem k zdravému životnímu stylu</t>
  </si>
  <si>
    <t>5124</t>
  </si>
  <si>
    <t>- IN line dráha při ZŠ Brno, Pavlovská 16, Brno - Kohoutovice</t>
  </si>
  <si>
    <t>5125</t>
  </si>
  <si>
    <t>- Rekonstrukce sportoviště při ZŠ Jasanová 2, Jundrov - 2.etapa</t>
  </si>
  <si>
    <t>5126</t>
  </si>
  <si>
    <t>- Relaxační a pohybové prostory ZŠ, Bosonožské náměstí 44, včetně technického a sociálního zázemí</t>
  </si>
  <si>
    <t>5127</t>
  </si>
  <si>
    <t>- Sportovní areál při Masarykově základní škole a Mateřské škole Bno, Zemědělská</t>
  </si>
  <si>
    <t>5134</t>
  </si>
  <si>
    <t>- Stavební úpravy ZŠ Mutěnická - 3. etapa</t>
  </si>
  <si>
    <t>5135</t>
  </si>
  <si>
    <t>- Zelená mateřská škola Oblá</t>
  </si>
  <si>
    <t>5136</t>
  </si>
  <si>
    <t>- ZŠ Brno, Hroznová 1 - nástavba tělocvičny - vybudování jazykové učebny</t>
  </si>
  <si>
    <t>5139</t>
  </si>
  <si>
    <t>- ZOO Brno - expozice klokanů</t>
  </si>
  <si>
    <t>5140</t>
  </si>
  <si>
    <t>- Kalahari - africká vesnice</t>
  </si>
  <si>
    <t>5141</t>
  </si>
  <si>
    <t>- Expozice orlů</t>
  </si>
  <si>
    <t>5142</t>
  </si>
  <si>
    <t>- Zateplení ZŠ Blažkova</t>
  </si>
  <si>
    <t>5144</t>
  </si>
  <si>
    <t>- Zvýšení atraktivity Brněnské přehrady</t>
  </si>
  <si>
    <t>5146</t>
  </si>
  <si>
    <t>- Zateplení ZŠ Labská</t>
  </si>
  <si>
    <t xml:space="preserve">5147 </t>
  </si>
  <si>
    <t>- Zateplení ZŠ Úvoz</t>
  </si>
  <si>
    <t>5148</t>
  </si>
  <si>
    <t>- Nízkoprahové centrum v parku Hvězdička</t>
  </si>
  <si>
    <t>5150</t>
  </si>
  <si>
    <t>- Zateplení ZŠ Svážná</t>
  </si>
  <si>
    <t>5151</t>
  </si>
  <si>
    <t>- Zateplení ZŠ Přemyslovo náměstí</t>
  </si>
  <si>
    <t>5152</t>
  </si>
  <si>
    <t>- Zateplení ZŠ Vedlejší</t>
  </si>
  <si>
    <t>5153</t>
  </si>
  <si>
    <t>- Zateplení MŠ Měřičkova</t>
  </si>
  <si>
    <t>5154</t>
  </si>
  <si>
    <t>- Zateplení MŠ Hněvkovského</t>
  </si>
  <si>
    <t>5155</t>
  </si>
  <si>
    <t>- Zateplení MŠ Škrétova</t>
  </si>
  <si>
    <t>5156</t>
  </si>
  <si>
    <t>- Zateplení MŠ Absolonova</t>
  </si>
  <si>
    <t>5157</t>
  </si>
  <si>
    <t>- Zateplení SVČ Stamicova</t>
  </si>
  <si>
    <t>5162</t>
  </si>
  <si>
    <t>- CIVITAS 2MOVE2</t>
  </si>
  <si>
    <t>5165</t>
  </si>
  <si>
    <t>- Úprava ploch veřejné zeleně v okolí bytových domů Sibiřská 60, 62, 64, Brno-Řečkovice</t>
  </si>
  <si>
    <t>5172</t>
  </si>
  <si>
    <t>- Dopravní telematika ve městě Brně - 1. část</t>
  </si>
  <si>
    <t>5173</t>
  </si>
  <si>
    <t>- Dopravní telematika ve městě Brně - 2. část</t>
  </si>
  <si>
    <t>5174</t>
  </si>
  <si>
    <t>- Dopravní telematika ve městě Brně - 3. část</t>
  </si>
  <si>
    <t>5175</t>
  </si>
  <si>
    <t>Rekonstrukce v objektu NMB - humanizace lůžkové péče pro dlouhodobě nemocné</t>
  </si>
  <si>
    <t>5176</t>
  </si>
  <si>
    <t>Oddělení stálé chirurgické a úrazové služby Úrazové nemocnice v Brně - rekonstrukce a přístavba</t>
  </si>
  <si>
    <t>5177</t>
  </si>
  <si>
    <t>Revitalizace sportovních ploch při MŠ a ZŠ v MČ Brno - Židenice</t>
  </si>
  <si>
    <t>5178</t>
  </si>
  <si>
    <t>ZŠ Vranovská - rekonstrukce hřiště</t>
  </si>
  <si>
    <t>5179</t>
  </si>
  <si>
    <t>Rekonstrukce sportovišť v MČ Brno-střed</t>
  </si>
  <si>
    <t>5180</t>
  </si>
  <si>
    <t>Regenerace sportovišť v lokalitách Vsetínská, Trýbova, Čechyňská</t>
  </si>
  <si>
    <t>5181</t>
  </si>
  <si>
    <t>Regenerace veřejných prostranství pro volnočasové aktivity nekomerčního charakteru na území MČ Brno-sever</t>
  </si>
  <si>
    <t>5182</t>
  </si>
  <si>
    <t>Sportovně-rekreační plocha Kartouzská, Brno</t>
  </si>
  <si>
    <t>5184</t>
  </si>
  <si>
    <t>- Sanace - skalní řícení v ulici Pod Horkou</t>
  </si>
  <si>
    <t>5188</t>
  </si>
  <si>
    <t>- Úprava zahrady v přírodním stylu, MŠ Veslařská</t>
  </si>
  <si>
    <t>Stavební úpravy ZŠ a MŠ JANA BROSKVY 388/3 a 139/1, 643 00 BRNO - CHRLICE</t>
  </si>
  <si>
    <t>Stavební úpravy mateřské školy Řezáčova</t>
  </si>
  <si>
    <t>MŠ Kohoutova 6 - zateplení budovy a výměna oken</t>
  </si>
  <si>
    <t>Zateplení fasády objektu SVČ a KJM Lány 3 v MČ Brno - Bohunice</t>
  </si>
  <si>
    <t>Revitalizace městských parků, III. etapa</t>
  </si>
  <si>
    <t>Školní účelové hřiště při ZŠ Otevřená</t>
  </si>
  <si>
    <t>Rekonstrukce NKP Špilberk - vodojemy, severní křídlo</t>
  </si>
  <si>
    <t>Stavební úpravy Domova pro seniory Foltýnova</t>
  </si>
  <si>
    <t>Zateplení logopedického stacionáře Synkova</t>
  </si>
  <si>
    <t>Regenerace veřejných prostranství pro volnočasové aktivity a revitalizace volně přístupných sportovišť v MČ Brno-Jundrov</t>
  </si>
  <si>
    <t>Regenerace sportovišť v lokalitách Rybářská, Botanická a transformace sportoviště Vysoká na parkour</t>
  </si>
  <si>
    <t>Rekonstrukce víceúčelového hřiště v areálu ZŠ Arménská 21</t>
  </si>
  <si>
    <t>5099</t>
  </si>
  <si>
    <t>Příprava strategických projektů pro nové programovací období</t>
  </si>
  <si>
    <t>5026</t>
  </si>
  <si>
    <t>- CITIVAS - ELAN</t>
  </si>
  <si>
    <t>5058</t>
  </si>
  <si>
    <t>- Manažer IPRM Brna</t>
  </si>
  <si>
    <t>- Předprojektová příprava</t>
  </si>
  <si>
    <t>5100</t>
  </si>
  <si>
    <t>- Procesní optimalizace, implementace projektového řízení a monitoring spokojenosti uživatelů služeb na TSB</t>
  </si>
  <si>
    <t>5106</t>
  </si>
  <si>
    <t>- Úprava zeleně na ulicích Okrouhlá, Vedlejší a Pod Nemocnicí</t>
  </si>
  <si>
    <t>5107</t>
  </si>
  <si>
    <t>- Realizace skladebných částí ÚSES v k.ú. Tuřany</t>
  </si>
  <si>
    <t>5108</t>
  </si>
  <si>
    <t>- Rekonstrukce parku Lužánky, V. etapa, 2. část</t>
  </si>
  <si>
    <t>5110</t>
  </si>
  <si>
    <t>- Rozvojové dokumenty Strategie pro Brno</t>
  </si>
  <si>
    <t>5111</t>
  </si>
  <si>
    <t>- Optimalizace řízení informatiky MMB</t>
  </si>
  <si>
    <t>5137</t>
  </si>
  <si>
    <t>- Orlí, Měnínská a Novobranská</t>
  </si>
  <si>
    <t>5147</t>
  </si>
  <si>
    <t>5158</t>
  </si>
  <si>
    <t>- Zřízení parčíku v MČ Brno - Útěchov</t>
  </si>
  <si>
    <t>5159</t>
  </si>
  <si>
    <t>- Farská zahrada v městské části Brno - Komín</t>
  </si>
  <si>
    <t>5160</t>
  </si>
  <si>
    <t>- Obnova zeleně v rekreačních zónách v MČ Brno - Bohunice</t>
  </si>
  <si>
    <t>5161</t>
  </si>
  <si>
    <t>Partnerství subjektů meziuniverzitní studentské sítě</t>
  </si>
  <si>
    <t>5163</t>
  </si>
  <si>
    <t>- Nastavení procesního řízení do každodenní praxe MMB</t>
  </si>
  <si>
    <t>5164</t>
  </si>
  <si>
    <t>- CH4LLENGE</t>
  </si>
  <si>
    <t>Úprava ploch veřejné zeleně v okolí bytových domů Sibiřská 60, 62, 64, Brno-Řečkovice</t>
  </si>
  <si>
    <t>5166</t>
  </si>
  <si>
    <t>- Výsadba izolační zeleně Žarošická, Jedovnická, Novolíšeňská</t>
  </si>
  <si>
    <t>5167</t>
  </si>
  <si>
    <t>- Realizace skladebných částí ÚSES - interakční prvek V Zátiší</t>
  </si>
  <si>
    <t>5168</t>
  </si>
  <si>
    <t>- Lokální biokoridor Medlánky - letiště</t>
  </si>
  <si>
    <t>5169</t>
  </si>
  <si>
    <t>- Realizace skladebných částí ÚSES - část regionálního biocentra Ráječek</t>
  </si>
  <si>
    <t>5171</t>
  </si>
  <si>
    <t>- Realizace skladebných částí územního systému ekologické stability - biokoridory Bosonožský hájek a K ulici Dlážděná</t>
  </si>
  <si>
    <t>5185</t>
  </si>
  <si>
    <t>- Příprava a realizace prvků územního systému ekologické stability - ÚSES v k-ú. Chrlice</t>
  </si>
  <si>
    <t>5186</t>
  </si>
  <si>
    <t>Příprava a realizace prvků územního systému ekologické stability - Lokální biokoridor Heršpická Leskava</t>
  </si>
  <si>
    <t>5187</t>
  </si>
  <si>
    <t>Příprava a realizace prvků územního systému ekologické stability Regionální biocentrum Stará řeka</t>
  </si>
  <si>
    <t>5193</t>
  </si>
  <si>
    <t>- Město Brno zvyšuje kvalitu vzdělávání v základních školách</t>
  </si>
  <si>
    <t>Násilí věc (ne)veřejná</t>
  </si>
  <si>
    <t>FINANČNÍ VYPOŘÁDÁNÍ ROKU 2014</t>
  </si>
  <si>
    <t xml:space="preserve"> - převod z FKEP do FRR - cestovné vyplácené na pokladně ORG 5162, ORG 5163</t>
  </si>
  <si>
    <t xml:space="preserve"> - převod z FRR do FKEP - nevyčerpaný převod z FKEP na depozitní účet, ORG 5193</t>
  </si>
  <si>
    <t>Stav Fondu kofinancování evropských projektů po finančním vypořádání</t>
  </si>
  <si>
    <t>RCH</t>
  </si>
  <si>
    <t>SOCIÁLNÍ FOND</t>
  </si>
  <si>
    <t>Schválený</t>
  </si>
  <si>
    <t>Předpis stavu</t>
  </si>
  <si>
    <t>Skut. k 31. 12. 2014</t>
  </si>
  <si>
    <t>MMB a MP</t>
  </si>
  <si>
    <t>fondu k 31. 12. 2014</t>
  </si>
  <si>
    <t xml:space="preserve"> Bank. účet 236</t>
  </si>
  <si>
    <t>Příjmy z finančního vypořádání roku 2013</t>
  </si>
  <si>
    <t>Příjmy z poplatků rekreačního střediska MP (Sykovec)</t>
  </si>
  <si>
    <t>Příjmy z poplatků rekreačních chat MMB (Jedovnice, Unčín, Rakovec)</t>
  </si>
  <si>
    <t>Ostatní příjmy</t>
  </si>
  <si>
    <t>Doplňkový příděl fondu za zaměstnance MMB a uvolněné členy ZMB</t>
  </si>
  <si>
    <t>Zúčtování výdajů SF za 4. čtvrtletí 2014, ostatní příjmy</t>
  </si>
  <si>
    <t>Zálohový příděl fondu:</t>
  </si>
  <si>
    <t xml:space="preserve"> - za zaměstnance MMB a uvolněné členy ZMB (5 % z hrubých mezd)</t>
  </si>
  <si>
    <t xml:space="preserve"> - za zaměstnance Městské policie (5 % z hrubých mezd)</t>
  </si>
  <si>
    <t>Městská policie:</t>
  </si>
  <si>
    <t>Rekonstrukce chat RZ Sykovec (ORG 2977)</t>
  </si>
  <si>
    <t>Magistrát města Brna:</t>
  </si>
  <si>
    <t>Příspěvek na penzijní připojištění / životní pojištění / preventivní vyšetření / rekreaci / lázeňskou péči / rehabilitaci</t>
  </si>
  <si>
    <t>Příspěvek na stravování</t>
  </si>
  <si>
    <t xml:space="preserve">Dary </t>
  </si>
  <si>
    <t>Běžné výdaje rekreačních zařízení (Jedovnice, Unčín, Rakovec)</t>
  </si>
  <si>
    <t>Úhrada prokázaných výdajů odborové organizace na společenskou, kulturní a vzdělávací činnost</t>
  </si>
  <si>
    <t>Jazykové kurzy</t>
  </si>
  <si>
    <t xml:space="preserve">Ošatné </t>
  </si>
  <si>
    <t>Běžné výdaje rekreačních zařízení (Sykovec)</t>
  </si>
  <si>
    <t>Sportovní akce Městské policie</t>
  </si>
  <si>
    <t>Právní služby</t>
  </si>
  <si>
    <t>Příspěvek na MHD</t>
  </si>
  <si>
    <t>Příspěvek na penzijní připojištění</t>
  </si>
  <si>
    <t>Příspěvek na sport</t>
  </si>
  <si>
    <t>Převod z FRR do SF - rozdíl mezi předpisem stavu fondu a skutečností</t>
  </si>
  <si>
    <t>Stav Sociálního fondu po finančním vypořádání</t>
  </si>
  <si>
    <t>VEŘEJNÁ SBÍRKA MĚSTSKÉ POLICIE BRNO</t>
  </si>
  <si>
    <t>Příjmy z veřejné sbírky - peněžité příspěvky</t>
  </si>
  <si>
    <t xml:space="preserve">Zapojení veřejné sbírky k financování běžných výdajů Útulku pro opuštěná zvířata </t>
  </si>
  <si>
    <t>Konání Veřejné sbírky na činnost Útulku pro opuštěná zvířata a odchytové a asanační služby Městské policie schválila Rada města Brna na své R6/107. schůzi, konané dne 12. 6. 2013. Sbírka (na dobu neurčitou) byla zahájena 26. 6.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</si>
</sst>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\ &quot;Kč&quot;"/>
  </numFmts>
  <fonts count="72" x14ac:knownFonts="1"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ourier"/>
      <family val="1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b/>
      <u/>
      <sz val="10"/>
      <color indexed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8"/>
      <name val="Arial CE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color rgb="FFFF000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sz val="10"/>
      <name val="Tahoma"/>
      <family val="2"/>
      <charset val="238"/>
    </font>
    <font>
      <b/>
      <sz val="13"/>
      <name val="Times New Roman CE"/>
      <charset val="238"/>
    </font>
    <font>
      <i/>
      <sz val="13"/>
      <name val="Times New Roman CE"/>
      <charset val="238"/>
    </font>
    <font>
      <i/>
      <sz val="13"/>
      <color rgb="FFFF0000"/>
      <name val="Times New Roman CE"/>
      <charset val="238"/>
    </font>
    <font>
      <sz val="13"/>
      <name val="Times New Roman CE"/>
      <charset val="238"/>
    </font>
    <font>
      <sz val="12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 CE"/>
      <family val="1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theme="1" tint="0.499984740745262"/>
      </left>
      <right style="dashDot">
        <color theme="1" tint="0.499984740745262"/>
      </right>
      <top/>
      <bottom/>
      <diagonal/>
    </border>
    <border>
      <left style="dashDot">
        <color theme="1" tint="0.499984740745262"/>
      </left>
      <right style="dashDot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theme="1" tint="0.499984740745262"/>
      </left>
      <right style="dashDot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7" fillId="0" borderId="0"/>
    <xf numFmtId="0" fontId="19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25" fillId="0" borderId="0"/>
    <xf numFmtId="0" fontId="11" fillId="0" borderId="0"/>
    <xf numFmtId="0" fontId="28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35" fillId="0" borderId="0" applyFont="0" applyFill="0" applyBorder="0" applyAlignment="0" applyProtection="0"/>
    <xf numFmtId="0" fontId="35" fillId="0" borderId="0"/>
    <xf numFmtId="0" fontId="53" fillId="0" borderId="0"/>
  </cellStyleXfs>
  <cellXfs count="554">
    <xf numFmtId="0" fontId="0" fillId="0" borderId="0" xfId="0"/>
    <xf numFmtId="0" fontId="22" fillId="0" borderId="0" xfId="0" applyFont="1"/>
    <xf numFmtId="4" fontId="22" fillId="0" borderId="0" xfId="0" applyNumberFormat="1" applyFont="1"/>
    <xf numFmtId="49" fontId="22" fillId="0" borderId="0" xfId="0" applyNumberFormat="1" applyFont="1"/>
    <xf numFmtId="0" fontId="23" fillId="0" borderId="11" xfId="0" applyFont="1" applyFill="1" applyBorder="1"/>
    <xf numFmtId="0" fontId="23" fillId="0" borderId="2" xfId="0" applyFont="1" applyFill="1" applyBorder="1" applyAlignment="1">
      <alignment horizontal="center"/>
    </xf>
    <xf numFmtId="0" fontId="22" fillId="0" borderId="0" xfId="0" applyFont="1" applyFill="1"/>
    <xf numFmtId="0" fontId="22" fillId="0" borderId="12" xfId="0" applyFont="1" applyFill="1" applyBorder="1"/>
    <xf numFmtId="4" fontId="22" fillId="0" borderId="4" xfId="0" applyNumberFormat="1" applyFont="1" applyFill="1" applyBorder="1"/>
    <xf numFmtId="4" fontId="22" fillId="0" borderId="4" xfId="0" applyNumberFormat="1" applyFont="1" applyFill="1" applyBorder="1" applyAlignment="1"/>
    <xf numFmtId="0" fontId="22" fillId="0" borderId="0" xfId="0" applyFont="1" applyFill="1" applyBorder="1"/>
    <xf numFmtId="4" fontId="22" fillId="0" borderId="0" xfId="0" applyNumberFormat="1" applyFont="1" applyFill="1" applyBorder="1"/>
    <xf numFmtId="4" fontId="23" fillId="0" borderId="0" xfId="0" applyNumberFormat="1" applyFont="1"/>
    <xf numFmtId="0" fontId="22" fillId="0" borderId="11" xfId="0" applyFont="1" applyFill="1" applyBorder="1"/>
    <xf numFmtId="4" fontId="23" fillId="0" borderId="2" xfId="0" applyNumberFormat="1" applyFont="1" applyFill="1" applyBorder="1"/>
    <xf numFmtId="0" fontId="23" fillId="0" borderId="0" xfId="0" applyFont="1"/>
    <xf numFmtId="0" fontId="23" fillId="0" borderId="11" xfId="0" applyFont="1" applyBorder="1"/>
    <xf numFmtId="0" fontId="23" fillId="0" borderId="2" xfId="0" applyFont="1" applyBorder="1"/>
    <xf numFmtId="0" fontId="22" fillId="0" borderId="12" xfId="0" applyFont="1" applyBorder="1"/>
    <xf numFmtId="0" fontId="22" fillId="0" borderId="13" xfId="0" applyFont="1" applyBorder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23" fillId="0" borderId="9" xfId="0" applyFont="1" applyBorder="1" applyAlignment="1">
      <alignment horizontal="center"/>
    </xf>
    <xf numFmtId="0" fontId="23" fillId="0" borderId="1" xfId="0" applyFont="1" applyBorder="1"/>
    <xf numFmtId="0" fontId="22" fillId="0" borderId="3" xfId="0" applyFont="1" applyBorder="1"/>
    <xf numFmtId="4" fontId="22" fillId="0" borderId="12" xfId="0" applyNumberFormat="1" applyFont="1" applyFill="1" applyBorder="1"/>
    <xf numFmtId="4" fontId="22" fillId="0" borderId="0" xfId="0" applyNumberFormat="1" applyFont="1" applyAlignment="1"/>
    <xf numFmtId="49" fontId="22" fillId="0" borderId="12" xfId="0" applyNumberFormat="1" applyFont="1" applyFill="1" applyBorder="1"/>
    <xf numFmtId="0" fontId="22" fillId="0" borderId="3" xfId="0" applyFont="1" applyBorder="1" applyAlignment="1">
      <alignment horizontal="justify" wrapText="1"/>
    </xf>
    <xf numFmtId="4" fontId="22" fillId="0" borderId="12" xfId="0" applyNumberFormat="1" applyFont="1" applyFill="1" applyBorder="1" applyAlignment="1">
      <alignment shrinkToFit="1"/>
    </xf>
    <xf numFmtId="4" fontId="22" fillId="0" borderId="11" xfId="0" applyNumberFormat="1" applyFont="1" applyFill="1" applyBorder="1"/>
    <xf numFmtId="0" fontId="22" fillId="0" borderId="3" xfId="0" applyFont="1" applyBorder="1" applyAlignment="1">
      <alignment wrapText="1"/>
    </xf>
    <xf numFmtId="4" fontId="22" fillId="0" borderId="0" xfId="0" applyNumberFormat="1" applyFont="1" applyFill="1"/>
    <xf numFmtId="0" fontId="22" fillId="0" borderId="5" xfId="0" applyFont="1" applyBorder="1"/>
    <xf numFmtId="3" fontId="22" fillId="0" borderId="5" xfId="0" applyNumberFormat="1" applyFont="1" applyBorder="1"/>
    <xf numFmtId="3" fontId="22" fillId="0" borderId="0" xfId="0" applyNumberFormat="1" applyFont="1" applyBorder="1"/>
    <xf numFmtId="4" fontId="23" fillId="0" borderId="0" xfId="0" applyNumberFormat="1" applyFont="1" applyBorder="1"/>
    <xf numFmtId="49" fontId="22" fillId="0" borderId="0" xfId="0" applyNumberFormat="1" applyFont="1" applyBorder="1"/>
    <xf numFmtId="4" fontId="22" fillId="0" borderId="11" xfId="0" applyNumberFormat="1" applyFont="1" applyBorder="1"/>
    <xf numFmtId="0" fontId="22" fillId="0" borderId="0" xfId="0" applyFont="1" applyAlignment="1"/>
    <xf numFmtId="164" fontId="22" fillId="0" borderId="0" xfId="0" applyNumberFormat="1" applyFont="1"/>
    <xf numFmtId="0" fontId="23" fillId="0" borderId="0" xfId="0" applyFont="1" applyAlignment="1">
      <alignment horizontal="center"/>
    </xf>
    <xf numFmtId="3" fontId="22" fillId="0" borderId="0" xfId="0" applyNumberFormat="1" applyFont="1"/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/>
    <xf numFmtId="3" fontId="23" fillId="0" borderId="2" xfId="0" applyNumberFormat="1" applyFont="1" applyBorder="1" applyAlignment="1">
      <alignment horizontal="right"/>
    </xf>
    <xf numFmtId="3" fontId="22" fillId="0" borderId="3" xfId="0" applyNumberFormat="1" applyFont="1" applyBorder="1"/>
    <xf numFmtId="3" fontId="22" fillId="0" borderId="3" xfId="0" applyNumberFormat="1" applyFont="1" applyFill="1" applyBorder="1"/>
    <xf numFmtId="3" fontId="22" fillId="0" borderId="4" xfId="0" applyNumberFormat="1" applyFont="1" applyBorder="1"/>
    <xf numFmtId="3" fontId="22" fillId="0" borderId="4" xfId="0" applyNumberFormat="1" applyFont="1" applyFill="1" applyBorder="1"/>
    <xf numFmtId="3" fontId="23" fillId="0" borderId="2" xfId="0" applyNumberFormat="1" applyFont="1" applyBorder="1"/>
    <xf numFmtId="0" fontId="22" fillId="0" borderId="0" xfId="0" applyFont="1" applyAlignment="1">
      <alignment horizontal="left"/>
    </xf>
    <xf numFmtId="3" fontId="29" fillId="0" borderId="0" xfId="0" applyNumberFormat="1" applyFont="1" applyFill="1"/>
    <xf numFmtId="3" fontId="30" fillId="0" borderId="11" xfId="0" applyNumberFormat="1" applyFont="1" applyBorder="1"/>
    <xf numFmtId="3" fontId="30" fillId="0" borderId="2" xfId="0" applyNumberFormat="1" applyFont="1" applyBorder="1"/>
    <xf numFmtId="3" fontId="23" fillId="0" borderId="0" xfId="0" applyNumberFormat="1" applyFont="1" applyBorder="1"/>
    <xf numFmtId="4" fontId="22" fillId="0" borderId="3" xfId="0" applyNumberFormat="1" applyFont="1" applyFill="1" applyBorder="1"/>
    <xf numFmtId="4" fontId="22" fillId="0" borderId="4" xfId="0" applyNumberFormat="1" applyFont="1" applyBorder="1"/>
    <xf numFmtId="4" fontId="23" fillId="0" borderId="2" xfId="0" applyNumberFormat="1" applyFont="1" applyBorder="1"/>
    <xf numFmtId="4" fontId="23" fillId="0" borderId="2" xfId="0" applyNumberFormat="1" applyFont="1" applyBorder="1" applyAlignment="1">
      <alignment horizontal="right"/>
    </xf>
    <xf numFmtId="4" fontId="22" fillId="0" borderId="14" xfId="0" applyNumberFormat="1" applyFont="1" applyBorder="1"/>
    <xf numFmtId="4" fontId="22" fillId="0" borderId="14" xfId="0" applyNumberFormat="1" applyFont="1" applyBorder="1" applyAlignment="1"/>
    <xf numFmtId="4" fontId="22" fillId="0" borderId="14" xfId="0" applyNumberFormat="1" applyFont="1" applyFill="1" applyBorder="1"/>
    <xf numFmtId="4" fontId="22" fillId="0" borderId="14" xfId="0" applyNumberFormat="1" applyFont="1" applyFill="1" applyBorder="1" applyAlignment="1"/>
    <xf numFmtId="0" fontId="22" fillId="0" borderId="14" xfId="0" applyFont="1" applyBorder="1" applyAlignment="1">
      <alignment horizontal="center"/>
    </xf>
    <xf numFmtId="4" fontId="23" fillId="0" borderId="11" xfId="0" applyNumberFormat="1" applyFont="1" applyBorder="1"/>
    <xf numFmtId="4" fontId="23" fillId="0" borderId="15" xfId="0" applyNumberFormat="1" applyFont="1" applyBorder="1"/>
    <xf numFmtId="4" fontId="22" fillId="4" borderId="4" xfId="0" applyNumberFormat="1" applyFont="1" applyFill="1" applyBorder="1"/>
    <xf numFmtId="4" fontId="23" fillId="0" borderId="16" xfId="0" applyNumberFormat="1" applyFont="1" applyBorder="1"/>
    <xf numFmtId="4" fontId="23" fillId="0" borderId="17" xfId="0" applyNumberFormat="1" applyFont="1" applyBorder="1"/>
    <xf numFmtId="4" fontId="22" fillId="5" borderId="4" xfId="0" applyNumberFormat="1" applyFont="1" applyFill="1" applyBorder="1"/>
    <xf numFmtId="4" fontId="22" fillId="5" borderId="14" xfId="0" applyNumberFormat="1" applyFont="1" applyFill="1" applyBorder="1"/>
    <xf numFmtId="4" fontId="22" fillId="3" borderId="0" xfId="0" applyNumberFormat="1" applyFont="1" applyFill="1"/>
    <xf numFmtId="0" fontId="23" fillId="0" borderId="8" xfId="0" applyFont="1" applyBorder="1" applyAlignment="1">
      <alignment horizontal="center"/>
    </xf>
    <xf numFmtId="0" fontId="25" fillId="0" borderId="0" xfId="10" applyFont="1"/>
    <xf numFmtId="14" fontId="22" fillId="0" borderId="0" xfId="0" applyNumberFormat="1" applyFont="1"/>
    <xf numFmtId="4" fontId="22" fillId="6" borderId="0" xfId="0" applyNumberFormat="1" applyFont="1" applyFill="1"/>
    <xf numFmtId="4" fontId="22" fillId="7" borderId="0" xfId="0" applyNumberFormat="1" applyFont="1" applyFill="1"/>
    <xf numFmtId="0" fontId="25" fillId="0" borderId="0" xfId="2" applyFont="1"/>
    <xf numFmtId="49" fontId="12" fillId="0" borderId="0" xfId="16" applyNumberFormat="1" applyFont="1"/>
    <xf numFmtId="0" fontId="12" fillId="0" borderId="0" xfId="16" applyFont="1"/>
    <xf numFmtId="14" fontId="12" fillId="0" borderId="0" xfId="16" applyNumberFormat="1" applyFont="1"/>
    <xf numFmtId="4" fontId="12" fillId="0" borderId="0" xfId="16" applyNumberFormat="1" applyFont="1"/>
    <xf numFmtId="49" fontId="12" fillId="0" borderId="0" xfId="17" applyNumberFormat="1" applyFont="1"/>
    <xf numFmtId="0" fontId="12" fillId="0" borderId="0" xfId="17" applyFont="1"/>
    <xf numFmtId="14" fontId="12" fillId="0" borderId="0" xfId="17" applyNumberFormat="1" applyFont="1"/>
    <xf numFmtId="4" fontId="22" fillId="8" borderId="0" xfId="0" applyNumberFormat="1" applyFont="1" applyFill="1"/>
    <xf numFmtId="0" fontId="23" fillId="9" borderId="0" xfId="0" applyFont="1" applyFill="1"/>
    <xf numFmtId="0" fontId="23" fillId="10" borderId="0" xfId="0" applyFont="1" applyFill="1"/>
    <xf numFmtId="3" fontId="32" fillId="0" borderId="0" xfId="0" applyNumberFormat="1" applyFont="1"/>
    <xf numFmtId="0" fontId="33" fillId="0" borderId="0" xfId="0" applyFont="1"/>
    <xf numFmtId="4" fontId="23" fillId="2" borderId="0" xfId="0" applyNumberFormat="1" applyFont="1" applyFill="1"/>
    <xf numFmtId="4" fontId="23" fillId="9" borderId="0" xfId="0" applyNumberFormat="1" applyFont="1" applyFill="1"/>
    <xf numFmtId="3" fontId="24" fillId="0" borderId="0" xfId="0" applyNumberFormat="1" applyFont="1"/>
    <xf numFmtId="0" fontId="24" fillId="0" borderId="0" xfId="0" applyFont="1" applyAlignment="1">
      <alignment horizontal="right" shrinkToFit="1"/>
    </xf>
    <xf numFmtId="3" fontId="23" fillId="0" borderId="0" xfId="0" applyNumberFormat="1" applyFont="1"/>
    <xf numFmtId="0" fontId="23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3" fontId="22" fillId="0" borderId="0" xfId="0" applyNumberFormat="1" applyFont="1" applyFill="1" applyBorder="1"/>
    <xf numFmtId="4" fontId="22" fillId="0" borderId="0" xfId="0" applyNumberFormat="1" applyFont="1" applyFill="1" applyAlignment="1"/>
    <xf numFmtId="0" fontId="22" fillId="0" borderId="3" xfId="0" applyFont="1" applyBorder="1" applyAlignment="1">
      <alignment horizontal="justify"/>
    </xf>
    <xf numFmtId="4" fontId="22" fillId="9" borderId="4" xfId="0" applyNumberFormat="1" applyFont="1" applyFill="1" applyBorder="1"/>
    <xf numFmtId="4" fontId="22" fillId="7" borderId="4" xfId="0" applyNumberFormat="1" applyFont="1" applyFill="1" applyBorder="1"/>
    <xf numFmtId="4" fontId="22" fillId="3" borderId="4" xfId="0" applyNumberFormat="1" applyFont="1" applyFill="1" applyBorder="1" applyAlignment="1"/>
    <xf numFmtId="4" fontId="22" fillId="6" borderId="4" xfId="0" applyNumberFormat="1" applyFont="1" applyFill="1" applyBorder="1" applyAlignment="1"/>
    <xf numFmtId="4" fontId="22" fillId="9" borderId="0" xfId="0" applyNumberFormat="1" applyFont="1" applyFill="1"/>
    <xf numFmtId="4" fontId="22" fillId="13" borderId="4" xfId="0" applyNumberFormat="1" applyFont="1" applyFill="1" applyBorder="1" applyAlignment="1"/>
    <xf numFmtId="4" fontId="22" fillId="13" borderId="0" xfId="0" applyNumberFormat="1" applyFont="1" applyFill="1"/>
    <xf numFmtId="4" fontId="22" fillId="4" borderId="0" xfId="0" applyNumberFormat="1" applyFont="1" applyFill="1"/>
    <xf numFmtId="4" fontId="22" fillId="9" borderId="14" xfId="0" applyNumberFormat="1" applyFont="1" applyFill="1" applyBorder="1"/>
    <xf numFmtId="4" fontId="23" fillId="0" borderId="17" xfId="0" applyNumberFormat="1" applyFont="1" applyFill="1" applyBorder="1"/>
    <xf numFmtId="4" fontId="23" fillId="0" borderId="14" xfId="0" applyNumberFormat="1" applyFont="1" applyBorder="1"/>
    <xf numFmtId="4" fontId="23" fillId="0" borderId="14" xfId="0" applyNumberFormat="1" applyFont="1" applyFill="1" applyBorder="1"/>
    <xf numFmtId="0" fontId="23" fillId="0" borderId="14" xfId="0" applyFont="1" applyBorder="1" applyAlignment="1">
      <alignment horizontal="center"/>
    </xf>
    <xf numFmtId="4" fontId="22" fillId="12" borderId="9" xfId="0" applyNumberFormat="1" applyFont="1" applyFill="1" applyBorder="1"/>
    <xf numFmtId="4" fontId="22" fillId="12" borderId="14" xfId="0" applyNumberFormat="1" applyFont="1" applyFill="1" applyBorder="1"/>
    <xf numFmtId="4" fontId="22" fillId="14" borderId="14" xfId="0" applyNumberFormat="1" applyFont="1" applyFill="1" applyBorder="1"/>
    <xf numFmtId="4" fontId="23" fillId="14" borderId="2" xfId="0" applyNumberFormat="1" applyFont="1" applyFill="1" applyBorder="1" applyAlignment="1"/>
    <xf numFmtId="4" fontId="22" fillId="15" borderId="0" xfId="0" applyNumberFormat="1" applyFont="1" applyFill="1"/>
    <xf numFmtId="4" fontId="22" fillId="15" borderId="14" xfId="0" applyNumberFormat="1" applyFont="1" applyFill="1" applyBorder="1"/>
    <xf numFmtId="4" fontId="22" fillId="11" borderId="0" xfId="0" applyNumberFormat="1" applyFont="1" applyFill="1" applyBorder="1"/>
    <xf numFmtId="4" fontId="22" fillId="11" borderId="14" xfId="0" applyNumberFormat="1" applyFont="1" applyFill="1" applyBorder="1" applyAlignment="1"/>
    <xf numFmtId="0" fontId="22" fillId="0" borderId="0" xfId="0" applyFont="1" applyFill="1" applyAlignment="1">
      <alignment horizontal="right"/>
    </xf>
    <xf numFmtId="0" fontId="23" fillId="0" borderId="8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1" xfId="0" applyFont="1" applyFill="1" applyBorder="1"/>
    <xf numFmtId="3" fontId="23" fillId="0" borderId="2" xfId="0" applyNumberFormat="1" applyFont="1" applyFill="1" applyBorder="1" applyAlignment="1">
      <alignment horizontal="right"/>
    </xf>
    <xf numFmtId="3" fontId="23" fillId="0" borderId="2" xfId="0" applyNumberFormat="1" applyFont="1" applyFill="1" applyBorder="1"/>
    <xf numFmtId="0" fontId="22" fillId="0" borderId="3" xfId="0" applyFont="1" applyFill="1" applyBorder="1"/>
    <xf numFmtId="0" fontId="22" fillId="0" borderId="5" xfId="0" applyFont="1" applyFill="1" applyBorder="1"/>
    <xf numFmtId="3" fontId="22" fillId="0" borderId="5" xfId="0" applyNumberFormat="1" applyFont="1" applyFill="1" applyBorder="1"/>
    <xf numFmtId="3" fontId="22" fillId="0" borderId="8" xfId="0" applyNumberFormat="1" applyFont="1" applyBorder="1"/>
    <xf numFmtId="0" fontId="22" fillId="0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3" fontId="22" fillId="0" borderId="3" xfId="0" applyNumberFormat="1" applyFont="1" applyFill="1" applyBorder="1" applyAlignment="1"/>
    <xf numFmtId="3" fontId="22" fillId="0" borderId="3" xfId="0" applyNumberFormat="1" applyFont="1" applyBorder="1" applyAlignment="1"/>
    <xf numFmtId="3" fontId="22" fillId="0" borderId="4" xfId="0" applyNumberFormat="1" applyFont="1" applyBorder="1" applyAlignment="1"/>
    <xf numFmtId="3" fontId="23" fillId="0" borderId="4" xfId="0" applyNumberFormat="1" applyFont="1" applyFill="1" applyBorder="1"/>
    <xf numFmtId="4" fontId="22" fillId="12" borderId="0" xfId="0" applyNumberFormat="1" applyFont="1" applyFill="1" applyAlignment="1"/>
    <xf numFmtId="4" fontId="22" fillId="5" borderId="0" xfId="0" applyNumberFormat="1" applyFont="1" applyFill="1" applyAlignment="1"/>
    <xf numFmtId="4" fontId="31" fillId="12" borderId="0" xfId="0" applyNumberFormat="1" applyFont="1" applyFill="1" applyAlignment="1"/>
    <xf numFmtId="0" fontId="31" fillId="0" borderId="0" xfId="0" applyFont="1"/>
    <xf numFmtId="4" fontId="31" fillId="5" borderId="0" xfId="0" applyNumberFormat="1" applyFont="1" applyFill="1"/>
    <xf numFmtId="4" fontId="23" fillId="0" borderId="15" xfId="0" applyNumberFormat="1" applyFont="1" applyFill="1" applyBorder="1"/>
    <xf numFmtId="4" fontId="22" fillId="0" borderId="3" xfId="0" applyNumberFormat="1" applyFont="1" applyBorder="1"/>
    <xf numFmtId="4" fontId="22" fillId="0" borderId="0" xfId="0" applyNumberFormat="1" applyFont="1" applyBorder="1"/>
    <xf numFmtId="0" fontId="22" fillId="0" borderId="0" xfId="0" quotePrefix="1" applyFont="1" applyBorder="1"/>
    <xf numFmtId="4" fontId="23" fillId="0" borderId="2" xfId="0" applyNumberFormat="1" applyFont="1" applyFill="1" applyBorder="1" applyAlignment="1">
      <alignment horizontal="right"/>
    </xf>
    <xf numFmtId="4" fontId="22" fillId="0" borderId="8" xfId="0" applyNumberFormat="1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12" fillId="0" borderId="0" xfId="17" applyFont="1" applyFill="1"/>
    <xf numFmtId="49" fontId="12" fillId="0" borderId="0" xfId="18" applyNumberFormat="1" applyFont="1"/>
    <xf numFmtId="0" fontId="12" fillId="0" borderId="0" xfId="18" applyFont="1"/>
    <xf numFmtId="14" fontId="12" fillId="0" borderId="0" xfId="18" applyNumberFormat="1" applyFont="1"/>
    <xf numFmtId="4" fontId="12" fillId="8" borderId="0" xfId="17" applyNumberFormat="1" applyFont="1" applyFill="1"/>
    <xf numFmtId="4" fontId="12" fillId="0" borderId="0" xfId="17" applyNumberFormat="1" applyFont="1" applyFill="1"/>
    <xf numFmtId="4" fontId="22" fillId="10" borderId="4" xfId="0" applyNumberFormat="1" applyFont="1" applyFill="1" applyBorder="1"/>
    <xf numFmtId="4" fontId="22" fillId="10" borderId="14" xfId="0" applyNumberFormat="1" applyFont="1" applyFill="1" applyBorder="1"/>
    <xf numFmtId="4" fontId="12" fillId="10" borderId="0" xfId="18" applyNumberFormat="1" applyFont="1" applyFill="1"/>
    <xf numFmtId="0" fontId="12" fillId="10" borderId="0" xfId="18" applyFont="1" applyFill="1"/>
    <xf numFmtId="4" fontId="22" fillId="15" borderId="3" xfId="0" applyNumberFormat="1" applyFont="1" applyFill="1" applyBorder="1"/>
    <xf numFmtId="4" fontId="12" fillId="15" borderId="0" xfId="18" applyNumberFormat="1" applyFont="1" applyFill="1"/>
    <xf numFmtId="0" fontId="12" fillId="15" borderId="0" xfId="18" applyFont="1" applyFill="1"/>
    <xf numFmtId="4" fontId="22" fillId="15" borderId="4" xfId="0" applyNumberFormat="1" applyFont="1" applyFill="1" applyBorder="1"/>
    <xf numFmtId="4" fontId="22" fillId="15" borderId="14" xfId="0" applyNumberFormat="1" applyFont="1" applyFill="1" applyBorder="1" applyAlignment="1"/>
    <xf numFmtId="49" fontId="12" fillId="15" borderId="0" xfId="18" applyNumberFormat="1" applyFont="1" applyFill="1"/>
    <xf numFmtId="4" fontId="12" fillId="5" borderId="0" xfId="18" applyNumberFormat="1" applyFont="1" applyFill="1"/>
    <xf numFmtId="4" fontId="22" fillId="17" borderId="14" xfId="0" applyNumberFormat="1" applyFont="1" applyFill="1" applyBorder="1"/>
    <xf numFmtId="4" fontId="12" fillId="17" borderId="0" xfId="18" applyNumberFormat="1" applyFont="1" applyFill="1"/>
    <xf numFmtId="49" fontId="12" fillId="17" borderId="0" xfId="18" applyNumberFormat="1" applyFont="1" applyFill="1"/>
    <xf numFmtId="4" fontId="22" fillId="16" borderId="4" xfId="0" applyNumberFormat="1" applyFont="1" applyFill="1" applyBorder="1"/>
    <xf numFmtId="4" fontId="22" fillId="16" borderId="14" xfId="0" applyNumberFormat="1" applyFont="1" applyFill="1" applyBorder="1" applyAlignment="1"/>
    <xf numFmtId="4" fontId="12" fillId="16" borderId="0" xfId="18" applyNumberFormat="1" applyFont="1" applyFill="1"/>
    <xf numFmtId="49" fontId="12" fillId="16" borderId="0" xfId="18" applyNumberFormat="1" applyFont="1" applyFill="1"/>
    <xf numFmtId="4" fontId="12" fillId="14" borderId="0" xfId="18" applyNumberFormat="1" applyFont="1" applyFill="1"/>
    <xf numFmtId="49" fontId="12" fillId="0" borderId="0" xfId="19" applyNumberFormat="1" applyFont="1"/>
    <xf numFmtId="0" fontId="12" fillId="0" borderId="0" xfId="19" applyFont="1"/>
    <xf numFmtId="14" fontId="12" fillId="0" borderId="0" xfId="19" applyNumberFormat="1" applyFont="1"/>
    <xf numFmtId="49" fontId="12" fillId="0" borderId="0" xfId="20" applyNumberFormat="1" applyFont="1"/>
    <xf numFmtId="0" fontId="12" fillId="0" borderId="0" xfId="20" applyFont="1"/>
    <xf numFmtId="14" fontId="12" fillId="0" borderId="0" xfId="20" applyNumberFormat="1" applyFont="1"/>
    <xf numFmtId="4" fontId="12" fillId="12" borderId="0" xfId="18" applyNumberFormat="1" applyFont="1" applyFill="1"/>
    <xf numFmtId="49" fontId="12" fillId="0" borderId="0" xfId="21" applyNumberFormat="1" applyFont="1"/>
    <xf numFmtId="0" fontId="12" fillId="0" borderId="0" xfId="21" applyFont="1"/>
    <xf numFmtId="14" fontId="12" fillId="0" borderId="0" xfId="21" applyNumberFormat="1" applyFont="1"/>
    <xf numFmtId="49" fontId="12" fillId="0" borderId="0" xfId="22" applyNumberFormat="1" applyFont="1"/>
    <xf numFmtId="0" fontId="12" fillId="0" borderId="0" xfId="22" applyFont="1"/>
    <xf numFmtId="14" fontId="12" fillId="0" borderId="0" xfId="22" applyNumberFormat="1" applyFont="1"/>
    <xf numFmtId="49" fontId="12" fillId="0" borderId="0" xfId="23" applyNumberFormat="1" applyFont="1"/>
    <xf numFmtId="0" fontId="12" fillId="0" borderId="0" xfId="23" applyFont="1"/>
    <xf numFmtId="14" fontId="12" fillId="0" borderId="0" xfId="23" applyNumberFormat="1" applyFont="1"/>
    <xf numFmtId="49" fontId="12" fillId="0" borderId="0" xfId="24" applyNumberFormat="1" applyFont="1"/>
    <xf numFmtId="0" fontId="12" fillId="0" borderId="0" xfId="24" applyFont="1"/>
    <xf numFmtId="14" fontId="12" fillId="0" borderId="0" xfId="24" applyNumberFormat="1" applyFont="1"/>
    <xf numFmtId="49" fontId="12" fillId="5" borderId="0" xfId="18" applyNumberFormat="1" applyFont="1" applyFill="1"/>
    <xf numFmtId="0" fontId="12" fillId="12" borderId="0" xfId="18" applyFont="1" applyFill="1"/>
    <xf numFmtId="4" fontId="12" fillId="12" borderId="0" xfId="16" applyNumberFormat="1" applyFont="1" applyFill="1"/>
    <xf numFmtId="4" fontId="12" fillId="18" borderId="0" xfId="18" applyNumberFormat="1" applyFont="1" applyFill="1"/>
    <xf numFmtId="4" fontId="12" fillId="18" borderId="0" xfId="16" applyNumberFormat="1" applyFont="1" applyFill="1"/>
    <xf numFmtId="0" fontId="22" fillId="0" borderId="6" xfId="0" applyFont="1" applyBorder="1" applyAlignment="1">
      <alignment wrapText="1"/>
    </xf>
    <xf numFmtId="0" fontId="22" fillId="0" borderId="3" xfId="0" applyFont="1" applyBorder="1" applyAlignment="1"/>
    <xf numFmtId="4" fontId="22" fillId="12" borderId="3" xfId="0" applyNumberFormat="1" applyFont="1" applyFill="1" applyBorder="1"/>
    <xf numFmtId="0" fontId="22" fillId="0" borderId="3" xfId="0" applyFont="1" applyFill="1" applyBorder="1" applyAlignment="1">
      <alignment wrapText="1"/>
    </xf>
    <xf numFmtId="0" fontId="1" fillId="0" borderId="0" xfId="26"/>
    <xf numFmtId="49" fontId="1" fillId="0" borderId="0" xfId="26" applyNumberFormat="1"/>
    <xf numFmtId="14" fontId="1" fillId="0" borderId="0" xfId="26" applyNumberFormat="1"/>
    <xf numFmtId="0" fontId="1" fillId="0" borderId="0" xfId="27"/>
    <xf numFmtId="49" fontId="1" fillId="0" borderId="0" xfId="27" applyNumberFormat="1"/>
    <xf numFmtId="14" fontId="1" fillId="0" borderId="0" xfId="27" applyNumberFormat="1"/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36" fillId="0" borderId="0" xfId="29" applyFont="1" applyFill="1"/>
    <xf numFmtId="0" fontId="37" fillId="0" borderId="0" xfId="29" applyFont="1" applyFill="1" applyAlignment="1">
      <alignment horizontal="right"/>
    </xf>
    <xf numFmtId="0" fontId="36" fillId="0" borderId="0" xfId="29" applyFont="1" applyFill="1" applyBorder="1"/>
    <xf numFmtId="0" fontId="37" fillId="0" borderId="0" xfId="29" applyFont="1" applyFill="1" applyBorder="1" applyAlignment="1">
      <alignment horizontal="right"/>
    </xf>
    <xf numFmtId="0" fontId="36" fillId="0" borderId="0" xfId="29" applyFont="1"/>
    <xf numFmtId="0" fontId="37" fillId="19" borderId="10" xfId="29" applyFont="1" applyFill="1" applyBorder="1" applyAlignment="1">
      <alignment horizontal="center"/>
    </xf>
    <xf numFmtId="0" fontId="37" fillId="20" borderId="10" xfId="29" applyFont="1" applyFill="1" applyBorder="1" applyAlignment="1">
      <alignment horizontal="centerContinuous"/>
    </xf>
    <xf numFmtId="0" fontId="37" fillId="20" borderId="8" xfId="29" applyFont="1" applyFill="1" applyBorder="1" applyAlignment="1">
      <alignment horizontal="centerContinuous"/>
    </xf>
    <xf numFmtId="0" fontId="37" fillId="20" borderId="5" xfId="29" applyFont="1" applyFill="1" applyBorder="1" applyAlignment="1">
      <alignment horizontal="centerContinuous"/>
    </xf>
    <xf numFmtId="0" fontId="37" fillId="20" borderId="11" xfId="29" applyFont="1" applyFill="1" applyBorder="1" applyAlignment="1">
      <alignment horizontal="centerContinuous"/>
    </xf>
    <xf numFmtId="0" fontId="37" fillId="20" borderId="18" xfId="29" applyFont="1" applyFill="1" applyBorder="1" applyAlignment="1">
      <alignment horizontal="centerContinuous"/>
    </xf>
    <xf numFmtId="0" fontId="37" fillId="20" borderId="2" xfId="29" applyFont="1" applyFill="1" applyBorder="1" applyAlignment="1">
      <alignment horizontal="centerContinuous"/>
    </xf>
    <xf numFmtId="0" fontId="37" fillId="19" borderId="13" xfId="29" applyFont="1" applyFill="1" applyBorder="1"/>
    <xf numFmtId="0" fontId="37" fillId="20" borderId="13" xfId="29" applyFont="1" applyFill="1" applyBorder="1" applyAlignment="1">
      <alignment horizontal="centerContinuous"/>
    </xf>
    <xf numFmtId="0" fontId="37" fillId="20" borderId="9" xfId="29" applyFont="1" applyFill="1" applyBorder="1" applyAlignment="1">
      <alignment horizontal="centerContinuous"/>
    </xf>
    <xf numFmtId="0" fontId="37" fillId="20" borderId="19" xfId="29" applyFont="1" applyFill="1" applyBorder="1" applyAlignment="1">
      <alignment horizontal="centerContinuous"/>
    </xf>
    <xf numFmtId="0" fontId="37" fillId="0" borderId="11" xfId="29" applyFont="1" applyFill="1" applyBorder="1"/>
    <xf numFmtId="3" fontId="37" fillId="20" borderId="11" xfId="29" applyNumberFormat="1" applyFont="1" applyFill="1" applyBorder="1" applyAlignment="1"/>
    <xf numFmtId="3" fontId="37" fillId="20" borderId="2" xfId="29" applyNumberFormat="1" applyFont="1" applyFill="1" applyBorder="1" applyAlignment="1"/>
    <xf numFmtId="3" fontId="37" fillId="20" borderId="18" xfId="29" applyNumberFormat="1" applyFont="1" applyFill="1" applyBorder="1" applyAlignment="1"/>
    <xf numFmtId="0" fontId="36" fillId="10" borderId="0" xfId="29" applyFont="1" applyFill="1"/>
    <xf numFmtId="0" fontId="36" fillId="19" borderId="12" xfId="29" applyFont="1" applyFill="1" applyBorder="1"/>
    <xf numFmtId="3" fontId="36" fillId="20" borderId="12" xfId="29" applyNumberFormat="1" applyFont="1" applyFill="1" applyBorder="1" applyAlignment="1"/>
    <xf numFmtId="3" fontId="36" fillId="20" borderId="4" xfId="29" applyNumberFormat="1" applyFont="1" applyFill="1" applyBorder="1" applyAlignment="1"/>
    <xf numFmtId="3" fontId="36" fillId="20" borderId="0" xfId="29" applyNumberFormat="1" applyFont="1" applyFill="1" applyBorder="1" applyAlignment="1"/>
    <xf numFmtId="3" fontId="36" fillId="20" borderId="5" xfId="29" applyNumberFormat="1" applyFont="1" applyFill="1" applyBorder="1"/>
    <xf numFmtId="3" fontId="36" fillId="20" borderId="10" xfId="29" applyNumberFormat="1" applyFont="1" applyFill="1" applyBorder="1" applyAlignment="1"/>
    <xf numFmtId="3" fontId="36" fillId="20" borderId="8" xfId="29" applyNumberFormat="1" applyFont="1" applyFill="1" applyBorder="1" applyAlignment="1"/>
    <xf numFmtId="3" fontId="36" fillId="20" borderId="0" xfId="29" applyNumberFormat="1" applyFont="1" applyFill="1" applyBorder="1"/>
    <xf numFmtId="0" fontId="36" fillId="20" borderId="0" xfId="29" applyFont="1" applyFill="1"/>
    <xf numFmtId="0" fontId="37" fillId="19" borderId="20" xfId="29" applyFont="1" applyFill="1" applyBorder="1"/>
    <xf numFmtId="3" fontId="37" fillId="20" borderId="20" xfId="29" applyNumberFormat="1" applyFont="1" applyFill="1" applyBorder="1" applyAlignment="1"/>
    <xf numFmtId="3" fontId="37" fillId="20" borderId="21" xfId="29" applyNumberFormat="1" applyFont="1" applyFill="1" applyBorder="1" applyAlignment="1"/>
    <xf numFmtId="3" fontId="37" fillId="20" borderId="12" xfId="29" applyNumberFormat="1" applyFont="1" applyFill="1" applyBorder="1" applyAlignment="1"/>
    <xf numFmtId="3" fontId="37" fillId="20" borderId="4" xfId="29" applyNumberFormat="1" applyFont="1" applyFill="1" applyBorder="1" applyAlignment="1"/>
    <xf numFmtId="0" fontId="36" fillId="20" borderId="12" xfId="29" applyFont="1" applyFill="1" applyBorder="1"/>
    <xf numFmtId="3" fontId="36" fillId="20" borderId="22" xfId="29" applyNumberFormat="1" applyFont="1" applyFill="1" applyBorder="1" applyAlignment="1"/>
    <xf numFmtId="3" fontId="36" fillId="20" borderId="23" xfId="29" applyNumberFormat="1" applyFont="1" applyFill="1" applyBorder="1" applyAlignment="1"/>
    <xf numFmtId="0" fontId="36" fillId="0" borderId="12" xfId="29" applyFont="1" applyBorder="1"/>
    <xf numFmtId="0" fontId="36" fillId="0" borderId="4" xfId="29" applyFont="1" applyBorder="1"/>
    <xf numFmtId="0" fontId="36" fillId="19" borderId="4" xfId="29" applyFont="1" applyFill="1" applyBorder="1"/>
    <xf numFmtId="49" fontId="36" fillId="20" borderId="12" xfId="29" applyNumberFormat="1" applyFont="1" applyFill="1" applyBorder="1"/>
    <xf numFmtId="3" fontId="36" fillId="20" borderId="13" xfId="29" applyNumberFormat="1" applyFont="1" applyFill="1" applyBorder="1" applyAlignment="1"/>
    <xf numFmtId="3" fontId="36" fillId="20" borderId="9" xfId="29" applyNumberFormat="1" applyFont="1" applyFill="1" applyBorder="1" applyAlignment="1"/>
    <xf numFmtId="3" fontId="36" fillId="0" borderId="0" xfId="29" applyNumberFormat="1" applyFont="1" applyFill="1"/>
    <xf numFmtId="0" fontId="38" fillId="0" borderId="0" xfId="29" applyFont="1" applyFill="1" applyAlignment="1">
      <alignment horizontal="left"/>
    </xf>
    <xf numFmtId="0" fontId="37" fillId="0" borderId="0" xfId="29" applyFont="1" applyFill="1"/>
    <xf numFmtId="0" fontId="37" fillId="0" borderId="1" xfId="29" applyFont="1" applyFill="1" applyBorder="1" applyAlignment="1">
      <alignment horizontal="center"/>
    </xf>
    <xf numFmtId="0" fontId="37" fillId="0" borderId="2" xfId="29" applyFont="1" applyFill="1" applyBorder="1" applyAlignment="1">
      <alignment horizontal="center" shrinkToFit="1"/>
    </xf>
    <xf numFmtId="0" fontId="37" fillId="0" borderId="24" xfId="29" applyFont="1" applyFill="1" applyBorder="1" applyAlignment="1">
      <alignment horizontal="center" shrinkToFit="1"/>
    </xf>
    <xf numFmtId="0" fontId="37" fillId="0" borderId="25" xfId="29" applyFont="1" applyFill="1" applyBorder="1" applyAlignment="1">
      <alignment horizontal="center" shrinkToFit="1"/>
    </xf>
    <xf numFmtId="0" fontId="37" fillId="20" borderId="2" xfId="29" applyFont="1" applyFill="1" applyBorder="1" applyAlignment="1">
      <alignment horizontal="center" shrinkToFit="1"/>
    </xf>
    <xf numFmtId="0" fontId="37" fillId="0" borderId="0" xfId="29" applyFont="1"/>
    <xf numFmtId="0" fontId="36" fillId="0" borderId="26" xfId="29" applyFont="1" applyFill="1" applyBorder="1" applyAlignment="1">
      <alignment horizontal="left"/>
    </xf>
    <xf numFmtId="3" fontId="36" fillId="0" borderId="26" xfId="29" applyNumberFormat="1" applyFont="1" applyFill="1" applyBorder="1"/>
    <xf numFmtId="3" fontId="36" fillId="0" borderId="21" xfId="29" applyNumberFormat="1" applyFont="1" applyFill="1" applyBorder="1"/>
    <xf numFmtId="3" fontId="36" fillId="0" borderId="27" xfId="29" applyNumberFormat="1" applyFont="1" applyFill="1" applyBorder="1"/>
    <xf numFmtId="3" fontId="36" fillId="0" borderId="28" xfId="29" applyNumberFormat="1" applyFont="1" applyFill="1" applyBorder="1"/>
    <xf numFmtId="3" fontId="36" fillId="0" borderId="29" xfId="29" applyNumberFormat="1" applyFont="1" applyFill="1" applyBorder="1"/>
    <xf numFmtId="3" fontId="36" fillId="20" borderId="27" xfId="29" applyNumberFormat="1" applyFont="1" applyFill="1" applyBorder="1"/>
    <xf numFmtId="0" fontId="36" fillId="0" borderId="30" xfId="29" applyFont="1" applyFill="1" applyBorder="1" applyAlignment="1">
      <alignment horizontal="left"/>
    </xf>
    <xf numFmtId="3" fontId="36" fillId="0" borderId="30" xfId="29" applyNumberFormat="1" applyFont="1" applyFill="1" applyBorder="1"/>
    <xf numFmtId="3" fontId="36" fillId="0" borderId="31" xfId="29" applyNumberFormat="1" applyFont="1" applyFill="1" applyBorder="1"/>
    <xf numFmtId="3" fontId="36" fillId="0" borderId="32" xfId="29" applyNumberFormat="1" applyFont="1" applyFill="1" applyBorder="1"/>
    <xf numFmtId="3" fontId="36" fillId="0" borderId="33" xfId="29" applyNumberFormat="1" applyFont="1" applyFill="1" applyBorder="1"/>
    <xf numFmtId="3" fontId="36" fillId="20" borderId="32" xfId="29" applyNumberFormat="1" applyFont="1" applyFill="1" applyBorder="1"/>
    <xf numFmtId="0" fontId="37" fillId="0" borderId="34" xfId="29" applyFont="1" applyFill="1" applyBorder="1" applyAlignment="1">
      <alignment horizontal="left"/>
    </xf>
    <xf numFmtId="3" fontId="37" fillId="0" borderId="34" xfId="29" applyNumberFormat="1" applyFont="1" applyFill="1" applyBorder="1"/>
    <xf numFmtId="3" fontId="37" fillId="0" borderId="23" xfId="29" applyNumberFormat="1" applyFont="1" applyFill="1" applyBorder="1"/>
    <xf numFmtId="3" fontId="37" fillId="0" borderId="35" xfId="29" applyNumberFormat="1" applyFont="1" applyFill="1" applyBorder="1"/>
    <xf numFmtId="3" fontId="37" fillId="0" borderId="36" xfId="29" applyNumberFormat="1" applyFont="1" applyFill="1" applyBorder="1"/>
    <xf numFmtId="3" fontId="37" fillId="20" borderId="35" xfId="29" applyNumberFormat="1" applyFont="1" applyFill="1" applyBorder="1"/>
    <xf numFmtId="0" fontId="37" fillId="0" borderId="26" xfId="29" applyFont="1" applyFill="1" applyBorder="1" applyAlignment="1">
      <alignment horizontal="left"/>
    </xf>
    <xf numFmtId="3" fontId="37" fillId="0" borderId="26" xfId="29" applyNumberFormat="1" applyFont="1" applyFill="1" applyBorder="1"/>
    <xf numFmtId="3" fontId="37" fillId="0" borderId="21" xfId="29" applyNumberFormat="1" applyFont="1" applyFill="1" applyBorder="1"/>
    <xf numFmtId="3" fontId="37" fillId="0" borderId="27" xfId="29" applyNumberFormat="1" applyFont="1" applyFill="1" applyBorder="1"/>
    <xf numFmtId="3" fontId="37" fillId="0" borderId="28" xfId="29" applyNumberFormat="1" applyFont="1" applyFill="1" applyBorder="1"/>
    <xf numFmtId="3" fontId="37" fillId="20" borderId="27" xfId="29" applyNumberFormat="1" applyFont="1" applyFill="1" applyBorder="1"/>
    <xf numFmtId="0" fontId="36" fillId="0" borderId="30" xfId="29" applyFont="1" applyFill="1" applyBorder="1" applyAlignment="1">
      <alignment horizontal="center"/>
    </xf>
    <xf numFmtId="0" fontId="37" fillId="0" borderId="30" xfId="29" applyFont="1" applyFill="1" applyBorder="1" applyAlignment="1">
      <alignment horizontal="left"/>
    </xf>
    <xf numFmtId="3" fontId="37" fillId="0" borderId="30" xfId="29" applyNumberFormat="1" applyFont="1" applyFill="1" applyBorder="1"/>
    <xf numFmtId="3" fontId="37" fillId="0" borderId="31" xfId="29" applyNumberFormat="1" applyFont="1" applyFill="1" applyBorder="1"/>
    <xf numFmtId="3" fontId="37" fillId="0" borderId="32" xfId="29" applyNumberFormat="1" applyFont="1" applyFill="1" applyBorder="1"/>
    <xf numFmtId="3" fontId="37" fillId="0" borderId="33" xfId="29" applyNumberFormat="1" applyFont="1" applyFill="1" applyBorder="1"/>
    <xf numFmtId="3" fontId="37" fillId="20" borderId="32" xfId="29" applyNumberFormat="1" applyFont="1" applyFill="1" applyBorder="1"/>
    <xf numFmtId="0" fontId="36" fillId="0" borderId="37" xfId="29" applyFont="1" applyFill="1" applyBorder="1" applyAlignment="1">
      <alignment horizontal="center"/>
    </xf>
    <xf numFmtId="3" fontId="36" fillId="0" borderId="37" xfId="29" applyNumberFormat="1" applyFont="1" applyFill="1" applyBorder="1"/>
    <xf numFmtId="3" fontId="36" fillId="0" borderId="38" xfId="29" applyNumberFormat="1" applyFont="1" applyFill="1" applyBorder="1"/>
    <xf numFmtId="3" fontId="36" fillId="0" borderId="39" xfId="29" applyNumberFormat="1" applyFont="1" applyFill="1" applyBorder="1"/>
    <xf numFmtId="3" fontId="36" fillId="0" borderId="40" xfId="29" applyNumberFormat="1" applyFont="1" applyFill="1" applyBorder="1"/>
    <xf numFmtId="3" fontId="36" fillId="20" borderId="39" xfId="29" applyNumberFormat="1" applyFont="1" applyFill="1" applyBorder="1"/>
    <xf numFmtId="49" fontId="39" fillId="0" borderId="0" xfId="29" applyNumberFormat="1" applyFont="1" applyFill="1" applyAlignment="1">
      <alignment vertical="top" wrapText="1"/>
    </xf>
    <xf numFmtId="0" fontId="42" fillId="0" borderId="0" xfId="0" applyFont="1"/>
    <xf numFmtId="0" fontId="42" fillId="0" borderId="0" xfId="0" applyFont="1" applyFill="1"/>
    <xf numFmtId="3" fontId="42" fillId="0" borderId="0" xfId="0" applyNumberFormat="1" applyFont="1" applyFill="1"/>
    <xf numFmtId="3" fontId="43" fillId="0" borderId="0" xfId="0" applyNumberFormat="1" applyFont="1" applyFill="1" applyAlignment="1">
      <alignment horizontal="right"/>
    </xf>
    <xf numFmtId="0" fontId="44" fillId="0" borderId="10" xfId="0" applyFont="1" applyFill="1" applyBorder="1" applyAlignment="1">
      <alignment horizontal="center"/>
    </xf>
    <xf numFmtId="3" fontId="44" fillId="0" borderId="6" xfId="0" applyNumberFormat="1" applyFont="1" applyFill="1" applyBorder="1" applyAlignment="1">
      <alignment horizontal="center" vertical="center" wrapText="1"/>
    </xf>
    <xf numFmtId="4" fontId="44" fillId="0" borderId="6" xfId="0" applyNumberFormat="1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/>
    </xf>
    <xf numFmtId="1" fontId="44" fillId="0" borderId="7" xfId="0" applyNumberFormat="1" applyFont="1" applyFill="1" applyBorder="1" applyAlignment="1">
      <alignment horizontal="center"/>
    </xf>
    <xf numFmtId="4" fontId="44" fillId="0" borderId="7" xfId="0" applyNumberFormat="1" applyFont="1" applyFill="1" applyBorder="1" applyAlignment="1">
      <alignment horizontal="center"/>
    </xf>
    <xf numFmtId="1" fontId="44" fillId="0" borderId="1" xfId="0" applyNumberFormat="1" applyFont="1" applyFill="1" applyBorder="1" applyAlignment="1">
      <alignment horizontal="center"/>
    </xf>
    <xf numFmtId="1" fontId="44" fillId="0" borderId="2" xfId="0" applyNumberFormat="1" applyFont="1" applyFill="1" applyBorder="1" applyAlignment="1">
      <alignment horizontal="center"/>
    </xf>
    <xf numFmtId="3" fontId="44" fillId="0" borderId="11" xfId="0" applyNumberFormat="1" applyFont="1" applyFill="1" applyBorder="1"/>
    <xf numFmtId="3" fontId="44" fillId="0" borderId="1" xfId="0" applyNumberFormat="1" applyFont="1" applyFill="1" applyBorder="1" applyAlignment="1">
      <alignment horizontal="right"/>
    </xf>
    <xf numFmtId="3" fontId="44" fillId="0" borderId="2" xfId="0" applyNumberFormat="1" applyFont="1" applyFill="1" applyBorder="1" applyAlignment="1">
      <alignment horizontal="right"/>
    </xf>
    <xf numFmtId="3" fontId="45" fillId="0" borderId="12" xfId="0" applyNumberFormat="1" applyFont="1" applyFill="1" applyBorder="1"/>
    <xf numFmtId="3" fontId="45" fillId="20" borderId="3" xfId="0" applyNumberFormat="1" applyFont="1" applyFill="1" applyBorder="1"/>
    <xf numFmtId="3" fontId="45" fillId="20" borderId="4" xfId="0" applyNumberFormat="1" applyFont="1" applyFill="1" applyBorder="1"/>
    <xf numFmtId="3" fontId="0" fillId="0" borderId="0" xfId="0" applyNumberFormat="1"/>
    <xf numFmtId="3" fontId="45" fillId="20" borderId="3" xfId="0" applyNumberFormat="1" applyFont="1" applyFill="1" applyBorder="1" applyAlignment="1">
      <alignment horizontal="right"/>
    </xf>
    <xf numFmtId="3" fontId="45" fillId="0" borderId="12" xfId="0" applyNumberFormat="1" applyFont="1" applyFill="1" applyBorder="1" applyAlignment="1">
      <alignment wrapText="1"/>
    </xf>
    <xf numFmtId="3" fontId="45" fillId="20" borderId="3" xfId="0" applyNumberFormat="1" applyFont="1" applyFill="1" applyBorder="1" applyAlignment="1">
      <alignment horizontal="center"/>
    </xf>
    <xf numFmtId="3" fontId="46" fillId="20" borderId="3" xfId="0" applyNumberFormat="1" applyFont="1" applyFill="1" applyBorder="1"/>
    <xf numFmtId="0" fontId="0" fillId="0" borderId="0" xfId="0" applyBorder="1" applyAlignment="1">
      <alignment horizontal="center"/>
    </xf>
    <xf numFmtId="0" fontId="46" fillId="0" borderId="12" xfId="0" applyFont="1" applyFill="1" applyBorder="1"/>
    <xf numFmtId="3" fontId="45" fillId="20" borderId="12" xfId="0" applyNumberFormat="1" applyFont="1" applyFill="1" applyBorder="1" applyAlignment="1">
      <alignment wrapText="1"/>
    </xf>
    <xf numFmtId="43" fontId="0" fillId="0" borderId="0" xfId="28" applyFont="1"/>
    <xf numFmtId="3" fontId="44" fillId="20" borderId="1" xfId="0" applyNumberFormat="1" applyFont="1" applyFill="1" applyBorder="1"/>
    <xf numFmtId="3" fontId="44" fillId="20" borderId="2" xfId="0" applyNumberFormat="1" applyFont="1" applyFill="1" applyBorder="1"/>
    <xf numFmtId="0" fontId="42" fillId="0" borderId="10" xfId="0" applyFont="1" applyBorder="1"/>
    <xf numFmtId="3" fontId="42" fillId="20" borderId="6" xfId="0" applyNumberFormat="1" applyFont="1" applyFill="1" applyBorder="1"/>
    <xf numFmtId="3" fontId="42" fillId="20" borderId="8" xfId="0" applyNumberFormat="1" applyFont="1" applyFill="1" applyBorder="1"/>
    <xf numFmtId="3" fontId="44" fillId="0" borderId="20" xfId="0" applyNumberFormat="1" applyFont="1" applyFill="1" applyBorder="1"/>
    <xf numFmtId="3" fontId="44" fillId="20" borderId="26" xfId="0" applyNumberFormat="1" applyFont="1" applyFill="1" applyBorder="1"/>
    <xf numFmtId="3" fontId="44" fillId="20" borderId="21" xfId="0" applyNumberFormat="1" applyFont="1" applyFill="1" applyBorder="1"/>
    <xf numFmtId="3" fontId="47" fillId="0" borderId="12" xfId="0" applyNumberFormat="1" applyFont="1" applyFill="1" applyBorder="1" applyAlignment="1">
      <alignment wrapText="1"/>
    </xf>
    <xf numFmtId="3" fontId="46" fillId="20" borderId="4" xfId="0" applyNumberFormat="1" applyFont="1" applyFill="1" applyBorder="1"/>
    <xf numFmtId="3" fontId="48" fillId="0" borderId="12" xfId="0" applyNumberFormat="1" applyFont="1" applyFill="1" applyBorder="1"/>
    <xf numFmtId="4" fontId="48" fillId="0" borderId="0" xfId="0" applyNumberFormat="1" applyFont="1" applyFill="1" applyBorder="1"/>
    <xf numFmtId="3" fontId="48" fillId="0" borderId="3" xfId="0" applyNumberFormat="1" applyFont="1" applyFill="1" applyBorder="1"/>
    <xf numFmtId="0" fontId="42" fillId="0" borderId="3" xfId="0" applyFont="1" applyBorder="1"/>
    <xf numFmtId="3" fontId="44" fillId="0" borderId="26" xfId="0" applyNumberFormat="1" applyFont="1" applyFill="1" applyBorder="1"/>
    <xf numFmtId="3" fontId="45" fillId="0" borderId="3" xfId="0" applyNumberFormat="1" applyFont="1" applyFill="1" applyBorder="1"/>
    <xf numFmtId="3" fontId="44" fillId="0" borderId="1" xfId="0" applyNumberFormat="1" applyFont="1" applyFill="1" applyBorder="1"/>
    <xf numFmtId="3" fontId="44" fillId="0" borderId="2" xfId="0" applyNumberFormat="1" applyFont="1" applyFill="1" applyBorder="1"/>
    <xf numFmtId="3" fontId="44" fillId="20" borderId="0" xfId="0" applyNumberFormat="1" applyFont="1" applyFill="1" applyBorder="1"/>
    <xf numFmtId="1" fontId="44" fillId="20" borderId="0" xfId="0" applyNumberFormat="1" applyFont="1" applyFill="1" applyBorder="1"/>
    <xf numFmtId="1" fontId="48" fillId="20" borderId="0" xfId="0" applyNumberFormat="1" applyFont="1" applyFill="1" applyBorder="1"/>
    <xf numFmtId="3" fontId="48" fillId="20" borderId="0" xfId="0" applyNumberFormat="1" applyFont="1" applyFill="1" applyBorder="1"/>
    <xf numFmtId="1" fontId="42" fillId="20" borderId="0" xfId="0" applyNumberFormat="1" applyFont="1" applyFill="1"/>
    <xf numFmtId="1" fontId="49" fillId="20" borderId="0" xfId="0" applyNumberFormat="1" applyFont="1" applyFill="1"/>
    <xf numFmtId="0" fontId="42" fillId="20" borderId="0" xfId="0" applyFont="1" applyFill="1"/>
    <xf numFmtId="0" fontId="43" fillId="20" borderId="10" xfId="0" applyFont="1" applyFill="1" applyBorder="1"/>
    <xf numFmtId="1" fontId="46" fillId="20" borderId="5" xfId="0" applyNumberFormat="1" applyFont="1" applyFill="1" applyBorder="1"/>
    <xf numFmtId="1" fontId="42" fillId="20" borderId="5" xfId="0" applyNumberFormat="1" applyFont="1" applyFill="1" applyBorder="1"/>
    <xf numFmtId="1" fontId="43" fillId="20" borderId="6" xfId="0" applyNumberFormat="1" applyFont="1" applyFill="1" applyBorder="1" applyAlignment="1">
      <alignment horizontal="center"/>
    </xf>
    <xf numFmtId="0" fontId="46" fillId="20" borderId="10" xfId="0" applyFont="1" applyFill="1" applyBorder="1"/>
    <xf numFmtId="3" fontId="46" fillId="20" borderId="6" xfId="0" applyNumberFormat="1" applyFont="1" applyFill="1" applyBorder="1"/>
    <xf numFmtId="0" fontId="46" fillId="20" borderId="12" xfId="0" applyFont="1" applyFill="1" applyBorder="1"/>
    <xf numFmtId="1" fontId="46" fillId="20" borderId="0" xfId="0" applyNumberFormat="1" applyFont="1" applyFill="1" applyBorder="1"/>
    <xf numFmtId="1" fontId="42" fillId="20" borderId="0" xfId="0" applyNumberFormat="1" applyFont="1" applyFill="1" applyBorder="1"/>
    <xf numFmtId="0" fontId="43" fillId="20" borderId="13" xfId="0" applyFont="1" applyFill="1" applyBorder="1"/>
    <xf numFmtId="1" fontId="46" fillId="20" borderId="19" xfId="0" applyNumberFormat="1" applyFont="1" applyFill="1" applyBorder="1"/>
    <xf numFmtId="1" fontId="42" fillId="20" borderId="19" xfId="0" applyNumberFormat="1" applyFont="1" applyFill="1" applyBorder="1"/>
    <xf numFmtId="3" fontId="43" fillId="20" borderId="7" xfId="0" applyNumberFormat="1" applyFont="1" applyFill="1" applyBorder="1"/>
    <xf numFmtId="0" fontId="36" fillId="0" borderId="0" xfId="0" applyFont="1" applyFill="1"/>
    <xf numFmtId="0" fontId="37" fillId="0" borderId="0" xfId="0" applyFont="1" applyFill="1" applyBorder="1" applyAlignment="1">
      <alignment horizontal="right"/>
    </xf>
    <xf numFmtId="0" fontId="36" fillId="0" borderId="0" xfId="0" applyFont="1" applyBorder="1"/>
    <xf numFmtId="0" fontId="36" fillId="0" borderId="0" xfId="0" applyFont="1"/>
    <xf numFmtId="0" fontId="36" fillId="0" borderId="6" xfId="0" applyFont="1" applyFill="1" applyBorder="1"/>
    <xf numFmtId="0" fontId="37" fillId="0" borderId="10" xfId="0" applyFont="1" applyFill="1" applyBorder="1"/>
    <xf numFmtId="0" fontId="50" fillId="0" borderId="6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wrapText="1"/>
    </xf>
    <xf numFmtId="0" fontId="50" fillId="0" borderId="6" xfId="0" applyFont="1" applyFill="1" applyBorder="1" applyAlignment="1">
      <alignment horizontal="center"/>
    </xf>
    <xf numFmtId="0" fontId="50" fillId="0" borderId="10" xfId="0" applyFont="1" applyFill="1" applyBorder="1" applyAlignment="1">
      <alignment horizontal="center" wrapText="1" shrinkToFit="1"/>
    </xf>
    <xf numFmtId="0" fontId="50" fillId="0" borderId="8" xfId="0" applyFont="1" applyFill="1" applyBorder="1" applyAlignment="1">
      <alignment horizontal="center" wrapText="1" shrinkToFit="1"/>
    </xf>
    <xf numFmtId="0" fontId="36" fillId="0" borderId="3" xfId="0" applyFont="1" applyFill="1" applyBorder="1"/>
    <xf numFmtId="0" fontId="37" fillId="0" borderId="13" xfId="0" applyFont="1" applyFill="1" applyBorder="1"/>
    <xf numFmtId="0" fontId="50" fillId="0" borderId="7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/>
    </xf>
    <xf numFmtId="0" fontId="50" fillId="0" borderId="7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37" fillId="0" borderId="11" xfId="0" applyFont="1" applyFill="1" applyBorder="1"/>
    <xf numFmtId="3" fontId="37" fillId="0" borderId="1" xfId="0" applyNumberFormat="1" applyFont="1" applyFill="1" applyBorder="1" applyAlignment="1"/>
    <xf numFmtId="4" fontId="37" fillId="0" borderId="0" xfId="0" applyNumberFormat="1" applyFont="1" applyFill="1" applyBorder="1" applyAlignment="1"/>
    <xf numFmtId="0" fontId="36" fillId="0" borderId="12" xfId="0" applyFont="1" applyFill="1" applyBorder="1"/>
    <xf numFmtId="3" fontId="36" fillId="0" borderId="3" xfId="0" applyNumberFormat="1" applyFont="1" applyFill="1" applyBorder="1" applyAlignment="1"/>
    <xf numFmtId="4" fontId="36" fillId="0" borderId="0" xfId="0" applyNumberFormat="1" applyFont="1"/>
    <xf numFmtId="0" fontId="38" fillId="0" borderId="3" xfId="0" applyFont="1" applyFill="1" applyBorder="1" applyAlignment="1">
      <alignment shrinkToFit="1"/>
    </xf>
    <xf numFmtId="0" fontId="36" fillId="0" borderId="7" xfId="0" applyFont="1" applyFill="1" applyBorder="1"/>
    <xf numFmtId="0" fontId="37" fillId="0" borderId="1" xfId="0" applyFont="1" applyFill="1" applyBorder="1" applyAlignment="1">
      <alignment shrinkToFit="1"/>
    </xf>
    <xf numFmtId="0" fontId="37" fillId="0" borderId="18" xfId="0" applyFont="1" applyFill="1" applyBorder="1"/>
    <xf numFmtId="0" fontId="36" fillId="0" borderId="10" xfId="0" applyFont="1" applyFill="1" applyBorder="1"/>
    <xf numFmtId="3" fontId="36" fillId="0" borderId="6" xfId="0" applyNumberFormat="1" applyFont="1" applyFill="1" applyBorder="1" applyAlignment="1"/>
    <xf numFmtId="0" fontId="52" fillId="0" borderId="26" xfId="0" applyFont="1" applyFill="1" applyBorder="1" applyAlignment="1">
      <alignment horizontal="center" shrinkToFit="1"/>
    </xf>
    <xf numFmtId="0" fontId="37" fillId="0" borderId="7" xfId="0" applyFont="1" applyFill="1" applyBorder="1"/>
    <xf numFmtId="3" fontId="37" fillId="0" borderId="7" xfId="0" applyNumberFormat="1" applyFont="1" applyFill="1" applyBorder="1" applyAlignment="1"/>
    <xf numFmtId="2" fontId="36" fillId="0" borderId="0" xfId="0" applyNumberFormat="1" applyFont="1"/>
    <xf numFmtId="49" fontId="36" fillId="0" borderId="12" xfId="0" applyNumberFormat="1" applyFont="1" applyFill="1" applyBorder="1" applyAlignment="1">
      <alignment horizontal="center" vertical="center" wrapText="1"/>
    </xf>
    <xf numFmtId="49" fontId="36" fillId="0" borderId="6" xfId="0" applyNumberFormat="1" applyFont="1" applyFill="1" applyBorder="1" applyAlignment="1">
      <alignment horizontal="justify" vertical="center" wrapText="1"/>
    </xf>
    <xf numFmtId="3" fontId="36" fillId="0" borderId="0" xfId="0" applyNumberFormat="1" applyFont="1" applyBorder="1"/>
    <xf numFmtId="49" fontId="36" fillId="0" borderId="3" xfId="0" applyNumberFormat="1" applyFont="1" applyFill="1" applyBorder="1" applyAlignment="1">
      <alignment horizontal="justify" vertical="center" wrapText="1"/>
    </xf>
    <xf numFmtId="49" fontId="36" fillId="0" borderId="13" xfId="0" applyNumberFormat="1" applyFont="1" applyFill="1" applyBorder="1" applyAlignment="1">
      <alignment horizontal="center" vertical="center" wrapText="1"/>
    </xf>
    <xf numFmtId="49" fontId="36" fillId="0" borderId="7" xfId="0" applyNumberFormat="1" applyFont="1" applyFill="1" applyBorder="1" applyAlignment="1">
      <alignment horizontal="justify" vertical="center" wrapText="1"/>
    </xf>
    <xf numFmtId="3" fontId="36" fillId="0" borderId="7" xfId="0" applyNumberFormat="1" applyFont="1" applyFill="1" applyBorder="1" applyAlignment="1"/>
    <xf numFmtId="49" fontId="36" fillId="0" borderId="10" xfId="0" applyNumberFormat="1" applyFont="1" applyFill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justify" vertical="center" wrapText="1"/>
    </xf>
    <xf numFmtId="49" fontId="36" fillId="0" borderId="3" xfId="0" applyNumberFormat="1" applyFont="1" applyBorder="1" applyAlignment="1">
      <alignment horizontal="justify" vertical="center" wrapText="1"/>
    </xf>
    <xf numFmtId="0" fontId="54" fillId="0" borderId="3" xfId="30" applyFont="1" applyFill="1" applyBorder="1" applyAlignment="1">
      <alignment horizontal="left" vertical="center" wrapText="1"/>
    </xf>
    <xf numFmtId="0" fontId="54" fillId="0" borderId="12" xfId="0" applyFont="1" applyFill="1" applyBorder="1" applyAlignment="1">
      <alignment horizontal="center" vertical="center"/>
    </xf>
    <xf numFmtId="0" fontId="54" fillId="0" borderId="3" xfId="0" applyFont="1" applyBorder="1" applyAlignment="1">
      <alignment wrapText="1"/>
    </xf>
    <xf numFmtId="0" fontId="54" fillId="0" borderId="3" xfId="0" applyFont="1" applyBorder="1"/>
    <xf numFmtId="0" fontId="55" fillId="0" borderId="7" xfId="0" applyFont="1" applyFill="1" applyBorder="1"/>
    <xf numFmtId="49" fontId="36" fillId="0" borderId="6" xfId="0" applyNumberFormat="1" applyFont="1" applyFill="1" applyBorder="1" applyAlignment="1">
      <alignment horizontal="center" vertical="center" wrapText="1"/>
    </xf>
    <xf numFmtId="3" fontId="36" fillId="0" borderId="8" xfId="0" applyNumberFormat="1" applyFont="1" applyFill="1" applyBorder="1" applyAlignment="1"/>
    <xf numFmtId="0" fontId="52" fillId="0" borderId="7" xfId="0" applyFont="1" applyFill="1" applyBorder="1" applyAlignment="1">
      <alignment horizontal="center" shrinkToFit="1"/>
    </xf>
    <xf numFmtId="3" fontId="37" fillId="0" borderId="9" xfId="0" applyNumberFormat="1" applyFont="1" applyFill="1" applyBorder="1" applyAlignment="1"/>
    <xf numFmtId="3" fontId="36" fillId="0" borderId="4" xfId="0" applyNumberFormat="1" applyFont="1" applyFill="1" applyBorder="1" applyAlignment="1"/>
    <xf numFmtId="3" fontId="36" fillId="0" borderId="9" xfId="0" applyNumberFormat="1" applyFont="1" applyFill="1" applyBorder="1" applyAlignment="1"/>
    <xf numFmtId="0" fontId="37" fillId="0" borderId="1" xfId="0" applyFont="1" applyFill="1" applyBorder="1"/>
    <xf numFmtId="3" fontId="37" fillId="0" borderId="2" xfId="0" applyNumberFormat="1" applyFont="1" applyFill="1" applyBorder="1" applyAlignment="1"/>
    <xf numFmtId="3" fontId="36" fillId="0" borderId="0" xfId="0" applyNumberFormat="1" applyFont="1" applyFill="1" applyBorder="1" applyAlignment="1"/>
    <xf numFmtId="49" fontId="36" fillId="0" borderId="0" xfId="0" applyNumberFormat="1" applyFont="1" applyFill="1" applyBorder="1"/>
    <xf numFmtId="0" fontId="56" fillId="0" borderId="11" xfId="0" applyFont="1" applyFill="1" applyBorder="1"/>
    <xf numFmtId="0" fontId="56" fillId="0" borderId="18" xfId="0" applyFont="1" applyFill="1" applyBorder="1"/>
    <xf numFmtId="0" fontId="56" fillId="0" borderId="1" xfId="0" applyFont="1" applyFill="1" applyBorder="1" applyAlignment="1">
      <alignment horizontal="right"/>
    </xf>
    <xf numFmtId="0" fontId="36" fillId="0" borderId="41" xfId="0" applyFont="1" applyFill="1" applyBorder="1"/>
    <xf numFmtId="0" fontId="36" fillId="0" borderId="42" xfId="0" applyFont="1" applyFill="1" applyBorder="1"/>
    <xf numFmtId="0" fontId="36" fillId="0" borderId="43" xfId="0" applyFont="1" applyFill="1" applyBorder="1"/>
    <xf numFmtId="3" fontId="36" fillId="0" borderId="21" xfId="0" applyNumberFormat="1" applyFont="1" applyFill="1" applyBorder="1"/>
    <xf numFmtId="4" fontId="36" fillId="0" borderId="12" xfId="0" applyNumberFormat="1" applyFont="1" applyBorder="1"/>
    <xf numFmtId="0" fontId="57" fillId="0" borderId="22" xfId="0" applyFont="1" applyFill="1" applyBorder="1"/>
    <xf numFmtId="0" fontId="57" fillId="0" borderId="44" xfId="0" applyFont="1" applyFill="1" applyBorder="1"/>
    <xf numFmtId="3" fontId="57" fillId="0" borderId="34" xfId="0" applyNumberFormat="1" applyFont="1" applyFill="1" applyBorder="1"/>
    <xf numFmtId="0" fontId="58" fillId="0" borderId="44" xfId="0" applyFont="1" applyFill="1" applyBorder="1"/>
    <xf numFmtId="0" fontId="56" fillId="0" borderId="45" xfId="0" applyFont="1" applyFill="1" applyBorder="1"/>
    <xf numFmtId="0" fontId="56" fillId="0" borderId="40" xfId="0" applyFont="1" applyFill="1" applyBorder="1"/>
    <xf numFmtId="0" fontId="56" fillId="0" borderId="46" xfId="0" applyFont="1" applyFill="1" applyBorder="1"/>
    <xf numFmtId="3" fontId="56" fillId="0" borderId="37" xfId="0" applyNumberFormat="1" applyFont="1" applyFill="1" applyBorder="1"/>
    <xf numFmtId="4" fontId="56" fillId="0" borderId="12" xfId="0" applyNumberFormat="1" applyFont="1" applyFill="1" applyBorder="1"/>
    <xf numFmtId="0" fontId="59" fillId="0" borderId="0" xfId="0" applyFont="1" applyAlignment="1">
      <alignment horizontal="left"/>
    </xf>
    <xf numFmtId="0" fontId="36" fillId="0" borderId="0" xfId="0" applyFont="1" applyFill="1" applyBorder="1" applyAlignment="1">
      <alignment horizontal="left"/>
    </xf>
    <xf numFmtId="3" fontId="36" fillId="0" borderId="0" xfId="0" applyNumberFormat="1" applyFont="1" applyFill="1" applyBorder="1"/>
    <xf numFmtId="0" fontId="59" fillId="0" borderId="0" xfId="0" applyFont="1" applyFill="1" applyAlignment="1">
      <alignment horizontal="right"/>
    </xf>
    <xf numFmtId="0" fontId="59" fillId="0" borderId="0" xfId="0" applyFont="1" applyFill="1" applyBorder="1" applyAlignment="1">
      <alignment horizontal="left"/>
    </xf>
    <xf numFmtId="3" fontId="59" fillId="0" borderId="0" xfId="0" applyNumberFormat="1" applyFont="1" applyFill="1" applyBorder="1" applyAlignment="1">
      <alignment horizontal="right"/>
    </xf>
    <xf numFmtId="0" fontId="59" fillId="0" borderId="0" xfId="0" applyFont="1" applyBorder="1" applyAlignment="1">
      <alignment horizontal="right"/>
    </xf>
    <xf numFmtId="0" fontId="59" fillId="0" borderId="0" xfId="0" applyFont="1" applyAlignment="1">
      <alignment horizontal="right"/>
    </xf>
    <xf numFmtId="49" fontId="36" fillId="0" borderId="0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horizontal="justify" vertical="center" wrapText="1"/>
    </xf>
    <xf numFmtId="49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/>
    <xf numFmtId="0" fontId="56" fillId="0" borderId="0" xfId="0" applyFont="1" applyFill="1" applyBorder="1"/>
    <xf numFmtId="0" fontId="38" fillId="0" borderId="0" xfId="0" applyFont="1" applyAlignment="1">
      <alignment shrinkToFit="1"/>
    </xf>
    <xf numFmtId="0" fontId="52" fillId="0" borderId="0" xfId="0" applyFont="1" applyAlignment="1">
      <alignment horizontal="right"/>
    </xf>
    <xf numFmtId="0" fontId="62" fillId="0" borderId="0" xfId="0" applyFont="1" applyAlignment="1">
      <alignment horizontal="right"/>
    </xf>
    <xf numFmtId="0" fontId="18" fillId="0" borderId="0" xfId="0" applyFont="1"/>
    <xf numFmtId="0" fontId="52" fillId="0" borderId="6" xfId="0" applyFont="1" applyBorder="1" applyAlignment="1">
      <alignment horizontal="center" shrinkToFit="1"/>
    </xf>
    <xf numFmtId="0" fontId="52" fillId="0" borderId="6" xfId="0" applyFont="1" applyFill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52" fillId="0" borderId="11" xfId="0" applyFont="1" applyFill="1" applyBorder="1" applyAlignment="1">
      <alignment horizontal="center"/>
    </xf>
    <xf numFmtId="0" fontId="52" fillId="0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2" fillId="0" borderId="7" xfId="0" applyFont="1" applyBorder="1" applyAlignment="1">
      <alignment horizontal="center" shrinkToFit="1"/>
    </xf>
    <xf numFmtId="0" fontId="52" fillId="0" borderId="7" xfId="0" applyFont="1" applyFill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11" xfId="0" applyFont="1" applyBorder="1" applyAlignment="1">
      <alignment shrinkToFit="1"/>
    </xf>
    <xf numFmtId="3" fontId="63" fillId="20" borderId="1" xfId="0" applyNumberFormat="1" applyFont="1" applyFill="1" applyBorder="1" applyAlignment="1">
      <alignment horizontal="right"/>
    </xf>
    <xf numFmtId="0" fontId="38" fillId="0" borderId="12" xfId="0" applyFont="1" applyBorder="1" applyAlignment="1">
      <alignment shrinkToFit="1"/>
    </xf>
    <xf numFmtId="3" fontId="64" fillId="20" borderId="3" xfId="0" applyNumberFormat="1" applyFont="1" applyFill="1" applyBorder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38" fillId="0" borderId="12" xfId="0" applyFont="1" applyFill="1" applyBorder="1" applyAlignment="1">
      <alignment shrinkToFit="1"/>
    </xf>
    <xf numFmtId="0" fontId="0" fillId="2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64" fillId="20" borderId="3" xfId="0" applyFont="1" applyFill="1" applyBorder="1" applyAlignment="1"/>
    <xf numFmtId="3" fontId="64" fillId="20" borderId="3" xfId="0" applyNumberFormat="1" applyFont="1" applyFill="1" applyBorder="1"/>
    <xf numFmtId="3" fontId="65" fillId="20" borderId="1" xfId="0" applyNumberFormat="1" applyFont="1" applyFill="1" applyBorder="1"/>
    <xf numFmtId="3" fontId="63" fillId="0" borderId="12" xfId="0" applyNumberFormat="1" applyFont="1" applyBorder="1"/>
    <xf numFmtId="3" fontId="65" fillId="20" borderId="3" xfId="0" applyNumberFormat="1" applyFont="1" applyFill="1" applyBorder="1"/>
    <xf numFmtId="0" fontId="52" fillId="0" borderId="20" xfId="0" applyFont="1" applyBorder="1" applyAlignment="1">
      <alignment shrinkToFit="1"/>
    </xf>
    <xf numFmtId="3" fontId="65" fillId="20" borderId="26" xfId="0" applyNumberFormat="1" applyFont="1" applyFill="1" applyBorder="1"/>
    <xf numFmtId="0" fontId="52" fillId="0" borderId="12" xfId="0" applyFont="1" applyBorder="1" applyAlignment="1">
      <alignment shrinkToFit="1"/>
    </xf>
    <xf numFmtId="3" fontId="65" fillId="20" borderId="34" xfId="0" applyNumberFormat="1" applyFont="1" applyFill="1" applyBorder="1"/>
    <xf numFmtId="3" fontId="66" fillId="0" borderId="0" xfId="0" applyNumberFormat="1" applyFont="1" applyFill="1" applyBorder="1"/>
    <xf numFmtId="0" fontId="64" fillId="20" borderId="3" xfId="0" applyFont="1" applyFill="1" applyBorder="1"/>
    <xf numFmtId="0" fontId="38" fillId="0" borderId="12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wrapText="1" shrinkToFit="1"/>
    </xf>
    <xf numFmtId="0" fontId="38" fillId="0" borderId="12" xfId="0" applyFont="1" applyBorder="1" applyAlignment="1">
      <alignment wrapText="1" shrinkToFit="1"/>
    </xf>
    <xf numFmtId="3" fontId="35" fillId="0" borderId="0" xfId="0" applyNumberFormat="1" applyFont="1" applyFill="1"/>
    <xf numFmtId="0" fontId="67" fillId="0" borderId="0" xfId="0" applyFont="1"/>
    <xf numFmtId="0" fontId="38" fillId="0" borderId="0" xfId="0" applyFont="1" applyBorder="1" applyAlignment="1"/>
    <xf numFmtId="0" fontId="35" fillId="0" borderId="0" xfId="0" applyFont="1" applyFill="1" applyAlignment="1"/>
    <xf numFmtId="0" fontId="35" fillId="0" borderId="0" xfId="0" applyFont="1" applyAlignment="1"/>
    <xf numFmtId="3" fontId="66" fillId="0" borderId="0" xfId="0" applyNumberFormat="1" applyFont="1" applyBorder="1"/>
    <xf numFmtId="0" fontId="38" fillId="0" borderId="0" xfId="0" applyFont="1" applyAlignment="1"/>
    <xf numFmtId="49" fontId="52" fillId="0" borderId="11" xfId="0" applyNumberFormat="1" applyFont="1" applyBorder="1" applyAlignment="1"/>
    <xf numFmtId="0" fontId="38" fillId="0" borderId="11" xfId="0" applyFont="1" applyBorder="1" applyAlignment="1"/>
    <xf numFmtId="0" fontId="38" fillId="0" borderId="18" xfId="0" applyFont="1" applyBorder="1" applyAlignment="1"/>
    <xf numFmtId="0" fontId="38" fillId="0" borderId="2" xfId="0" applyFont="1" applyBorder="1" applyAlignment="1"/>
    <xf numFmtId="0" fontId="62" fillId="0" borderId="1" xfId="0" applyFont="1" applyBorder="1" applyAlignment="1">
      <alignment horizontal="right"/>
    </xf>
    <xf numFmtId="49" fontId="68" fillId="0" borderId="41" xfId="0" applyNumberFormat="1" applyFont="1" applyBorder="1" applyAlignment="1"/>
    <xf numFmtId="0" fontId="68" fillId="0" borderId="41" xfId="0" applyFont="1" applyBorder="1" applyAlignment="1"/>
    <xf numFmtId="0" fontId="68" fillId="0" borderId="42" xfId="0" applyFont="1" applyBorder="1" applyAlignment="1"/>
    <xf numFmtId="0" fontId="68" fillId="0" borderId="43" xfId="0" applyFont="1" applyBorder="1" applyAlignment="1"/>
    <xf numFmtId="3" fontId="64" fillId="0" borderId="29" xfId="0" applyNumberFormat="1" applyFont="1" applyBorder="1" applyAlignment="1"/>
    <xf numFmtId="0" fontId="68" fillId="0" borderId="16" xfId="0" applyFont="1" applyBorder="1"/>
    <xf numFmtId="0" fontId="68" fillId="0" borderId="12" xfId="0" applyFont="1" applyBorder="1"/>
    <xf numFmtId="0" fontId="68" fillId="0" borderId="0" xfId="0" applyFont="1" applyBorder="1"/>
    <xf numFmtId="0" fontId="68" fillId="0" borderId="4" xfId="0" applyFont="1" applyBorder="1"/>
    <xf numFmtId="3" fontId="64" fillId="0" borderId="30" xfId="0" applyNumberFormat="1" applyFont="1" applyFill="1" applyBorder="1"/>
    <xf numFmtId="0" fontId="62" fillId="0" borderId="47" xfId="0" applyFont="1" applyBorder="1"/>
    <xf numFmtId="0" fontId="62" fillId="0" borderId="46" xfId="0" applyFont="1" applyBorder="1"/>
    <xf numFmtId="0" fontId="62" fillId="0" borderId="38" xfId="0" applyFont="1" applyBorder="1"/>
    <xf numFmtId="3" fontId="65" fillId="0" borderId="37" xfId="0" applyNumberFormat="1" applyFont="1" applyBorder="1"/>
    <xf numFmtId="0" fontId="69" fillId="0" borderId="0" xfId="0" applyFont="1" applyFill="1"/>
    <xf numFmtId="0" fontId="70" fillId="0" borderId="0" xfId="0" applyFont="1" applyFill="1" applyAlignment="1">
      <alignment horizontal="right"/>
    </xf>
    <xf numFmtId="0" fontId="38" fillId="0" borderId="0" xfId="0" applyFont="1" applyFill="1" applyAlignment="1">
      <alignment horizontal="right"/>
    </xf>
    <xf numFmtId="0" fontId="71" fillId="0" borderId="0" xfId="0" applyFont="1" applyFill="1" applyAlignment="1">
      <alignment horizontal="right"/>
    </xf>
    <xf numFmtId="0" fontId="69" fillId="0" borderId="0" xfId="0" applyFont="1"/>
    <xf numFmtId="0" fontId="51" fillId="0" borderId="6" xfId="0" applyFont="1" applyFill="1" applyBorder="1" applyAlignment="1">
      <alignment horizontal="center"/>
    </xf>
    <xf numFmtId="0" fontId="51" fillId="0" borderId="8" xfId="0" applyFont="1" applyFill="1" applyBorder="1" applyAlignment="1">
      <alignment horizontal="center"/>
    </xf>
    <xf numFmtId="0" fontId="51" fillId="0" borderId="6" xfId="0" applyFont="1" applyFill="1" applyBorder="1" applyAlignment="1">
      <alignment horizontal="center" shrinkToFit="1"/>
    </xf>
    <xf numFmtId="0" fontId="51" fillId="0" borderId="4" xfId="0" applyFont="1" applyFill="1" applyBorder="1" applyAlignment="1">
      <alignment horizontal="center"/>
    </xf>
    <xf numFmtId="0" fontId="52" fillId="0" borderId="1" xfId="0" applyFont="1" applyFill="1" applyBorder="1"/>
    <xf numFmtId="3" fontId="52" fillId="0" borderId="2" xfId="0" applyNumberFormat="1" applyFont="1" applyFill="1" applyBorder="1" applyAlignment="1">
      <alignment horizontal="right"/>
    </xf>
    <xf numFmtId="0" fontId="38" fillId="0" borderId="3" xfId="0" applyFont="1" applyFill="1" applyBorder="1"/>
    <xf numFmtId="3" fontId="38" fillId="0" borderId="3" xfId="0" applyNumberFormat="1" applyFont="1" applyFill="1" applyBorder="1"/>
    <xf numFmtId="3" fontId="52" fillId="0" borderId="2" xfId="0" applyNumberFormat="1" applyFont="1" applyFill="1" applyBorder="1"/>
    <xf numFmtId="0" fontId="38" fillId="0" borderId="6" xfId="0" applyFont="1" applyBorder="1" applyAlignment="1">
      <alignment wrapText="1"/>
    </xf>
    <xf numFmtId="3" fontId="38" fillId="0" borderId="8" xfId="0" applyNumberFormat="1" applyFont="1" applyFill="1" applyBorder="1"/>
    <xf numFmtId="0" fontId="52" fillId="0" borderId="1" xfId="0" applyFont="1" applyBorder="1"/>
    <xf numFmtId="0" fontId="52" fillId="0" borderId="0" xfId="0" applyFont="1" applyBorder="1"/>
    <xf numFmtId="3" fontId="52" fillId="0" borderId="0" xfId="0" applyNumberFormat="1" applyFont="1" applyBorder="1"/>
    <xf numFmtId="165" fontId="38" fillId="0" borderId="0" xfId="0" applyNumberFormat="1" applyFont="1" applyBorder="1" applyAlignment="1">
      <alignment wrapText="1"/>
    </xf>
    <xf numFmtId="0" fontId="68" fillId="0" borderId="0" xfId="0" applyFont="1"/>
  </cellXfs>
  <cellStyles count="31">
    <cellStyle name="Čárka" xfId="28" builtinId="3"/>
    <cellStyle name="Header" xfId="2"/>
    <cellStyle name="Header 2" xfId="8"/>
    <cellStyle name="Header 3" xfId="10"/>
    <cellStyle name="Nedefinován" xfId="1"/>
    <cellStyle name="Normální" xfId="0" builtinId="0"/>
    <cellStyle name="normální 10" xfId="13"/>
    <cellStyle name="normální 11" xfId="14"/>
    <cellStyle name="Normální 12" xfId="15"/>
    <cellStyle name="Normální 13" xfId="16"/>
    <cellStyle name="Normální 14" xfId="17"/>
    <cellStyle name="Normální 15" xfId="18"/>
    <cellStyle name="Normální 16" xfId="19"/>
    <cellStyle name="Normální 17" xfId="20"/>
    <cellStyle name="Normální 18" xfId="21"/>
    <cellStyle name="Normální 19" xfId="22"/>
    <cellStyle name="normální 2" xfId="3"/>
    <cellStyle name="Normální 2 2" xfId="29"/>
    <cellStyle name="normální 2 3" xfId="30"/>
    <cellStyle name="Normální 20" xfId="23"/>
    <cellStyle name="Normální 21" xfId="24"/>
    <cellStyle name="Normální 22" xfId="25"/>
    <cellStyle name="Normální 23" xfId="26"/>
    <cellStyle name="Normální 24" xfId="27"/>
    <cellStyle name="normální 3" xfId="4"/>
    <cellStyle name="normální 4" xfId="5"/>
    <cellStyle name="normální 5" xfId="6"/>
    <cellStyle name="normální 6" xfId="7"/>
    <cellStyle name="normální 7" xfId="9"/>
    <cellStyle name="normální 8" xfId="11"/>
    <cellStyle name="normální 9" xfId="12"/>
  </cellStyles>
  <dxfs count="0"/>
  <tableStyles count="0" defaultTableStyle="TableStyleMedium9" defaultPivotStyle="PivotStyleLight16"/>
  <colors>
    <mruColors>
      <color rgb="FFFF9900"/>
      <color rgb="FF00FFCC"/>
      <color rgb="FFFFCC66"/>
      <color rgb="FF66FF99"/>
      <color rgb="FFFF99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4/FONDY/FKEP_4Q_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4/FONDY/SF_4Q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4/FONDY/VSMP_4Q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KEP 4Q"/>
      <sheetName val="List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 4Q 2014"/>
      <sheetName val="SF 4Q 2014 v Kč"/>
      <sheetName val="FV 201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 M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43"/>
  <sheetViews>
    <sheetView showZeros="0" tabSelected="1" workbookViewId="0"/>
  </sheetViews>
  <sheetFormatPr defaultRowHeight="12.75" x14ac:dyDescent="0.2"/>
  <cols>
    <col min="1" max="1" width="46.42578125" style="6" customWidth="1"/>
    <col min="2" max="4" width="18.5703125" style="6" customWidth="1"/>
    <col min="5" max="5" width="16.85546875" style="6" customWidth="1"/>
    <col min="6" max="16384" width="9.140625" style="6"/>
  </cols>
  <sheetData>
    <row r="1" spans="1:4" ht="13.5" thickBot="1" x14ac:dyDescent="0.25">
      <c r="B1" s="122"/>
      <c r="C1" s="122"/>
      <c r="D1" s="122" t="s">
        <v>0</v>
      </c>
    </row>
    <row r="2" spans="1:4" ht="15.75" customHeight="1" x14ac:dyDescent="0.2">
      <c r="A2" s="213" t="s">
        <v>1</v>
      </c>
      <c r="B2" s="123" t="s">
        <v>2</v>
      </c>
      <c r="C2" s="123" t="s">
        <v>6</v>
      </c>
      <c r="D2" s="124" t="s">
        <v>524</v>
      </c>
    </row>
    <row r="3" spans="1:4" ht="13.5" thickBot="1" x14ac:dyDescent="0.25">
      <c r="A3" s="214"/>
      <c r="B3" s="125">
        <v>2014</v>
      </c>
      <c r="C3" s="125" t="s">
        <v>523</v>
      </c>
      <c r="D3" s="126" t="s">
        <v>47</v>
      </c>
    </row>
    <row r="4" spans="1:4" ht="13.5" thickBot="1" x14ac:dyDescent="0.25">
      <c r="A4" s="127" t="s">
        <v>3</v>
      </c>
      <c r="B4" s="128">
        <f>SUM(B5:B10)</f>
        <v>12995</v>
      </c>
      <c r="C4" s="128">
        <f>SUM(C5:C10)</f>
        <v>219828</v>
      </c>
      <c r="D4" s="128">
        <f>SUM(D5:D10)</f>
        <v>219828</v>
      </c>
    </row>
    <row r="5" spans="1:4" x14ac:dyDescent="0.2">
      <c r="A5" s="24" t="s">
        <v>7</v>
      </c>
      <c r="B5" s="47">
        <f>Souhrn!B5</f>
        <v>12995</v>
      </c>
      <c r="C5" s="47">
        <f>Souhrn!C5</f>
        <v>12995</v>
      </c>
      <c r="D5" s="47">
        <f>Souhrn!D5</f>
        <v>12995</v>
      </c>
    </row>
    <row r="6" spans="1:4" x14ac:dyDescent="0.2">
      <c r="A6" s="24" t="s">
        <v>126</v>
      </c>
      <c r="B6" s="49">
        <f>Souhrn!B6</f>
        <v>0</v>
      </c>
      <c r="C6" s="49">
        <f>Souhrn!C6</f>
        <v>4090</v>
      </c>
      <c r="D6" s="49">
        <f>Souhrn!D6</f>
        <v>4090</v>
      </c>
    </row>
    <row r="7" spans="1:4" x14ac:dyDescent="0.2">
      <c r="A7" s="24" t="s">
        <v>181</v>
      </c>
      <c r="B7" s="49">
        <f>Souhrn!B7</f>
        <v>0</v>
      </c>
      <c r="C7" s="49">
        <f>Souhrn!C7</f>
        <v>64251</v>
      </c>
      <c r="D7" s="49">
        <f>Souhrn!D7</f>
        <v>64251</v>
      </c>
    </row>
    <row r="8" spans="1:4" ht="25.5" x14ac:dyDescent="0.2">
      <c r="A8" s="28" t="s">
        <v>183</v>
      </c>
      <c r="B8" s="49">
        <f>Souhrn!B8</f>
        <v>0</v>
      </c>
      <c r="C8" s="49">
        <f>Souhrn!C8</f>
        <v>50000</v>
      </c>
      <c r="D8" s="49">
        <f>Souhrn!D8</f>
        <v>50000</v>
      </c>
    </row>
    <row r="9" spans="1:4" x14ac:dyDescent="0.2">
      <c r="A9" s="24" t="s">
        <v>186</v>
      </c>
      <c r="B9" s="49">
        <f>Souhrn!B9</f>
        <v>0</v>
      </c>
      <c r="C9" s="49">
        <f>Souhrn!C9</f>
        <v>88492</v>
      </c>
      <c r="D9" s="49">
        <f>Souhrn!D9</f>
        <v>88492</v>
      </c>
    </row>
    <row r="10" spans="1:4" ht="13.5" thickBot="1" x14ac:dyDescent="0.25">
      <c r="A10" s="24"/>
      <c r="B10" s="57"/>
      <c r="C10" s="49"/>
      <c r="D10" s="49"/>
    </row>
    <row r="11" spans="1:4" ht="13.5" thickBot="1" x14ac:dyDescent="0.25">
      <c r="A11" s="127" t="s">
        <v>4</v>
      </c>
      <c r="B11" s="129">
        <f>SUM(B14:B14)</f>
        <v>0</v>
      </c>
      <c r="C11" s="129">
        <f>SUM(C12:C14)</f>
        <v>206833</v>
      </c>
      <c r="D11" s="129">
        <f>SUM(D12:D14)</f>
        <v>206833</v>
      </c>
    </row>
    <row r="12" spans="1:4" x14ac:dyDescent="0.2">
      <c r="A12" s="24" t="s">
        <v>189</v>
      </c>
      <c r="B12" s="49">
        <f>Souhrn!B12</f>
        <v>0</v>
      </c>
      <c r="C12" s="49">
        <f>Souhrn!C12</f>
        <v>119721</v>
      </c>
      <c r="D12" s="49">
        <f>Souhrn!D12</f>
        <v>119721</v>
      </c>
    </row>
    <row r="13" spans="1:4" x14ac:dyDescent="0.2">
      <c r="A13" s="31" t="s">
        <v>191</v>
      </c>
      <c r="B13" s="49">
        <f>Souhrn!B13</f>
        <v>0</v>
      </c>
      <c r="C13" s="49">
        <f>Souhrn!C13</f>
        <v>87112</v>
      </c>
      <c r="D13" s="49">
        <f>Souhrn!D13</f>
        <v>87112</v>
      </c>
    </row>
    <row r="14" spans="1:4" ht="13.5" thickBot="1" x14ac:dyDescent="0.25">
      <c r="A14" s="130"/>
      <c r="B14" s="49"/>
      <c r="C14" s="49"/>
      <c r="D14" s="49"/>
    </row>
    <row r="15" spans="1:4" ht="13.5" thickBot="1" x14ac:dyDescent="0.25">
      <c r="A15" s="127" t="s">
        <v>5</v>
      </c>
      <c r="B15" s="129">
        <f>+B4-B11</f>
        <v>12995</v>
      </c>
      <c r="C15" s="129">
        <f>+C4-C11</f>
        <v>12995</v>
      </c>
      <c r="D15" s="129">
        <f>+D4-D11</f>
        <v>12995</v>
      </c>
    </row>
    <row r="16" spans="1:4" x14ac:dyDescent="0.2">
      <c r="A16" s="131"/>
      <c r="B16" s="132"/>
      <c r="C16" s="98"/>
    </row>
    <row r="17" spans="1:4" x14ac:dyDescent="0.2">
      <c r="A17" s="20" t="s">
        <v>46</v>
      </c>
    </row>
    <row r="18" spans="1:4" x14ac:dyDescent="0.2">
      <c r="A18" s="37"/>
    </row>
    <row r="19" spans="1:4" x14ac:dyDescent="0.2">
      <c r="A19" s="37"/>
    </row>
    <row r="23" spans="1:4" x14ac:dyDescent="0.2">
      <c r="A23" s="37"/>
    </row>
    <row r="24" spans="1:4" x14ac:dyDescent="0.2">
      <c r="A24" s="37"/>
    </row>
    <row r="26" spans="1:4" ht="13.5" thickBot="1" x14ac:dyDescent="0.25">
      <c r="A26" s="1"/>
      <c r="B26" s="21"/>
      <c r="C26" s="21"/>
      <c r="D26" s="21" t="s">
        <v>0</v>
      </c>
    </row>
    <row r="27" spans="1:4" x14ac:dyDescent="0.2">
      <c r="A27" s="215" t="s">
        <v>125</v>
      </c>
      <c r="B27" s="123" t="s">
        <v>2</v>
      </c>
      <c r="C27" s="123" t="s">
        <v>6</v>
      </c>
      <c r="D27" s="124" t="s">
        <v>524</v>
      </c>
    </row>
    <row r="28" spans="1:4" ht="13.5" thickBot="1" x14ac:dyDescent="0.25">
      <c r="A28" s="216"/>
      <c r="B28" s="125">
        <v>2014</v>
      </c>
      <c r="C28" s="125" t="s">
        <v>523</v>
      </c>
      <c r="D28" s="126" t="s">
        <v>47</v>
      </c>
    </row>
    <row r="29" spans="1:4" ht="13.5" thickBot="1" x14ac:dyDescent="0.25">
      <c r="A29" s="23" t="s">
        <v>3</v>
      </c>
      <c r="B29" s="45">
        <f>SUM(B30:B33)</f>
        <v>119990</v>
      </c>
      <c r="C29" s="45">
        <f>SUM(C30:C33)</f>
        <v>119158</v>
      </c>
      <c r="D29" s="45">
        <f>SUM(D30:D33)</f>
        <v>119157.53328</v>
      </c>
    </row>
    <row r="30" spans="1:4" x14ac:dyDescent="0.2">
      <c r="A30" s="24" t="s">
        <v>8</v>
      </c>
      <c r="B30" s="46">
        <f>Souhrn!B30</f>
        <v>109990</v>
      </c>
      <c r="C30" s="46">
        <f>Souhrn!C30</f>
        <v>109158</v>
      </c>
      <c r="D30" s="47">
        <f>Souhrn!D30</f>
        <v>109157.53328</v>
      </c>
    </row>
    <row r="31" spans="1:4" x14ac:dyDescent="0.2">
      <c r="A31" s="24" t="s">
        <v>48</v>
      </c>
      <c r="B31" s="46">
        <f>Souhrn!B31</f>
        <v>10000</v>
      </c>
      <c r="C31" s="46">
        <f>Souhrn!C31</f>
        <v>10000</v>
      </c>
      <c r="D31" s="46">
        <f>Souhrn!D31</f>
        <v>10000</v>
      </c>
    </row>
    <row r="32" spans="1:4" x14ac:dyDescent="0.2">
      <c r="A32" s="24"/>
      <c r="B32" s="46"/>
      <c r="C32" s="46"/>
      <c r="D32" s="46"/>
    </row>
    <row r="33" spans="1:4" ht="13.5" thickBot="1" x14ac:dyDescent="0.25">
      <c r="A33" s="24"/>
      <c r="B33" s="46"/>
      <c r="C33" s="46"/>
      <c r="D33" s="46"/>
    </row>
    <row r="34" spans="1:4" ht="13.5" thickBot="1" x14ac:dyDescent="0.25">
      <c r="A34" s="23" t="s">
        <v>4</v>
      </c>
      <c r="B34" s="45">
        <f>SUM(B35:B39)</f>
        <v>0</v>
      </c>
      <c r="C34" s="45">
        <f>SUM(C35:C39)</f>
        <v>626</v>
      </c>
      <c r="D34" s="45">
        <f>SUM(D35:D39)</f>
        <v>625.66499999999996</v>
      </c>
    </row>
    <row r="35" spans="1:4" ht="25.5" x14ac:dyDescent="0.2">
      <c r="A35" s="203" t="str">
        <f>Souhrn!A35</f>
        <v>Škodní událost - vytopení sklepních prostor Dětského rehabilitačního centra, Kyjevská 5, po přívalovém dešti</v>
      </c>
      <c r="B35" s="133">
        <f>Souhrn!B35</f>
        <v>0</v>
      </c>
      <c r="C35" s="46">
        <f>Souhrn!C35</f>
        <v>234</v>
      </c>
      <c r="D35" s="133">
        <f>Souhrn!D35</f>
        <v>233.852</v>
      </c>
    </row>
    <row r="36" spans="1:4" ht="25.5" x14ac:dyDescent="0.2">
      <c r="A36" s="31" t="str">
        <f>Souhrn!A36</f>
        <v>Škodní událost - vytopení objektu správní budovy Městského fotbalového stadionu v Srbské ulici</v>
      </c>
      <c r="B36" s="48"/>
      <c r="C36" s="48">
        <f>Souhrn!C36</f>
        <v>392</v>
      </c>
      <c r="D36" s="48">
        <f>Souhrn!D36</f>
        <v>391.81299999999999</v>
      </c>
    </row>
    <row r="37" spans="1:4" x14ac:dyDescent="0.2">
      <c r="A37" s="31"/>
      <c r="B37" s="48"/>
      <c r="C37" s="46"/>
      <c r="D37" s="48"/>
    </row>
    <row r="38" spans="1:4" x14ac:dyDescent="0.2">
      <c r="A38" s="31"/>
      <c r="B38" s="46"/>
      <c r="C38" s="46"/>
      <c r="D38" s="48"/>
    </row>
    <row r="39" spans="1:4" ht="13.5" thickBot="1" x14ac:dyDescent="0.25">
      <c r="A39" s="24"/>
      <c r="B39" s="46"/>
      <c r="C39" s="46"/>
      <c r="D39" s="46"/>
    </row>
    <row r="40" spans="1:4" ht="13.5" thickBot="1" x14ac:dyDescent="0.25">
      <c r="A40" s="23" t="s">
        <v>5</v>
      </c>
      <c r="B40" s="50">
        <f>+B29-B34</f>
        <v>119990</v>
      </c>
      <c r="C40" s="50">
        <f>+C29-C34</f>
        <v>118532</v>
      </c>
      <c r="D40" s="50">
        <f>+D29-D34</f>
        <v>118531.86828000001</v>
      </c>
    </row>
    <row r="42" spans="1:4" x14ac:dyDescent="0.2">
      <c r="A42" s="20"/>
    </row>
    <row r="43" spans="1:4" x14ac:dyDescent="0.2">
      <c r="A43" s="20"/>
    </row>
  </sheetData>
  <mergeCells count="2">
    <mergeCell ref="A2:A3"/>
    <mergeCell ref="A27:A28"/>
  </mergeCells>
  <printOptions horizontalCentered="1"/>
  <pageMargins left="0.47244094488188981" right="0.35433070866141736" top="1.0629921259842521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2" workbookViewId="0">
      <selection activeCell="C27" sqref="C27:E28"/>
    </sheetView>
  </sheetViews>
  <sheetFormatPr defaultRowHeight="12.75" x14ac:dyDescent="0.2"/>
  <cols>
    <col min="1" max="1" width="48.28515625" style="1" customWidth="1"/>
    <col min="2" max="2" width="16" style="1" bestFit="1" customWidth="1"/>
    <col min="3" max="3" width="15.85546875" style="1" bestFit="1" customWidth="1"/>
    <col min="4" max="4" width="15.28515625" style="1" customWidth="1"/>
    <col min="5" max="5" width="16.28515625" style="1" bestFit="1" customWidth="1"/>
    <col min="6" max="6" width="17.85546875" style="1" customWidth="1"/>
    <col min="7" max="7" width="10.42578125" style="1" bestFit="1" customWidth="1"/>
    <col min="8" max="8" width="15.140625" style="1" bestFit="1" customWidth="1"/>
    <col min="9" max="10" width="15.28515625" style="1" bestFit="1" customWidth="1"/>
    <col min="11" max="11" width="14" style="1" bestFit="1" customWidth="1"/>
    <col min="12" max="12" width="6.7109375" style="1" customWidth="1"/>
    <col min="13" max="13" width="9" style="1" customWidth="1"/>
    <col min="14" max="14" width="14.85546875" style="1" bestFit="1" customWidth="1"/>
    <col min="15" max="15" width="13.28515625" style="1" customWidth="1"/>
    <col min="16" max="16" width="4.7109375" style="40" customWidth="1"/>
    <col min="17" max="17" width="5.7109375" style="1" customWidth="1"/>
    <col min="18" max="18" width="13.85546875" style="1" bestFit="1" customWidth="1"/>
    <col min="19" max="19" width="14.140625" style="1" customWidth="1"/>
    <col min="20" max="257" width="9.140625" style="1"/>
    <col min="258" max="258" width="56.28515625" style="1" customWidth="1"/>
    <col min="259" max="260" width="19.7109375" style="1" customWidth="1"/>
    <col min="261" max="261" width="17.85546875" style="1" customWidth="1"/>
    <col min="262" max="262" width="6.5703125" style="1" customWidth="1"/>
    <col min="263" max="263" width="11.5703125" style="1" customWidth="1"/>
    <col min="264" max="264" width="11.85546875" style="1" customWidth="1"/>
    <col min="265" max="265" width="6.140625" style="1" customWidth="1"/>
    <col min="266" max="266" width="29.28515625" style="1" customWidth="1"/>
    <col min="267" max="267" width="17.5703125" style="1" customWidth="1"/>
    <col min="268" max="268" width="8.85546875" style="1" customWidth="1"/>
    <col min="269" max="269" width="13.85546875" style="1" customWidth="1"/>
    <col min="270" max="270" width="23.28515625" style="1" customWidth="1"/>
    <col min="271" max="271" width="13.28515625" style="1" customWidth="1"/>
    <col min="272" max="272" width="4.7109375" style="1" customWidth="1"/>
    <col min="273" max="273" width="5.7109375" style="1" customWidth="1"/>
    <col min="274" max="274" width="13.85546875" style="1" bestFit="1" customWidth="1"/>
    <col min="275" max="275" width="14.140625" style="1" customWidth="1"/>
    <col min="276" max="513" width="9.140625" style="1"/>
    <col min="514" max="514" width="56.28515625" style="1" customWidth="1"/>
    <col min="515" max="516" width="19.7109375" style="1" customWidth="1"/>
    <col min="517" max="517" width="17.85546875" style="1" customWidth="1"/>
    <col min="518" max="518" width="6.5703125" style="1" customWidth="1"/>
    <col min="519" max="519" width="11.5703125" style="1" customWidth="1"/>
    <col min="520" max="520" width="11.85546875" style="1" customWidth="1"/>
    <col min="521" max="521" width="6.140625" style="1" customWidth="1"/>
    <col min="522" max="522" width="29.28515625" style="1" customWidth="1"/>
    <col min="523" max="523" width="17.5703125" style="1" customWidth="1"/>
    <col min="524" max="524" width="8.85546875" style="1" customWidth="1"/>
    <col min="525" max="525" width="13.85546875" style="1" customWidth="1"/>
    <col min="526" max="526" width="23.28515625" style="1" customWidth="1"/>
    <col min="527" max="527" width="13.28515625" style="1" customWidth="1"/>
    <col min="528" max="528" width="4.7109375" style="1" customWidth="1"/>
    <col min="529" max="529" width="5.7109375" style="1" customWidth="1"/>
    <col min="530" max="530" width="13.85546875" style="1" bestFit="1" customWidth="1"/>
    <col min="531" max="531" width="14.140625" style="1" customWidth="1"/>
    <col min="532" max="769" width="9.140625" style="1"/>
    <col min="770" max="770" width="56.28515625" style="1" customWidth="1"/>
    <col min="771" max="772" width="19.7109375" style="1" customWidth="1"/>
    <col min="773" max="773" width="17.85546875" style="1" customWidth="1"/>
    <col min="774" max="774" width="6.5703125" style="1" customWidth="1"/>
    <col min="775" max="775" width="11.5703125" style="1" customWidth="1"/>
    <col min="776" max="776" width="11.85546875" style="1" customWidth="1"/>
    <col min="777" max="777" width="6.140625" style="1" customWidth="1"/>
    <col min="778" max="778" width="29.28515625" style="1" customWidth="1"/>
    <col min="779" max="779" width="17.5703125" style="1" customWidth="1"/>
    <col min="780" max="780" width="8.85546875" style="1" customWidth="1"/>
    <col min="781" max="781" width="13.85546875" style="1" customWidth="1"/>
    <col min="782" max="782" width="23.28515625" style="1" customWidth="1"/>
    <col min="783" max="783" width="13.28515625" style="1" customWidth="1"/>
    <col min="784" max="784" width="4.7109375" style="1" customWidth="1"/>
    <col min="785" max="785" width="5.7109375" style="1" customWidth="1"/>
    <col min="786" max="786" width="13.85546875" style="1" bestFit="1" customWidth="1"/>
    <col min="787" max="787" width="14.140625" style="1" customWidth="1"/>
    <col min="788" max="1025" width="9.140625" style="1"/>
    <col min="1026" max="1026" width="56.28515625" style="1" customWidth="1"/>
    <col min="1027" max="1028" width="19.7109375" style="1" customWidth="1"/>
    <col min="1029" max="1029" width="17.85546875" style="1" customWidth="1"/>
    <col min="1030" max="1030" width="6.5703125" style="1" customWidth="1"/>
    <col min="1031" max="1031" width="11.5703125" style="1" customWidth="1"/>
    <col min="1032" max="1032" width="11.85546875" style="1" customWidth="1"/>
    <col min="1033" max="1033" width="6.140625" style="1" customWidth="1"/>
    <col min="1034" max="1034" width="29.28515625" style="1" customWidth="1"/>
    <col min="1035" max="1035" width="17.5703125" style="1" customWidth="1"/>
    <col min="1036" max="1036" width="8.85546875" style="1" customWidth="1"/>
    <col min="1037" max="1037" width="13.85546875" style="1" customWidth="1"/>
    <col min="1038" max="1038" width="23.28515625" style="1" customWidth="1"/>
    <col min="1039" max="1039" width="13.28515625" style="1" customWidth="1"/>
    <col min="1040" max="1040" width="4.7109375" style="1" customWidth="1"/>
    <col min="1041" max="1041" width="5.7109375" style="1" customWidth="1"/>
    <col min="1042" max="1042" width="13.85546875" style="1" bestFit="1" customWidth="1"/>
    <col min="1043" max="1043" width="14.140625" style="1" customWidth="1"/>
    <col min="1044" max="1281" width="9.140625" style="1"/>
    <col min="1282" max="1282" width="56.28515625" style="1" customWidth="1"/>
    <col min="1283" max="1284" width="19.7109375" style="1" customWidth="1"/>
    <col min="1285" max="1285" width="17.85546875" style="1" customWidth="1"/>
    <col min="1286" max="1286" width="6.5703125" style="1" customWidth="1"/>
    <col min="1287" max="1287" width="11.5703125" style="1" customWidth="1"/>
    <col min="1288" max="1288" width="11.85546875" style="1" customWidth="1"/>
    <col min="1289" max="1289" width="6.140625" style="1" customWidth="1"/>
    <col min="1290" max="1290" width="29.28515625" style="1" customWidth="1"/>
    <col min="1291" max="1291" width="17.5703125" style="1" customWidth="1"/>
    <col min="1292" max="1292" width="8.85546875" style="1" customWidth="1"/>
    <col min="1293" max="1293" width="13.85546875" style="1" customWidth="1"/>
    <col min="1294" max="1294" width="23.28515625" style="1" customWidth="1"/>
    <col min="1295" max="1295" width="13.28515625" style="1" customWidth="1"/>
    <col min="1296" max="1296" width="4.7109375" style="1" customWidth="1"/>
    <col min="1297" max="1297" width="5.7109375" style="1" customWidth="1"/>
    <col min="1298" max="1298" width="13.85546875" style="1" bestFit="1" customWidth="1"/>
    <col min="1299" max="1299" width="14.140625" style="1" customWidth="1"/>
    <col min="1300" max="1537" width="9.140625" style="1"/>
    <col min="1538" max="1538" width="56.28515625" style="1" customWidth="1"/>
    <col min="1539" max="1540" width="19.7109375" style="1" customWidth="1"/>
    <col min="1541" max="1541" width="17.85546875" style="1" customWidth="1"/>
    <col min="1542" max="1542" width="6.5703125" style="1" customWidth="1"/>
    <col min="1543" max="1543" width="11.5703125" style="1" customWidth="1"/>
    <col min="1544" max="1544" width="11.85546875" style="1" customWidth="1"/>
    <col min="1545" max="1545" width="6.140625" style="1" customWidth="1"/>
    <col min="1546" max="1546" width="29.28515625" style="1" customWidth="1"/>
    <col min="1547" max="1547" width="17.5703125" style="1" customWidth="1"/>
    <col min="1548" max="1548" width="8.85546875" style="1" customWidth="1"/>
    <col min="1549" max="1549" width="13.85546875" style="1" customWidth="1"/>
    <col min="1550" max="1550" width="23.28515625" style="1" customWidth="1"/>
    <col min="1551" max="1551" width="13.28515625" style="1" customWidth="1"/>
    <col min="1552" max="1552" width="4.7109375" style="1" customWidth="1"/>
    <col min="1553" max="1553" width="5.7109375" style="1" customWidth="1"/>
    <col min="1554" max="1554" width="13.85546875" style="1" bestFit="1" customWidth="1"/>
    <col min="1555" max="1555" width="14.140625" style="1" customWidth="1"/>
    <col min="1556" max="1793" width="9.140625" style="1"/>
    <col min="1794" max="1794" width="56.28515625" style="1" customWidth="1"/>
    <col min="1795" max="1796" width="19.7109375" style="1" customWidth="1"/>
    <col min="1797" max="1797" width="17.85546875" style="1" customWidth="1"/>
    <col min="1798" max="1798" width="6.5703125" style="1" customWidth="1"/>
    <col min="1799" max="1799" width="11.5703125" style="1" customWidth="1"/>
    <col min="1800" max="1800" width="11.85546875" style="1" customWidth="1"/>
    <col min="1801" max="1801" width="6.140625" style="1" customWidth="1"/>
    <col min="1802" max="1802" width="29.28515625" style="1" customWidth="1"/>
    <col min="1803" max="1803" width="17.5703125" style="1" customWidth="1"/>
    <col min="1804" max="1804" width="8.85546875" style="1" customWidth="1"/>
    <col min="1805" max="1805" width="13.85546875" style="1" customWidth="1"/>
    <col min="1806" max="1806" width="23.28515625" style="1" customWidth="1"/>
    <col min="1807" max="1807" width="13.28515625" style="1" customWidth="1"/>
    <col min="1808" max="1808" width="4.7109375" style="1" customWidth="1"/>
    <col min="1809" max="1809" width="5.7109375" style="1" customWidth="1"/>
    <col min="1810" max="1810" width="13.85546875" style="1" bestFit="1" customWidth="1"/>
    <col min="1811" max="1811" width="14.140625" style="1" customWidth="1"/>
    <col min="1812" max="2049" width="9.140625" style="1"/>
    <col min="2050" max="2050" width="56.28515625" style="1" customWidth="1"/>
    <col min="2051" max="2052" width="19.7109375" style="1" customWidth="1"/>
    <col min="2053" max="2053" width="17.85546875" style="1" customWidth="1"/>
    <col min="2054" max="2054" width="6.5703125" style="1" customWidth="1"/>
    <col min="2055" max="2055" width="11.5703125" style="1" customWidth="1"/>
    <col min="2056" max="2056" width="11.85546875" style="1" customWidth="1"/>
    <col min="2057" max="2057" width="6.140625" style="1" customWidth="1"/>
    <col min="2058" max="2058" width="29.28515625" style="1" customWidth="1"/>
    <col min="2059" max="2059" width="17.5703125" style="1" customWidth="1"/>
    <col min="2060" max="2060" width="8.85546875" style="1" customWidth="1"/>
    <col min="2061" max="2061" width="13.85546875" style="1" customWidth="1"/>
    <col min="2062" max="2062" width="23.28515625" style="1" customWidth="1"/>
    <col min="2063" max="2063" width="13.28515625" style="1" customWidth="1"/>
    <col min="2064" max="2064" width="4.7109375" style="1" customWidth="1"/>
    <col min="2065" max="2065" width="5.7109375" style="1" customWidth="1"/>
    <col min="2066" max="2066" width="13.85546875" style="1" bestFit="1" customWidth="1"/>
    <col min="2067" max="2067" width="14.140625" style="1" customWidth="1"/>
    <col min="2068" max="2305" width="9.140625" style="1"/>
    <col min="2306" max="2306" width="56.28515625" style="1" customWidth="1"/>
    <col min="2307" max="2308" width="19.7109375" style="1" customWidth="1"/>
    <col min="2309" max="2309" width="17.85546875" style="1" customWidth="1"/>
    <col min="2310" max="2310" width="6.5703125" style="1" customWidth="1"/>
    <col min="2311" max="2311" width="11.5703125" style="1" customWidth="1"/>
    <col min="2312" max="2312" width="11.85546875" style="1" customWidth="1"/>
    <col min="2313" max="2313" width="6.140625" style="1" customWidth="1"/>
    <col min="2314" max="2314" width="29.28515625" style="1" customWidth="1"/>
    <col min="2315" max="2315" width="17.5703125" style="1" customWidth="1"/>
    <col min="2316" max="2316" width="8.85546875" style="1" customWidth="1"/>
    <col min="2317" max="2317" width="13.85546875" style="1" customWidth="1"/>
    <col min="2318" max="2318" width="23.28515625" style="1" customWidth="1"/>
    <col min="2319" max="2319" width="13.28515625" style="1" customWidth="1"/>
    <col min="2320" max="2320" width="4.7109375" style="1" customWidth="1"/>
    <col min="2321" max="2321" width="5.7109375" style="1" customWidth="1"/>
    <col min="2322" max="2322" width="13.85546875" style="1" bestFit="1" customWidth="1"/>
    <col min="2323" max="2323" width="14.140625" style="1" customWidth="1"/>
    <col min="2324" max="2561" width="9.140625" style="1"/>
    <col min="2562" max="2562" width="56.28515625" style="1" customWidth="1"/>
    <col min="2563" max="2564" width="19.7109375" style="1" customWidth="1"/>
    <col min="2565" max="2565" width="17.85546875" style="1" customWidth="1"/>
    <col min="2566" max="2566" width="6.5703125" style="1" customWidth="1"/>
    <col min="2567" max="2567" width="11.5703125" style="1" customWidth="1"/>
    <col min="2568" max="2568" width="11.85546875" style="1" customWidth="1"/>
    <col min="2569" max="2569" width="6.140625" style="1" customWidth="1"/>
    <col min="2570" max="2570" width="29.28515625" style="1" customWidth="1"/>
    <col min="2571" max="2571" width="17.5703125" style="1" customWidth="1"/>
    <col min="2572" max="2572" width="8.85546875" style="1" customWidth="1"/>
    <col min="2573" max="2573" width="13.85546875" style="1" customWidth="1"/>
    <col min="2574" max="2574" width="23.28515625" style="1" customWidth="1"/>
    <col min="2575" max="2575" width="13.28515625" style="1" customWidth="1"/>
    <col min="2576" max="2576" width="4.7109375" style="1" customWidth="1"/>
    <col min="2577" max="2577" width="5.7109375" style="1" customWidth="1"/>
    <col min="2578" max="2578" width="13.85546875" style="1" bestFit="1" customWidth="1"/>
    <col min="2579" max="2579" width="14.140625" style="1" customWidth="1"/>
    <col min="2580" max="2817" width="9.140625" style="1"/>
    <col min="2818" max="2818" width="56.28515625" style="1" customWidth="1"/>
    <col min="2819" max="2820" width="19.7109375" style="1" customWidth="1"/>
    <col min="2821" max="2821" width="17.85546875" style="1" customWidth="1"/>
    <col min="2822" max="2822" width="6.5703125" style="1" customWidth="1"/>
    <col min="2823" max="2823" width="11.5703125" style="1" customWidth="1"/>
    <col min="2824" max="2824" width="11.85546875" style="1" customWidth="1"/>
    <col min="2825" max="2825" width="6.140625" style="1" customWidth="1"/>
    <col min="2826" max="2826" width="29.28515625" style="1" customWidth="1"/>
    <col min="2827" max="2827" width="17.5703125" style="1" customWidth="1"/>
    <col min="2828" max="2828" width="8.85546875" style="1" customWidth="1"/>
    <col min="2829" max="2829" width="13.85546875" style="1" customWidth="1"/>
    <col min="2830" max="2830" width="23.28515625" style="1" customWidth="1"/>
    <col min="2831" max="2831" width="13.28515625" style="1" customWidth="1"/>
    <col min="2832" max="2832" width="4.7109375" style="1" customWidth="1"/>
    <col min="2833" max="2833" width="5.7109375" style="1" customWidth="1"/>
    <col min="2834" max="2834" width="13.85546875" style="1" bestFit="1" customWidth="1"/>
    <col min="2835" max="2835" width="14.140625" style="1" customWidth="1"/>
    <col min="2836" max="3073" width="9.140625" style="1"/>
    <col min="3074" max="3074" width="56.28515625" style="1" customWidth="1"/>
    <col min="3075" max="3076" width="19.7109375" style="1" customWidth="1"/>
    <col min="3077" max="3077" width="17.85546875" style="1" customWidth="1"/>
    <col min="3078" max="3078" width="6.5703125" style="1" customWidth="1"/>
    <col min="3079" max="3079" width="11.5703125" style="1" customWidth="1"/>
    <col min="3080" max="3080" width="11.85546875" style="1" customWidth="1"/>
    <col min="3081" max="3081" width="6.140625" style="1" customWidth="1"/>
    <col min="3082" max="3082" width="29.28515625" style="1" customWidth="1"/>
    <col min="3083" max="3083" width="17.5703125" style="1" customWidth="1"/>
    <col min="3084" max="3084" width="8.85546875" style="1" customWidth="1"/>
    <col min="3085" max="3085" width="13.85546875" style="1" customWidth="1"/>
    <col min="3086" max="3086" width="23.28515625" style="1" customWidth="1"/>
    <col min="3087" max="3087" width="13.28515625" style="1" customWidth="1"/>
    <col min="3088" max="3088" width="4.7109375" style="1" customWidth="1"/>
    <col min="3089" max="3089" width="5.7109375" style="1" customWidth="1"/>
    <col min="3090" max="3090" width="13.85546875" style="1" bestFit="1" customWidth="1"/>
    <col min="3091" max="3091" width="14.140625" style="1" customWidth="1"/>
    <col min="3092" max="3329" width="9.140625" style="1"/>
    <col min="3330" max="3330" width="56.28515625" style="1" customWidth="1"/>
    <col min="3331" max="3332" width="19.7109375" style="1" customWidth="1"/>
    <col min="3333" max="3333" width="17.85546875" style="1" customWidth="1"/>
    <col min="3334" max="3334" width="6.5703125" style="1" customWidth="1"/>
    <col min="3335" max="3335" width="11.5703125" style="1" customWidth="1"/>
    <col min="3336" max="3336" width="11.85546875" style="1" customWidth="1"/>
    <col min="3337" max="3337" width="6.140625" style="1" customWidth="1"/>
    <col min="3338" max="3338" width="29.28515625" style="1" customWidth="1"/>
    <col min="3339" max="3339" width="17.5703125" style="1" customWidth="1"/>
    <col min="3340" max="3340" width="8.85546875" style="1" customWidth="1"/>
    <col min="3341" max="3341" width="13.85546875" style="1" customWidth="1"/>
    <col min="3342" max="3342" width="23.28515625" style="1" customWidth="1"/>
    <col min="3343" max="3343" width="13.28515625" style="1" customWidth="1"/>
    <col min="3344" max="3344" width="4.7109375" style="1" customWidth="1"/>
    <col min="3345" max="3345" width="5.7109375" style="1" customWidth="1"/>
    <col min="3346" max="3346" width="13.85546875" style="1" bestFit="1" customWidth="1"/>
    <col min="3347" max="3347" width="14.140625" style="1" customWidth="1"/>
    <col min="3348" max="3585" width="9.140625" style="1"/>
    <col min="3586" max="3586" width="56.28515625" style="1" customWidth="1"/>
    <col min="3587" max="3588" width="19.7109375" style="1" customWidth="1"/>
    <col min="3589" max="3589" width="17.85546875" style="1" customWidth="1"/>
    <col min="3590" max="3590" width="6.5703125" style="1" customWidth="1"/>
    <col min="3591" max="3591" width="11.5703125" style="1" customWidth="1"/>
    <col min="3592" max="3592" width="11.85546875" style="1" customWidth="1"/>
    <col min="3593" max="3593" width="6.140625" style="1" customWidth="1"/>
    <col min="3594" max="3594" width="29.28515625" style="1" customWidth="1"/>
    <col min="3595" max="3595" width="17.5703125" style="1" customWidth="1"/>
    <col min="3596" max="3596" width="8.85546875" style="1" customWidth="1"/>
    <col min="3597" max="3597" width="13.85546875" style="1" customWidth="1"/>
    <col min="3598" max="3598" width="23.28515625" style="1" customWidth="1"/>
    <col min="3599" max="3599" width="13.28515625" style="1" customWidth="1"/>
    <col min="3600" max="3600" width="4.7109375" style="1" customWidth="1"/>
    <col min="3601" max="3601" width="5.7109375" style="1" customWidth="1"/>
    <col min="3602" max="3602" width="13.85546875" style="1" bestFit="1" customWidth="1"/>
    <col min="3603" max="3603" width="14.140625" style="1" customWidth="1"/>
    <col min="3604" max="3841" width="9.140625" style="1"/>
    <col min="3842" max="3842" width="56.28515625" style="1" customWidth="1"/>
    <col min="3843" max="3844" width="19.7109375" style="1" customWidth="1"/>
    <col min="3845" max="3845" width="17.85546875" style="1" customWidth="1"/>
    <col min="3846" max="3846" width="6.5703125" style="1" customWidth="1"/>
    <col min="3847" max="3847" width="11.5703125" style="1" customWidth="1"/>
    <col min="3848" max="3848" width="11.85546875" style="1" customWidth="1"/>
    <col min="3849" max="3849" width="6.140625" style="1" customWidth="1"/>
    <col min="3850" max="3850" width="29.28515625" style="1" customWidth="1"/>
    <col min="3851" max="3851" width="17.5703125" style="1" customWidth="1"/>
    <col min="3852" max="3852" width="8.85546875" style="1" customWidth="1"/>
    <col min="3853" max="3853" width="13.85546875" style="1" customWidth="1"/>
    <col min="3854" max="3854" width="23.28515625" style="1" customWidth="1"/>
    <col min="3855" max="3855" width="13.28515625" style="1" customWidth="1"/>
    <col min="3856" max="3856" width="4.7109375" style="1" customWidth="1"/>
    <col min="3857" max="3857" width="5.7109375" style="1" customWidth="1"/>
    <col min="3858" max="3858" width="13.85546875" style="1" bestFit="1" customWidth="1"/>
    <col min="3859" max="3859" width="14.140625" style="1" customWidth="1"/>
    <col min="3860" max="4097" width="9.140625" style="1"/>
    <col min="4098" max="4098" width="56.28515625" style="1" customWidth="1"/>
    <col min="4099" max="4100" width="19.7109375" style="1" customWidth="1"/>
    <col min="4101" max="4101" width="17.85546875" style="1" customWidth="1"/>
    <col min="4102" max="4102" width="6.5703125" style="1" customWidth="1"/>
    <col min="4103" max="4103" width="11.5703125" style="1" customWidth="1"/>
    <col min="4104" max="4104" width="11.85546875" style="1" customWidth="1"/>
    <col min="4105" max="4105" width="6.140625" style="1" customWidth="1"/>
    <col min="4106" max="4106" width="29.28515625" style="1" customWidth="1"/>
    <col min="4107" max="4107" width="17.5703125" style="1" customWidth="1"/>
    <col min="4108" max="4108" width="8.85546875" style="1" customWidth="1"/>
    <col min="4109" max="4109" width="13.85546875" style="1" customWidth="1"/>
    <col min="4110" max="4110" width="23.28515625" style="1" customWidth="1"/>
    <col min="4111" max="4111" width="13.28515625" style="1" customWidth="1"/>
    <col min="4112" max="4112" width="4.7109375" style="1" customWidth="1"/>
    <col min="4113" max="4113" width="5.7109375" style="1" customWidth="1"/>
    <col min="4114" max="4114" width="13.85546875" style="1" bestFit="1" customWidth="1"/>
    <col min="4115" max="4115" width="14.140625" style="1" customWidth="1"/>
    <col min="4116" max="4353" width="9.140625" style="1"/>
    <col min="4354" max="4354" width="56.28515625" style="1" customWidth="1"/>
    <col min="4355" max="4356" width="19.7109375" style="1" customWidth="1"/>
    <col min="4357" max="4357" width="17.85546875" style="1" customWidth="1"/>
    <col min="4358" max="4358" width="6.5703125" style="1" customWidth="1"/>
    <col min="4359" max="4359" width="11.5703125" style="1" customWidth="1"/>
    <col min="4360" max="4360" width="11.85546875" style="1" customWidth="1"/>
    <col min="4361" max="4361" width="6.140625" style="1" customWidth="1"/>
    <col min="4362" max="4362" width="29.28515625" style="1" customWidth="1"/>
    <col min="4363" max="4363" width="17.5703125" style="1" customWidth="1"/>
    <col min="4364" max="4364" width="8.85546875" style="1" customWidth="1"/>
    <col min="4365" max="4365" width="13.85546875" style="1" customWidth="1"/>
    <col min="4366" max="4366" width="23.28515625" style="1" customWidth="1"/>
    <col min="4367" max="4367" width="13.28515625" style="1" customWidth="1"/>
    <col min="4368" max="4368" width="4.7109375" style="1" customWidth="1"/>
    <col min="4369" max="4369" width="5.7109375" style="1" customWidth="1"/>
    <col min="4370" max="4370" width="13.85546875" style="1" bestFit="1" customWidth="1"/>
    <col min="4371" max="4371" width="14.140625" style="1" customWidth="1"/>
    <col min="4372" max="4609" width="9.140625" style="1"/>
    <col min="4610" max="4610" width="56.28515625" style="1" customWidth="1"/>
    <col min="4611" max="4612" width="19.7109375" style="1" customWidth="1"/>
    <col min="4613" max="4613" width="17.85546875" style="1" customWidth="1"/>
    <col min="4614" max="4614" width="6.5703125" style="1" customWidth="1"/>
    <col min="4615" max="4615" width="11.5703125" style="1" customWidth="1"/>
    <col min="4616" max="4616" width="11.85546875" style="1" customWidth="1"/>
    <col min="4617" max="4617" width="6.140625" style="1" customWidth="1"/>
    <col min="4618" max="4618" width="29.28515625" style="1" customWidth="1"/>
    <col min="4619" max="4619" width="17.5703125" style="1" customWidth="1"/>
    <col min="4620" max="4620" width="8.85546875" style="1" customWidth="1"/>
    <col min="4621" max="4621" width="13.85546875" style="1" customWidth="1"/>
    <col min="4622" max="4622" width="23.28515625" style="1" customWidth="1"/>
    <col min="4623" max="4623" width="13.28515625" style="1" customWidth="1"/>
    <col min="4624" max="4624" width="4.7109375" style="1" customWidth="1"/>
    <col min="4625" max="4625" width="5.7109375" style="1" customWidth="1"/>
    <col min="4626" max="4626" width="13.85546875" style="1" bestFit="1" customWidth="1"/>
    <col min="4627" max="4627" width="14.140625" style="1" customWidth="1"/>
    <col min="4628" max="4865" width="9.140625" style="1"/>
    <col min="4866" max="4866" width="56.28515625" style="1" customWidth="1"/>
    <col min="4867" max="4868" width="19.7109375" style="1" customWidth="1"/>
    <col min="4869" max="4869" width="17.85546875" style="1" customWidth="1"/>
    <col min="4870" max="4870" width="6.5703125" style="1" customWidth="1"/>
    <col min="4871" max="4871" width="11.5703125" style="1" customWidth="1"/>
    <col min="4872" max="4872" width="11.85546875" style="1" customWidth="1"/>
    <col min="4873" max="4873" width="6.140625" style="1" customWidth="1"/>
    <col min="4874" max="4874" width="29.28515625" style="1" customWidth="1"/>
    <col min="4875" max="4875" width="17.5703125" style="1" customWidth="1"/>
    <col min="4876" max="4876" width="8.85546875" style="1" customWidth="1"/>
    <col min="4877" max="4877" width="13.85546875" style="1" customWidth="1"/>
    <col min="4878" max="4878" width="23.28515625" style="1" customWidth="1"/>
    <col min="4879" max="4879" width="13.28515625" style="1" customWidth="1"/>
    <col min="4880" max="4880" width="4.7109375" style="1" customWidth="1"/>
    <col min="4881" max="4881" width="5.7109375" style="1" customWidth="1"/>
    <col min="4882" max="4882" width="13.85546875" style="1" bestFit="1" customWidth="1"/>
    <col min="4883" max="4883" width="14.140625" style="1" customWidth="1"/>
    <col min="4884" max="5121" width="9.140625" style="1"/>
    <col min="5122" max="5122" width="56.28515625" style="1" customWidth="1"/>
    <col min="5123" max="5124" width="19.7109375" style="1" customWidth="1"/>
    <col min="5125" max="5125" width="17.85546875" style="1" customWidth="1"/>
    <col min="5126" max="5126" width="6.5703125" style="1" customWidth="1"/>
    <col min="5127" max="5127" width="11.5703125" style="1" customWidth="1"/>
    <col min="5128" max="5128" width="11.85546875" style="1" customWidth="1"/>
    <col min="5129" max="5129" width="6.140625" style="1" customWidth="1"/>
    <col min="5130" max="5130" width="29.28515625" style="1" customWidth="1"/>
    <col min="5131" max="5131" width="17.5703125" style="1" customWidth="1"/>
    <col min="5132" max="5132" width="8.85546875" style="1" customWidth="1"/>
    <col min="5133" max="5133" width="13.85546875" style="1" customWidth="1"/>
    <col min="5134" max="5134" width="23.28515625" style="1" customWidth="1"/>
    <col min="5135" max="5135" width="13.28515625" style="1" customWidth="1"/>
    <col min="5136" max="5136" width="4.7109375" style="1" customWidth="1"/>
    <col min="5137" max="5137" width="5.7109375" style="1" customWidth="1"/>
    <col min="5138" max="5138" width="13.85546875" style="1" bestFit="1" customWidth="1"/>
    <col min="5139" max="5139" width="14.140625" style="1" customWidth="1"/>
    <col min="5140" max="5377" width="9.140625" style="1"/>
    <col min="5378" max="5378" width="56.28515625" style="1" customWidth="1"/>
    <col min="5379" max="5380" width="19.7109375" style="1" customWidth="1"/>
    <col min="5381" max="5381" width="17.85546875" style="1" customWidth="1"/>
    <col min="5382" max="5382" width="6.5703125" style="1" customWidth="1"/>
    <col min="5383" max="5383" width="11.5703125" style="1" customWidth="1"/>
    <col min="5384" max="5384" width="11.85546875" style="1" customWidth="1"/>
    <col min="5385" max="5385" width="6.140625" style="1" customWidth="1"/>
    <col min="5386" max="5386" width="29.28515625" style="1" customWidth="1"/>
    <col min="5387" max="5387" width="17.5703125" style="1" customWidth="1"/>
    <col min="5388" max="5388" width="8.85546875" style="1" customWidth="1"/>
    <col min="5389" max="5389" width="13.85546875" style="1" customWidth="1"/>
    <col min="5390" max="5390" width="23.28515625" style="1" customWidth="1"/>
    <col min="5391" max="5391" width="13.28515625" style="1" customWidth="1"/>
    <col min="5392" max="5392" width="4.7109375" style="1" customWidth="1"/>
    <col min="5393" max="5393" width="5.7109375" style="1" customWidth="1"/>
    <col min="5394" max="5394" width="13.85546875" style="1" bestFit="1" customWidth="1"/>
    <col min="5395" max="5395" width="14.140625" style="1" customWidth="1"/>
    <col min="5396" max="5633" width="9.140625" style="1"/>
    <col min="5634" max="5634" width="56.28515625" style="1" customWidth="1"/>
    <col min="5635" max="5636" width="19.7109375" style="1" customWidth="1"/>
    <col min="5637" max="5637" width="17.85546875" style="1" customWidth="1"/>
    <col min="5638" max="5638" width="6.5703125" style="1" customWidth="1"/>
    <col min="5639" max="5639" width="11.5703125" style="1" customWidth="1"/>
    <col min="5640" max="5640" width="11.85546875" style="1" customWidth="1"/>
    <col min="5641" max="5641" width="6.140625" style="1" customWidth="1"/>
    <col min="5642" max="5642" width="29.28515625" style="1" customWidth="1"/>
    <col min="5643" max="5643" width="17.5703125" style="1" customWidth="1"/>
    <col min="5644" max="5644" width="8.85546875" style="1" customWidth="1"/>
    <col min="5645" max="5645" width="13.85546875" style="1" customWidth="1"/>
    <col min="5646" max="5646" width="23.28515625" style="1" customWidth="1"/>
    <col min="5647" max="5647" width="13.28515625" style="1" customWidth="1"/>
    <col min="5648" max="5648" width="4.7109375" style="1" customWidth="1"/>
    <col min="5649" max="5649" width="5.7109375" style="1" customWidth="1"/>
    <col min="5650" max="5650" width="13.85546875" style="1" bestFit="1" customWidth="1"/>
    <col min="5651" max="5651" width="14.140625" style="1" customWidth="1"/>
    <col min="5652" max="5889" width="9.140625" style="1"/>
    <col min="5890" max="5890" width="56.28515625" style="1" customWidth="1"/>
    <col min="5891" max="5892" width="19.7109375" style="1" customWidth="1"/>
    <col min="5893" max="5893" width="17.85546875" style="1" customWidth="1"/>
    <col min="5894" max="5894" width="6.5703125" style="1" customWidth="1"/>
    <col min="5895" max="5895" width="11.5703125" style="1" customWidth="1"/>
    <col min="5896" max="5896" width="11.85546875" style="1" customWidth="1"/>
    <col min="5897" max="5897" width="6.140625" style="1" customWidth="1"/>
    <col min="5898" max="5898" width="29.28515625" style="1" customWidth="1"/>
    <col min="5899" max="5899" width="17.5703125" style="1" customWidth="1"/>
    <col min="5900" max="5900" width="8.85546875" style="1" customWidth="1"/>
    <col min="5901" max="5901" width="13.85546875" style="1" customWidth="1"/>
    <col min="5902" max="5902" width="23.28515625" style="1" customWidth="1"/>
    <col min="5903" max="5903" width="13.28515625" style="1" customWidth="1"/>
    <col min="5904" max="5904" width="4.7109375" style="1" customWidth="1"/>
    <col min="5905" max="5905" width="5.7109375" style="1" customWidth="1"/>
    <col min="5906" max="5906" width="13.85546875" style="1" bestFit="1" customWidth="1"/>
    <col min="5907" max="5907" width="14.140625" style="1" customWidth="1"/>
    <col min="5908" max="6145" width="9.140625" style="1"/>
    <col min="6146" max="6146" width="56.28515625" style="1" customWidth="1"/>
    <col min="6147" max="6148" width="19.7109375" style="1" customWidth="1"/>
    <col min="6149" max="6149" width="17.85546875" style="1" customWidth="1"/>
    <col min="6150" max="6150" width="6.5703125" style="1" customWidth="1"/>
    <col min="6151" max="6151" width="11.5703125" style="1" customWidth="1"/>
    <col min="6152" max="6152" width="11.85546875" style="1" customWidth="1"/>
    <col min="6153" max="6153" width="6.140625" style="1" customWidth="1"/>
    <col min="6154" max="6154" width="29.28515625" style="1" customWidth="1"/>
    <col min="6155" max="6155" width="17.5703125" style="1" customWidth="1"/>
    <col min="6156" max="6156" width="8.85546875" style="1" customWidth="1"/>
    <col min="6157" max="6157" width="13.85546875" style="1" customWidth="1"/>
    <col min="6158" max="6158" width="23.28515625" style="1" customWidth="1"/>
    <col min="6159" max="6159" width="13.28515625" style="1" customWidth="1"/>
    <col min="6160" max="6160" width="4.7109375" style="1" customWidth="1"/>
    <col min="6161" max="6161" width="5.7109375" style="1" customWidth="1"/>
    <col min="6162" max="6162" width="13.85546875" style="1" bestFit="1" customWidth="1"/>
    <col min="6163" max="6163" width="14.140625" style="1" customWidth="1"/>
    <col min="6164" max="6401" width="9.140625" style="1"/>
    <col min="6402" max="6402" width="56.28515625" style="1" customWidth="1"/>
    <col min="6403" max="6404" width="19.7109375" style="1" customWidth="1"/>
    <col min="6405" max="6405" width="17.85546875" style="1" customWidth="1"/>
    <col min="6406" max="6406" width="6.5703125" style="1" customWidth="1"/>
    <col min="6407" max="6407" width="11.5703125" style="1" customWidth="1"/>
    <col min="6408" max="6408" width="11.85546875" style="1" customWidth="1"/>
    <col min="6409" max="6409" width="6.140625" style="1" customWidth="1"/>
    <col min="6410" max="6410" width="29.28515625" style="1" customWidth="1"/>
    <col min="6411" max="6411" width="17.5703125" style="1" customWidth="1"/>
    <col min="6412" max="6412" width="8.85546875" style="1" customWidth="1"/>
    <col min="6413" max="6413" width="13.85546875" style="1" customWidth="1"/>
    <col min="6414" max="6414" width="23.28515625" style="1" customWidth="1"/>
    <col min="6415" max="6415" width="13.28515625" style="1" customWidth="1"/>
    <col min="6416" max="6416" width="4.7109375" style="1" customWidth="1"/>
    <col min="6417" max="6417" width="5.7109375" style="1" customWidth="1"/>
    <col min="6418" max="6418" width="13.85546875" style="1" bestFit="1" customWidth="1"/>
    <col min="6419" max="6419" width="14.140625" style="1" customWidth="1"/>
    <col min="6420" max="6657" width="9.140625" style="1"/>
    <col min="6658" max="6658" width="56.28515625" style="1" customWidth="1"/>
    <col min="6659" max="6660" width="19.7109375" style="1" customWidth="1"/>
    <col min="6661" max="6661" width="17.85546875" style="1" customWidth="1"/>
    <col min="6662" max="6662" width="6.5703125" style="1" customWidth="1"/>
    <col min="6663" max="6663" width="11.5703125" style="1" customWidth="1"/>
    <col min="6664" max="6664" width="11.85546875" style="1" customWidth="1"/>
    <col min="6665" max="6665" width="6.140625" style="1" customWidth="1"/>
    <col min="6666" max="6666" width="29.28515625" style="1" customWidth="1"/>
    <col min="6667" max="6667" width="17.5703125" style="1" customWidth="1"/>
    <col min="6668" max="6668" width="8.85546875" style="1" customWidth="1"/>
    <col min="6669" max="6669" width="13.85546875" style="1" customWidth="1"/>
    <col min="6670" max="6670" width="23.28515625" style="1" customWidth="1"/>
    <col min="6671" max="6671" width="13.28515625" style="1" customWidth="1"/>
    <col min="6672" max="6672" width="4.7109375" style="1" customWidth="1"/>
    <col min="6673" max="6673" width="5.7109375" style="1" customWidth="1"/>
    <col min="6674" max="6674" width="13.85546875" style="1" bestFit="1" customWidth="1"/>
    <col min="6675" max="6675" width="14.140625" style="1" customWidth="1"/>
    <col min="6676" max="6913" width="9.140625" style="1"/>
    <col min="6914" max="6914" width="56.28515625" style="1" customWidth="1"/>
    <col min="6915" max="6916" width="19.7109375" style="1" customWidth="1"/>
    <col min="6917" max="6917" width="17.85546875" style="1" customWidth="1"/>
    <col min="6918" max="6918" width="6.5703125" style="1" customWidth="1"/>
    <col min="6919" max="6919" width="11.5703125" style="1" customWidth="1"/>
    <col min="6920" max="6920" width="11.85546875" style="1" customWidth="1"/>
    <col min="6921" max="6921" width="6.140625" style="1" customWidth="1"/>
    <col min="6922" max="6922" width="29.28515625" style="1" customWidth="1"/>
    <col min="6923" max="6923" width="17.5703125" style="1" customWidth="1"/>
    <col min="6924" max="6924" width="8.85546875" style="1" customWidth="1"/>
    <col min="6925" max="6925" width="13.85546875" style="1" customWidth="1"/>
    <col min="6926" max="6926" width="23.28515625" style="1" customWidth="1"/>
    <col min="6927" max="6927" width="13.28515625" style="1" customWidth="1"/>
    <col min="6928" max="6928" width="4.7109375" style="1" customWidth="1"/>
    <col min="6929" max="6929" width="5.7109375" style="1" customWidth="1"/>
    <col min="6930" max="6930" width="13.85546875" style="1" bestFit="1" customWidth="1"/>
    <col min="6931" max="6931" width="14.140625" style="1" customWidth="1"/>
    <col min="6932" max="7169" width="9.140625" style="1"/>
    <col min="7170" max="7170" width="56.28515625" style="1" customWidth="1"/>
    <col min="7171" max="7172" width="19.7109375" style="1" customWidth="1"/>
    <col min="7173" max="7173" width="17.85546875" style="1" customWidth="1"/>
    <col min="7174" max="7174" width="6.5703125" style="1" customWidth="1"/>
    <col min="7175" max="7175" width="11.5703125" style="1" customWidth="1"/>
    <col min="7176" max="7176" width="11.85546875" style="1" customWidth="1"/>
    <col min="7177" max="7177" width="6.140625" style="1" customWidth="1"/>
    <col min="7178" max="7178" width="29.28515625" style="1" customWidth="1"/>
    <col min="7179" max="7179" width="17.5703125" style="1" customWidth="1"/>
    <col min="7180" max="7180" width="8.85546875" style="1" customWidth="1"/>
    <col min="7181" max="7181" width="13.85546875" style="1" customWidth="1"/>
    <col min="7182" max="7182" width="23.28515625" style="1" customWidth="1"/>
    <col min="7183" max="7183" width="13.28515625" style="1" customWidth="1"/>
    <col min="7184" max="7184" width="4.7109375" style="1" customWidth="1"/>
    <col min="7185" max="7185" width="5.7109375" style="1" customWidth="1"/>
    <col min="7186" max="7186" width="13.85546875" style="1" bestFit="1" customWidth="1"/>
    <col min="7187" max="7187" width="14.140625" style="1" customWidth="1"/>
    <col min="7188" max="7425" width="9.140625" style="1"/>
    <col min="7426" max="7426" width="56.28515625" style="1" customWidth="1"/>
    <col min="7427" max="7428" width="19.7109375" style="1" customWidth="1"/>
    <col min="7429" max="7429" width="17.85546875" style="1" customWidth="1"/>
    <col min="7430" max="7430" width="6.5703125" style="1" customWidth="1"/>
    <col min="7431" max="7431" width="11.5703125" style="1" customWidth="1"/>
    <col min="7432" max="7432" width="11.85546875" style="1" customWidth="1"/>
    <col min="7433" max="7433" width="6.140625" style="1" customWidth="1"/>
    <col min="7434" max="7434" width="29.28515625" style="1" customWidth="1"/>
    <col min="7435" max="7435" width="17.5703125" style="1" customWidth="1"/>
    <col min="7436" max="7436" width="8.85546875" style="1" customWidth="1"/>
    <col min="7437" max="7437" width="13.85546875" style="1" customWidth="1"/>
    <col min="7438" max="7438" width="23.28515625" style="1" customWidth="1"/>
    <col min="7439" max="7439" width="13.28515625" style="1" customWidth="1"/>
    <col min="7440" max="7440" width="4.7109375" style="1" customWidth="1"/>
    <col min="7441" max="7441" width="5.7109375" style="1" customWidth="1"/>
    <col min="7442" max="7442" width="13.85546875" style="1" bestFit="1" customWidth="1"/>
    <col min="7443" max="7443" width="14.140625" style="1" customWidth="1"/>
    <col min="7444" max="7681" width="9.140625" style="1"/>
    <col min="7682" max="7682" width="56.28515625" style="1" customWidth="1"/>
    <col min="7683" max="7684" width="19.7109375" style="1" customWidth="1"/>
    <col min="7685" max="7685" width="17.85546875" style="1" customWidth="1"/>
    <col min="7686" max="7686" width="6.5703125" style="1" customWidth="1"/>
    <col min="7687" max="7687" width="11.5703125" style="1" customWidth="1"/>
    <col min="7688" max="7688" width="11.85546875" style="1" customWidth="1"/>
    <col min="7689" max="7689" width="6.140625" style="1" customWidth="1"/>
    <col min="7690" max="7690" width="29.28515625" style="1" customWidth="1"/>
    <col min="7691" max="7691" width="17.5703125" style="1" customWidth="1"/>
    <col min="7692" max="7692" width="8.85546875" style="1" customWidth="1"/>
    <col min="7693" max="7693" width="13.85546875" style="1" customWidth="1"/>
    <col min="7694" max="7694" width="23.28515625" style="1" customWidth="1"/>
    <col min="7695" max="7695" width="13.28515625" style="1" customWidth="1"/>
    <col min="7696" max="7696" width="4.7109375" style="1" customWidth="1"/>
    <col min="7697" max="7697" width="5.7109375" style="1" customWidth="1"/>
    <col min="7698" max="7698" width="13.85546875" style="1" bestFit="1" customWidth="1"/>
    <col min="7699" max="7699" width="14.140625" style="1" customWidth="1"/>
    <col min="7700" max="7937" width="9.140625" style="1"/>
    <col min="7938" max="7938" width="56.28515625" style="1" customWidth="1"/>
    <col min="7939" max="7940" width="19.7109375" style="1" customWidth="1"/>
    <col min="7941" max="7941" width="17.85546875" style="1" customWidth="1"/>
    <col min="7942" max="7942" width="6.5703125" style="1" customWidth="1"/>
    <col min="7943" max="7943" width="11.5703125" style="1" customWidth="1"/>
    <col min="7944" max="7944" width="11.85546875" style="1" customWidth="1"/>
    <col min="7945" max="7945" width="6.140625" style="1" customWidth="1"/>
    <col min="7946" max="7946" width="29.28515625" style="1" customWidth="1"/>
    <col min="7947" max="7947" width="17.5703125" style="1" customWidth="1"/>
    <col min="7948" max="7948" width="8.85546875" style="1" customWidth="1"/>
    <col min="7949" max="7949" width="13.85546875" style="1" customWidth="1"/>
    <col min="7950" max="7950" width="23.28515625" style="1" customWidth="1"/>
    <col min="7951" max="7951" width="13.28515625" style="1" customWidth="1"/>
    <col min="7952" max="7952" width="4.7109375" style="1" customWidth="1"/>
    <col min="7953" max="7953" width="5.7109375" style="1" customWidth="1"/>
    <col min="7954" max="7954" width="13.85546875" style="1" bestFit="1" customWidth="1"/>
    <col min="7955" max="7955" width="14.140625" style="1" customWidth="1"/>
    <col min="7956" max="8193" width="9.140625" style="1"/>
    <col min="8194" max="8194" width="56.28515625" style="1" customWidth="1"/>
    <col min="8195" max="8196" width="19.7109375" style="1" customWidth="1"/>
    <col min="8197" max="8197" width="17.85546875" style="1" customWidth="1"/>
    <col min="8198" max="8198" width="6.5703125" style="1" customWidth="1"/>
    <col min="8199" max="8199" width="11.5703125" style="1" customWidth="1"/>
    <col min="8200" max="8200" width="11.85546875" style="1" customWidth="1"/>
    <col min="8201" max="8201" width="6.140625" style="1" customWidth="1"/>
    <col min="8202" max="8202" width="29.28515625" style="1" customWidth="1"/>
    <col min="8203" max="8203" width="17.5703125" style="1" customWidth="1"/>
    <col min="8204" max="8204" width="8.85546875" style="1" customWidth="1"/>
    <col min="8205" max="8205" width="13.85546875" style="1" customWidth="1"/>
    <col min="8206" max="8206" width="23.28515625" style="1" customWidth="1"/>
    <col min="8207" max="8207" width="13.28515625" style="1" customWidth="1"/>
    <col min="8208" max="8208" width="4.7109375" style="1" customWidth="1"/>
    <col min="8209" max="8209" width="5.7109375" style="1" customWidth="1"/>
    <col min="8210" max="8210" width="13.85546875" style="1" bestFit="1" customWidth="1"/>
    <col min="8211" max="8211" width="14.140625" style="1" customWidth="1"/>
    <col min="8212" max="8449" width="9.140625" style="1"/>
    <col min="8450" max="8450" width="56.28515625" style="1" customWidth="1"/>
    <col min="8451" max="8452" width="19.7109375" style="1" customWidth="1"/>
    <col min="8453" max="8453" width="17.85546875" style="1" customWidth="1"/>
    <col min="8454" max="8454" width="6.5703125" style="1" customWidth="1"/>
    <col min="8455" max="8455" width="11.5703125" style="1" customWidth="1"/>
    <col min="8456" max="8456" width="11.85546875" style="1" customWidth="1"/>
    <col min="8457" max="8457" width="6.140625" style="1" customWidth="1"/>
    <col min="8458" max="8458" width="29.28515625" style="1" customWidth="1"/>
    <col min="8459" max="8459" width="17.5703125" style="1" customWidth="1"/>
    <col min="8460" max="8460" width="8.85546875" style="1" customWidth="1"/>
    <col min="8461" max="8461" width="13.85546875" style="1" customWidth="1"/>
    <col min="8462" max="8462" width="23.28515625" style="1" customWidth="1"/>
    <col min="8463" max="8463" width="13.28515625" style="1" customWidth="1"/>
    <col min="8464" max="8464" width="4.7109375" style="1" customWidth="1"/>
    <col min="8465" max="8465" width="5.7109375" style="1" customWidth="1"/>
    <col min="8466" max="8466" width="13.85546875" style="1" bestFit="1" customWidth="1"/>
    <col min="8467" max="8467" width="14.140625" style="1" customWidth="1"/>
    <col min="8468" max="8705" width="9.140625" style="1"/>
    <col min="8706" max="8706" width="56.28515625" style="1" customWidth="1"/>
    <col min="8707" max="8708" width="19.7109375" style="1" customWidth="1"/>
    <col min="8709" max="8709" width="17.85546875" style="1" customWidth="1"/>
    <col min="8710" max="8710" width="6.5703125" style="1" customWidth="1"/>
    <col min="8711" max="8711" width="11.5703125" style="1" customWidth="1"/>
    <col min="8712" max="8712" width="11.85546875" style="1" customWidth="1"/>
    <col min="8713" max="8713" width="6.140625" style="1" customWidth="1"/>
    <col min="8714" max="8714" width="29.28515625" style="1" customWidth="1"/>
    <col min="8715" max="8715" width="17.5703125" style="1" customWidth="1"/>
    <col min="8716" max="8716" width="8.85546875" style="1" customWidth="1"/>
    <col min="8717" max="8717" width="13.85546875" style="1" customWidth="1"/>
    <col min="8718" max="8718" width="23.28515625" style="1" customWidth="1"/>
    <col min="8719" max="8719" width="13.28515625" style="1" customWidth="1"/>
    <col min="8720" max="8720" width="4.7109375" style="1" customWidth="1"/>
    <col min="8721" max="8721" width="5.7109375" style="1" customWidth="1"/>
    <col min="8722" max="8722" width="13.85546875" style="1" bestFit="1" customWidth="1"/>
    <col min="8723" max="8723" width="14.140625" style="1" customWidth="1"/>
    <col min="8724" max="8961" width="9.140625" style="1"/>
    <col min="8962" max="8962" width="56.28515625" style="1" customWidth="1"/>
    <col min="8963" max="8964" width="19.7109375" style="1" customWidth="1"/>
    <col min="8965" max="8965" width="17.85546875" style="1" customWidth="1"/>
    <col min="8966" max="8966" width="6.5703125" style="1" customWidth="1"/>
    <col min="8967" max="8967" width="11.5703125" style="1" customWidth="1"/>
    <col min="8968" max="8968" width="11.85546875" style="1" customWidth="1"/>
    <col min="8969" max="8969" width="6.140625" style="1" customWidth="1"/>
    <col min="8970" max="8970" width="29.28515625" style="1" customWidth="1"/>
    <col min="8971" max="8971" width="17.5703125" style="1" customWidth="1"/>
    <col min="8972" max="8972" width="8.85546875" style="1" customWidth="1"/>
    <col min="8973" max="8973" width="13.85546875" style="1" customWidth="1"/>
    <col min="8974" max="8974" width="23.28515625" style="1" customWidth="1"/>
    <col min="8975" max="8975" width="13.28515625" style="1" customWidth="1"/>
    <col min="8976" max="8976" width="4.7109375" style="1" customWidth="1"/>
    <col min="8977" max="8977" width="5.7109375" style="1" customWidth="1"/>
    <col min="8978" max="8978" width="13.85546875" style="1" bestFit="1" customWidth="1"/>
    <col min="8979" max="8979" width="14.140625" style="1" customWidth="1"/>
    <col min="8980" max="9217" width="9.140625" style="1"/>
    <col min="9218" max="9218" width="56.28515625" style="1" customWidth="1"/>
    <col min="9219" max="9220" width="19.7109375" style="1" customWidth="1"/>
    <col min="9221" max="9221" width="17.85546875" style="1" customWidth="1"/>
    <col min="9222" max="9222" width="6.5703125" style="1" customWidth="1"/>
    <col min="9223" max="9223" width="11.5703125" style="1" customWidth="1"/>
    <col min="9224" max="9224" width="11.85546875" style="1" customWidth="1"/>
    <col min="9225" max="9225" width="6.140625" style="1" customWidth="1"/>
    <col min="9226" max="9226" width="29.28515625" style="1" customWidth="1"/>
    <col min="9227" max="9227" width="17.5703125" style="1" customWidth="1"/>
    <col min="9228" max="9228" width="8.85546875" style="1" customWidth="1"/>
    <col min="9229" max="9229" width="13.85546875" style="1" customWidth="1"/>
    <col min="9230" max="9230" width="23.28515625" style="1" customWidth="1"/>
    <col min="9231" max="9231" width="13.28515625" style="1" customWidth="1"/>
    <col min="9232" max="9232" width="4.7109375" style="1" customWidth="1"/>
    <col min="9233" max="9233" width="5.7109375" style="1" customWidth="1"/>
    <col min="9234" max="9234" width="13.85546875" style="1" bestFit="1" customWidth="1"/>
    <col min="9235" max="9235" width="14.140625" style="1" customWidth="1"/>
    <col min="9236" max="9473" width="9.140625" style="1"/>
    <col min="9474" max="9474" width="56.28515625" style="1" customWidth="1"/>
    <col min="9475" max="9476" width="19.7109375" style="1" customWidth="1"/>
    <col min="9477" max="9477" width="17.85546875" style="1" customWidth="1"/>
    <col min="9478" max="9478" width="6.5703125" style="1" customWidth="1"/>
    <col min="9479" max="9479" width="11.5703125" style="1" customWidth="1"/>
    <col min="9480" max="9480" width="11.85546875" style="1" customWidth="1"/>
    <col min="9481" max="9481" width="6.140625" style="1" customWidth="1"/>
    <col min="9482" max="9482" width="29.28515625" style="1" customWidth="1"/>
    <col min="9483" max="9483" width="17.5703125" style="1" customWidth="1"/>
    <col min="9484" max="9484" width="8.85546875" style="1" customWidth="1"/>
    <col min="9485" max="9485" width="13.85546875" style="1" customWidth="1"/>
    <col min="9486" max="9486" width="23.28515625" style="1" customWidth="1"/>
    <col min="9487" max="9487" width="13.28515625" style="1" customWidth="1"/>
    <col min="9488" max="9488" width="4.7109375" style="1" customWidth="1"/>
    <col min="9489" max="9489" width="5.7109375" style="1" customWidth="1"/>
    <col min="9490" max="9490" width="13.85546875" style="1" bestFit="1" customWidth="1"/>
    <col min="9491" max="9491" width="14.140625" style="1" customWidth="1"/>
    <col min="9492" max="9729" width="9.140625" style="1"/>
    <col min="9730" max="9730" width="56.28515625" style="1" customWidth="1"/>
    <col min="9731" max="9732" width="19.7109375" style="1" customWidth="1"/>
    <col min="9733" max="9733" width="17.85546875" style="1" customWidth="1"/>
    <col min="9734" max="9734" width="6.5703125" style="1" customWidth="1"/>
    <col min="9735" max="9735" width="11.5703125" style="1" customWidth="1"/>
    <col min="9736" max="9736" width="11.85546875" style="1" customWidth="1"/>
    <col min="9737" max="9737" width="6.140625" style="1" customWidth="1"/>
    <col min="9738" max="9738" width="29.28515625" style="1" customWidth="1"/>
    <col min="9739" max="9739" width="17.5703125" style="1" customWidth="1"/>
    <col min="9740" max="9740" width="8.85546875" style="1" customWidth="1"/>
    <col min="9741" max="9741" width="13.85546875" style="1" customWidth="1"/>
    <col min="9742" max="9742" width="23.28515625" style="1" customWidth="1"/>
    <col min="9743" max="9743" width="13.28515625" style="1" customWidth="1"/>
    <col min="9744" max="9744" width="4.7109375" style="1" customWidth="1"/>
    <col min="9745" max="9745" width="5.7109375" style="1" customWidth="1"/>
    <col min="9746" max="9746" width="13.85546875" style="1" bestFit="1" customWidth="1"/>
    <col min="9747" max="9747" width="14.140625" style="1" customWidth="1"/>
    <col min="9748" max="9985" width="9.140625" style="1"/>
    <col min="9986" max="9986" width="56.28515625" style="1" customWidth="1"/>
    <col min="9987" max="9988" width="19.7109375" style="1" customWidth="1"/>
    <col min="9989" max="9989" width="17.85546875" style="1" customWidth="1"/>
    <col min="9990" max="9990" width="6.5703125" style="1" customWidth="1"/>
    <col min="9991" max="9991" width="11.5703125" style="1" customWidth="1"/>
    <col min="9992" max="9992" width="11.85546875" style="1" customWidth="1"/>
    <col min="9993" max="9993" width="6.140625" style="1" customWidth="1"/>
    <col min="9994" max="9994" width="29.28515625" style="1" customWidth="1"/>
    <col min="9995" max="9995" width="17.5703125" style="1" customWidth="1"/>
    <col min="9996" max="9996" width="8.85546875" style="1" customWidth="1"/>
    <col min="9997" max="9997" width="13.85546875" style="1" customWidth="1"/>
    <col min="9998" max="9998" width="23.28515625" style="1" customWidth="1"/>
    <col min="9999" max="9999" width="13.28515625" style="1" customWidth="1"/>
    <col min="10000" max="10000" width="4.7109375" style="1" customWidth="1"/>
    <col min="10001" max="10001" width="5.7109375" style="1" customWidth="1"/>
    <col min="10002" max="10002" width="13.85546875" style="1" bestFit="1" customWidth="1"/>
    <col min="10003" max="10003" width="14.140625" style="1" customWidth="1"/>
    <col min="10004" max="10241" width="9.140625" style="1"/>
    <col min="10242" max="10242" width="56.28515625" style="1" customWidth="1"/>
    <col min="10243" max="10244" width="19.7109375" style="1" customWidth="1"/>
    <col min="10245" max="10245" width="17.85546875" style="1" customWidth="1"/>
    <col min="10246" max="10246" width="6.5703125" style="1" customWidth="1"/>
    <col min="10247" max="10247" width="11.5703125" style="1" customWidth="1"/>
    <col min="10248" max="10248" width="11.85546875" style="1" customWidth="1"/>
    <col min="10249" max="10249" width="6.140625" style="1" customWidth="1"/>
    <col min="10250" max="10250" width="29.28515625" style="1" customWidth="1"/>
    <col min="10251" max="10251" width="17.5703125" style="1" customWidth="1"/>
    <col min="10252" max="10252" width="8.85546875" style="1" customWidth="1"/>
    <col min="10253" max="10253" width="13.85546875" style="1" customWidth="1"/>
    <col min="10254" max="10254" width="23.28515625" style="1" customWidth="1"/>
    <col min="10255" max="10255" width="13.28515625" style="1" customWidth="1"/>
    <col min="10256" max="10256" width="4.7109375" style="1" customWidth="1"/>
    <col min="10257" max="10257" width="5.7109375" style="1" customWidth="1"/>
    <col min="10258" max="10258" width="13.85546875" style="1" bestFit="1" customWidth="1"/>
    <col min="10259" max="10259" width="14.140625" style="1" customWidth="1"/>
    <col min="10260" max="10497" width="9.140625" style="1"/>
    <col min="10498" max="10498" width="56.28515625" style="1" customWidth="1"/>
    <col min="10499" max="10500" width="19.7109375" style="1" customWidth="1"/>
    <col min="10501" max="10501" width="17.85546875" style="1" customWidth="1"/>
    <col min="10502" max="10502" width="6.5703125" style="1" customWidth="1"/>
    <col min="10503" max="10503" width="11.5703125" style="1" customWidth="1"/>
    <col min="10504" max="10504" width="11.85546875" style="1" customWidth="1"/>
    <col min="10505" max="10505" width="6.140625" style="1" customWidth="1"/>
    <col min="10506" max="10506" width="29.28515625" style="1" customWidth="1"/>
    <col min="10507" max="10507" width="17.5703125" style="1" customWidth="1"/>
    <col min="10508" max="10508" width="8.85546875" style="1" customWidth="1"/>
    <col min="10509" max="10509" width="13.85546875" style="1" customWidth="1"/>
    <col min="10510" max="10510" width="23.28515625" style="1" customWidth="1"/>
    <col min="10511" max="10511" width="13.28515625" style="1" customWidth="1"/>
    <col min="10512" max="10512" width="4.7109375" style="1" customWidth="1"/>
    <col min="10513" max="10513" width="5.7109375" style="1" customWidth="1"/>
    <col min="10514" max="10514" width="13.85546875" style="1" bestFit="1" customWidth="1"/>
    <col min="10515" max="10515" width="14.140625" style="1" customWidth="1"/>
    <col min="10516" max="10753" width="9.140625" style="1"/>
    <col min="10754" max="10754" width="56.28515625" style="1" customWidth="1"/>
    <col min="10755" max="10756" width="19.7109375" style="1" customWidth="1"/>
    <col min="10757" max="10757" width="17.85546875" style="1" customWidth="1"/>
    <col min="10758" max="10758" width="6.5703125" style="1" customWidth="1"/>
    <col min="10759" max="10759" width="11.5703125" style="1" customWidth="1"/>
    <col min="10760" max="10760" width="11.85546875" style="1" customWidth="1"/>
    <col min="10761" max="10761" width="6.140625" style="1" customWidth="1"/>
    <col min="10762" max="10762" width="29.28515625" style="1" customWidth="1"/>
    <col min="10763" max="10763" width="17.5703125" style="1" customWidth="1"/>
    <col min="10764" max="10764" width="8.85546875" style="1" customWidth="1"/>
    <col min="10765" max="10765" width="13.85546875" style="1" customWidth="1"/>
    <col min="10766" max="10766" width="23.28515625" style="1" customWidth="1"/>
    <col min="10767" max="10767" width="13.28515625" style="1" customWidth="1"/>
    <col min="10768" max="10768" width="4.7109375" style="1" customWidth="1"/>
    <col min="10769" max="10769" width="5.7109375" style="1" customWidth="1"/>
    <col min="10770" max="10770" width="13.85546875" style="1" bestFit="1" customWidth="1"/>
    <col min="10771" max="10771" width="14.140625" style="1" customWidth="1"/>
    <col min="10772" max="11009" width="9.140625" style="1"/>
    <col min="11010" max="11010" width="56.28515625" style="1" customWidth="1"/>
    <col min="11011" max="11012" width="19.7109375" style="1" customWidth="1"/>
    <col min="11013" max="11013" width="17.85546875" style="1" customWidth="1"/>
    <col min="11014" max="11014" width="6.5703125" style="1" customWidth="1"/>
    <col min="11015" max="11015" width="11.5703125" style="1" customWidth="1"/>
    <col min="11016" max="11016" width="11.85546875" style="1" customWidth="1"/>
    <col min="11017" max="11017" width="6.140625" style="1" customWidth="1"/>
    <col min="11018" max="11018" width="29.28515625" style="1" customWidth="1"/>
    <col min="11019" max="11019" width="17.5703125" style="1" customWidth="1"/>
    <col min="11020" max="11020" width="8.85546875" style="1" customWidth="1"/>
    <col min="11021" max="11021" width="13.85546875" style="1" customWidth="1"/>
    <col min="11022" max="11022" width="23.28515625" style="1" customWidth="1"/>
    <col min="11023" max="11023" width="13.28515625" style="1" customWidth="1"/>
    <col min="11024" max="11024" width="4.7109375" style="1" customWidth="1"/>
    <col min="11025" max="11025" width="5.7109375" style="1" customWidth="1"/>
    <col min="11026" max="11026" width="13.85546875" style="1" bestFit="1" customWidth="1"/>
    <col min="11027" max="11027" width="14.140625" style="1" customWidth="1"/>
    <col min="11028" max="11265" width="9.140625" style="1"/>
    <col min="11266" max="11266" width="56.28515625" style="1" customWidth="1"/>
    <col min="11267" max="11268" width="19.7109375" style="1" customWidth="1"/>
    <col min="11269" max="11269" width="17.85546875" style="1" customWidth="1"/>
    <col min="11270" max="11270" width="6.5703125" style="1" customWidth="1"/>
    <col min="11271" max="11271" width="11.5703125" style="1" customWidth="1"/>
    <col min="11272" max="11272" width="11.85546875" style="1" customWidth="1"/>
    <col min="11273" max="11273" width="6.140625" style="1" customWidth="1"/>
    <col min="11274" max="11274" width="29.28515625" style="1" customWidth="1"/>
    <col min="11275" max="11275" width="17.5703125" style="1" customWidth="1"/>
    <col min="11276" max="11276" width="8.85546875" style="1" customWidth="1"/>
    <col min="11277" max="11277" width="13.85546875" style="1" customWidth="1"/>
    <col min="11278" max="11278" width="23.28515625" style="1" customWidth="1"/>
    <col min="11279" max="11279" width="13.28515625" style="1" customWidth="1"/>
    <col min="11280" max="11280" width="4.7109375" style="1" customWidth="1"/>
    <col min="11281" max="11281" width="5.7109375" style="1" customWidth="1"/>
    <col min="11282" max="11282" width="13.85546875" style="1" bestFit="1" customWidth="1"/>
    <col min="11283" max="11283" width="14.140625" style="1" customWidth="1"/>
    <col min="11284" max="11521" width="9.140625" style="1"/>
    <col min="11522" max="11522" width="56.28515625" style="1" customWidth="1"/>
    <col min="11523" max="11524" width="19.7109375" style="1" customWidth="1"/>
    <col min="11525" max="11525" width="17.85546875" style="1" customWidth="1"/>
    <col min="11526" max="11526" width="6.5703125" style="1" customWidth="1"/>
    <col min="11527" max="11527" width="11.5703125" style="1" customWidth="1"/>
    <col min="11528" max="11528" width="11.85546875" style="1" customWidth="1"/>
    <col min="11529" max="11529" width="6.140625" style="1" customWidth="1"/>
    <col min="11530" max="11530" width="29.28515625" style="1" customWidth="1"/>
    <col min="11531" max="11531" width="17.5703125" style="1" customWidth="1"/>
    <col min="11532" max="11532" width="8.85546875" style="1" customWidth="1"/>
    <col min="11533" max="11533" width="13.85546875" style="1" customWidth="1"/>
    <col min="11534" max="11534" width="23.28515625" style="1" customWidth="1"/>
    <col min="11535" max="11535" width="13.28515625" style="1" customWidth="1"/>
    <col min="11536" max="11536" width="4.7109375" style="1" customWidth="1"/>
    <col min="11537" max="11537" width="5.7109375" style="1" customWidth="1"/>
    <col min="11538" max="11538" width="13.85546875" style="1" bestFit="1" customWidth="1"/>
    <col min="11539" max="11539" width="14.140625" style="1" customWidth="1"/>
    <col min="11540" max="11777" width="9.140625" style="1"/>
    <col min="11778" max="11778" width="56.28515625" style="1" customWidth="1"/>
    <col min="11779" max="11780" width="19.7109375" style="1" customWidth="1"/>
    <col min="11781" max="11781" width="17.85546875" style="1" customWidth="1"/>
    <col min="11782" max="11782" width="6.5703125" style="1" customWidth="1"/>
    <col min="11783" max="11783" width="11.5703125" style="1" customWidth="1"/>
    <col min="11784" max="11784" width="11.85546875" style="1" customWidth="1"/>
    <col min="11785" max="11785" width="6.140625" style="1" customWidth="1"/>
    <col min="11786" max="11786" width="29.28515625" style="1" customWidth="1"/>
    <col min="11787" max="11787" width="17.5703125" style="1" customWidth="1"/>
    <col min="11788" max="11788" width="8.85546875" style="1" customWidth="1"/>
    <col min="11789" max="11789" width="13.85546875" style="1" customWidth="1"/>
    <col min="11790" max="11790" width="23.28515625" style="1" customWidth="1"/>
    <col min="11791" max="11791" width="13.28515625" style="1" customWidth="1"/>
    <col min="11792" max="11792" width="4.7109375" style="1" customWidth="1"/>
    <col min="11793" max="11793" width="5.7109375" style="1" customWidth="1"/>
    <col min="11794" max="11794" width="13.85546875" style="1" bestFit="1" customWidth="1"/>
    <col min="11795" max="11795" width="14.140625" style="1" customWidth="1"/>
    <col min="11796" max="12033" width="9.140625" style="1"/>
    <col min="12034" max="12034" width="56.28515625" style="1" customWidth="1"/>
    <col min="12035" max="12036" width="19.7109375" style="1" customWidth="1"/>
    <col min="12037" max="12037" width="17.85546875" style="1" customWidth="1"/>
    <col min="12038" max="12038" width="6.5703125" style="1" customWidth="1"/>
    <col min="12039" max="12039" width="11.5703125" style="1" customWidth="1"/>
    <col min="12040" max="12040" width="11.85546875" style="1" customWidth="1"/>
    <col min="12041" max="12041" width="6.140625" style="1" customWidth="1"/>
    <col min="12042" max="12042" width="29.28515625" style="1" customWidth="1"/>
    <col min="12043" max="12043" width="17.5703125" style="1" customWidth="1"/>
    <col min="12044" max="12044" width="8.85546875" style="1" customWidth="1"/>
    <col min="12045" max="12045" width="13.85546875" style="1" customWidth="1"/>
    <col min="12046" max="12046" width="23.28515625" style="1" customWidth="1"/>
    <col min="12047" max="12047" width="13.28515625" style="1" customWidth="1"/>
    <col min="12048" max="12048" width="4.7109375" style="1" customWidth="1"/>
    <col min="12049" max="12049" width="5.7109375" style="1" customWidth="1"/>
    <col min="12050" max="12050" width="13.85546875" style="1" bestFit="1" customWidth="1"/>
    <col min="12051" max="12051" width="14.140625" style="1" customWidth="1"/>
    <col min="12052" max="12289" width="9.140625" style="1"/>
    <col min="12290" max="12290" width="56.28515625" style="1" customWidth="1"/>
    <col min="12291" max="12292" width="19.7109375" style="1" customWidth="1"/>
    <col min="12293" max="12293" width="17.85546875" style="1" customWidth="1"/>
    <col min="12294" max="12294" width="6.5703125" style="1" customWidth="1"/>
    <col min="12295" max="12295" width="11.5703125" style="1" customWidth="1"/>
    <col min="12296" max="12296" width="11.85546875" style="1" customWidth="1"/>
    <col min="12297" max="12297" width="6.140625" style="1" customWidth="1"/>
    <col min="12298" max="12298" width="29.28515625" style="1" customWidth="1"/>
    <col min="12299" max="12299" width="17.5703125" style="1" customWidth="1"/>
    <col min="12300" max="12300" width="8.85546875" style="1" customWidth="1"/>
    <col min="12301" max="12301" width="13.85546875" style="1" customWidth="1"/>
    <col min="12302" max="12302" width="23.28515625" style="1" customWidth="1"/>
    <col min="12303" max="12303" width="13.28515625" style="1" customWidth="1"/>
    <col min="12304" max="12304" width="4.7109375" style="1" customWidth="1"/>
    <col min="12305" max="12305" width="5.7109375" style="1" customWidth="1"/>
    <col min="12306" max="12306" width="13.85546875" style="1" bestFit="1" customWidth="1"/>
    <col min="12307" max="12307" width="14.140625" style="1" customWidth="1"/>
    <col min="12308" max="12545" width="9.140625" style="1"/>
    <col min="12546" max="12546" width="56.28515625" style="1" customWidth="1"/>
    <col min="12547" max="12548" width="19.7109375" style="1" customWidth="1"/>
    <col min="12549" max="12549" width="17.85546875" style="1" customWidth="1"/>
    <col min="12550" max="12550" width="6.5703125" style="1" customWidth="1"/>
    <col min="12551" max="12551" width="11.5703125" style="1" customWidth="1"/>
    <col min="12552" max="12552" width="11.85546875" style="1" customWidth="1"/>
    <col min="12553" max="12553" width="6.140625" style="1" customWidth="1"/>
    <col min="12554" max="12554" width="29.28515625" style="1" customWidth="1"/>
    <col min="12555" max="12555" width="17.5703125" style="1" customWidth="1"/>
    <col min="12556" max="12556" width="8.85546875" style="1" customWidth="1"/>
    <col min="12557" max="12557" width="13.85546875" style="1" customWidth="1"/>
    <col min="12558" max="12558" width="23.28515625" style="1" customWidth="1"/>
    <col min="12559" max="12559" width="13.28515625" style="1" customWidth="1"/>
    <col min="12560" max="12560" width="4.7109375" style="1" customWidth="1"/>
    <col min="12561" max="12561" width="5.7109375" style="1" customWidth="1"/>
    <col min="12562" max="12562" width="13.85546875" style="1" bestFit="1" customWidth="1"/>
    <col min="12563" max="12563" width="14.140625" style="1" customWidth="1"/>
    <col min="12564" max="12801" width="9.140625" style="1"/>
    <col min="12802" max="12802" width="56.28515625" style="1" customWidth="1"/>
    <col min="12803" max="12804" width="19.7109375" style="1" customWidth="1"/>
    <col min="12805" max="12805" width="17.85546875" style="1" customWidth="1"/>
    <col min="12806" max="12806" width="6.5703125" style="1" customWidth="1"/>
    <col min="12807" max="12807" width="11.5703125" style="1" customWidth="1"/>
    <col min="12808" max="12808" width="11.85546875" style="1" customWidth="1"/>
    <col min="12809" max="12809" width="6.140625" style="1" customWidth="1"/>
    <col min="12810" max="12810" width="29.28515625" style="1" customWidth="1"/>
    <col min="12811" max="12811" width="17.5703125" style="1" customWidth="1"/>
    <col min="12812" max="12812" width="8.85546875" style="1" customWidth="1"/>
    <col min="12813" max="12813" width="13.85546875" style="1" customWidth="1"/>
    <col min="12814" max="12814" width="23.28515625" style="1" customWidth="1"/>
    <col min="12815" max="12815" width="13.28515625" style="1" customWidth="1"/>
    <col min="12816" max="12816" width="4.7109375" style="1" customWidth="1"/>
    <col min="12817" max="12817" width="5.7109375" style="1" customWidth="1"/>
    <col min="12818" max="12818" width="13.85546875" style="1" bestFit="1" customWidth="1"/>
    <col min="12819" max="12819" width="14.140625" style="1" customWidth="1"/>
    <col min="12820" max="13057" width="9.140625" style="1"/>
    <col min="13058" max="13058" width="56.28515625" style="1" customWidth="1"/>
    <col min="13059" max="13060" width="19.7109375" style="1" customWidth="1"/>
    <col min="13061" max="13061" width="17.85546875" style="1" customWidth="1"/>
    <col min="13062" max="13062" width="6.5703125" style="1" customWidth="1"/>
    <col min="13063" max="13063" width="11.5703125" style="1" customWidth="1"/>
    <col min="13064" max="13064" width="11.85546875" style="1" customWidth="1"/>
    <col min="13065" max="13065" width="6.140625" style="1" customWidth="1"/>
    <col min="13066" max="13066" width="29.28515625" style="1" customWidth="1"/>
    <col min="13067" max="13067" width="17.5703125" style="1" customWidth="1"/>
    <col min="13068" max="13068" width="8.85546875" style="1" customWidth="1"/>
    <col min="13069" max="13069" width="13.85546875" style="1" customWidth="1"/>
    <col min="13070" max="13070" width="23.28515625" style="1" customWidth="1"/>
    <col min="13071" max="13071" width="13.28515625" style="1" customWidth="1"/>
    <col min="13072" max="13072" width="4.7109375" style="1" customWidth="1"/>
    <col min="13073" max="13073" width="5.7109375" style="1" customWidth="1"/>
    <col min="13074" max="13074" width="13.85546875" style="1" bestFit="1" customWidth="1"/>
    <col min="13075" max="13075" width="14.140625" style="1" customWidth="1"/>
    <col min="13076" max="13313" width="9.140625" style="1"/>
    <col min="13314" max="13314" width="56.28515625" style="1" customWidth="1"/>
    <col min="13315" max="13316" width="19.7109375" style="1" customWidth="1"/>
    <col min="13317" max="13317" width="17.85546875" style="1" customWidth="1"/>
    <col min="13318" max="13318" width="6.5703125" style="1" customWidth="1"/>
    <col min="13319" max="13319" width="11.5703125" style="1" customWidth="1"/>
    <col min="13320" max="13320" width="11.85546875" style="1" customWidth="1"/>
    <col min="13321" max="13321" width="6.140625" style="1" customWidth="1"/>
    <col min="13322" max="13322" width="29.28515625" style="1" customWidth="1"/>
    <col min="13323" max="13323" width="17.5703125" style="1" customWidth="1"/>
    <col min="13324" max="13324" width="8.85546875" style="1" customWidth="1"/>
    <col min="13325" max="13325" width="13.85546875" style="1" customWidth="1"/>
    <col min="13326" max="13326" width="23.28515625" style="1" customWidth="1"/>
    <col min="13327" max="13327" width="13.28515625" style="1" customWidth="1"/>
    <col min="13328" max="13328" width="4.7109375" style="1" customWidth="1"/>
    <col min="13329" max="13329" width="5.7109375" style="1" customWidth="1"/>
    <col min="13330" max="13330" width="13.85546875" style="1" bestFit="1" customWidth="1"/>
    <col min="13331" max="13331" width="14.140625" style="1" customWidth="1"/>
    <col min="13332" max="13569" width="9.140625" style="1"/>
    <col min="13570" max="13570" width="56.28515625" style="1" customWidth="1"/>
    <col min="13571" max="13572" width="19.7109375" style="1" customWidth="1"/>
    <col min="13573" max="13573" width="17.85546875" style="1" customWidth="1"/>
    <col min="13574" max="13574" width="6.5703125" style="1" customWidth="1"/>
    <col min="13575" max="13575" width="11.5703125" style="1" customWidth="1"/>
    <col min="13576" max="13576" width="11.85546875" style="1" customWidth="1"/>
    <col min="13577" max="13577" width="6.140625" style="1" customWidth="1"/>
    <col min="13578" max="13578" width="29.28515625" style="1" customWidth="1"/>
    <col min="13579" max="13579" width="17.5703125" style="1" customWidth="1"/>
    <col min="13580" max="13580" width="8.85546875" style="1" customWidth="1"/>
    <col min="13581" max="13581" width="13.85546875" style="1" customWidth="1"/>
    <col min="13582" max="13582" width="23.28515625" style="1" customWidth="1"/>
    <col min="13583" max="13583" width="13.28515625" style="1" customWidth="1"/>
    <col min="13584" max="13584" width="4.7109375" style="1" customWidth="1"/>
    <col min="13585" max="13585" width="5.7109375" style="1" customWidth="1"/>
    <col min="13586" max="13586" width="13.85546875" style="1" bestFit="1" customWidth="1"/>
    <col min="13587" max="13587" width="14.140625" style="1" customWidth="1"/>
    <col min="13588" max="13825" width="9.140625" style="1"/>
    <col min="13826" max="13826" width="56.28515625" style="1" customWidth="1"/>
    <col min="13827" max="13828" width="19.7109375" style="1" customWidth="1"/>
    <col min="13829" max="13829" width="17.85546875" style="1" customWidth="1"/>
    <col min="13830" max="13830" width="6.5703125" style="1" customWidth="1"/>
    <col min="13831" max="13831" width="11.5703125" style="1" customWidth="1"/>
    <col min="13832" max="13832" width="11.85546875" style="1" customWidth="1"/>
    <col min="13833" max="13833" width="6.140625" style="1" customWidth="1"/>
    <col min="13834" max="13834" width="29.28515625" style="1" customWidth="1"/>
    <col min="13835" max="13835" width="17.5703125" style="1" customWidth="1"/>
    <col min="13836" max="13836" width="8.85546875" style="1" customWidth="1"/>
    <col min="13837" max="13837" width="13.85546875" style="1" customWidth="1"/>
    <col min="13838" max="13838" width="23.28515625" style="1" customWidth="1"/>
    <col min="13839" max="13839" width="13.28515625" style="1" customWidth="1"/>
    <col min="13840" max="13840" width="4.7109375" style="1" customWidth="1"/>
    <col min="13841" max="13841" width="5.7109375" style="1" customWidth="1"/>
    <col min="13842" max="13842" width="13.85546875" style="1" bestFit="1" customWidth="1"/>
    <col min="13843" max="13843" width="14.140625" style="1" customWidth="1"/>
    <col min="13844" max="14081" width="9.140625" style="1"/>
    <col min="14082" max="14082" width="56.28515625" style="1" customWidth="1"/>
    <col min="14083" max="14084" width="19.7109375" style="1" customWidth="1"/>
    <col min="14085" max="14085" width="17.85546875" style="1" customWidth="1"/>
    <col min="14086" max="14086" width="6.5703125" style="1" customWidth="1"/>
    <col min="14087" max="14087" width="11.5703125" style="1" customWidth="1"/>
    <col min="14088" max="14088" width="11.85546875" style="1" customWidth="1"/>
    <col min="14089" max="14089" width="6.140625" style="1" customWidth="1"/>
    <col min="14090" max="14090" width="29.28515625" style="1" customWidth="1"/>
    <col min="14091" max="14091" width="17.5703125" style="1" customWidth="1"/>
    <col min="14092" max="14092" width="8.85546875" style="1" customWidth="1"/>
    <col min="14093" max="14093" width="13.85546875" style="1" customWidth="1"/>
    <col min="14094" max="14094" width="23.28515625" style="1" customWidth="1"/>
    <col min="14095" max="14095" width="13.28515625" style="1" customWidth="1"/>
    <col min="14096" max="14096" width="4.7109375" style="1" customWidth="1"/>
    <col min="14097" max="14097" width="5.7109375" style="1" customWidth="1"/>
    <col min="14098" max="14098" width="13.85546875" style="1" bestFit="1" customWidth="1"/>
    <col min="14099" max="14099" width="14.140625" style="1" customWidth="1"/>
    <col min="14100" max="14337" width="9.140625" style="1"/>
    <col min="14338" max="14338" width="56.28515625" style="1" customWidth="1"/>
    <col min="14339" max="14340" width="19.7109375" style="1" customWidth="1"/>
    <col min="14341" max="14341" width="17.85546875" style="1" customWidth="1"/>
    <col min="14342" max="14342" width="6.5703125" style="1" customWidth="1"/>
    <col min="14343" max="14343" width="11.5703125" style="1" customWidth="1"/>
    <col min="14344" max="14344" width="11.85546875" style="1" customWidth="1"/>
    <col min="14345" max="14345" width="6.140625" style="1" customWidth="1"/>
    <col min="14346" max="14346" width="29.28515625" style="1" customWidth="1"/>
    <col min="14347" max="14347" width="17.5703125" style="1" customWidth="1"/>
    <col min="14348" max="14348" width="8.85546875" style="1" customWidth="1"/>
    <col min="14349" max="14349" width="13.85546875" style="1" customWidth="1"/>
    <col min="14350" max="14350" width="23.28515625" style="1" customWidth="1"/>
    <col min="14351" max="14351" width="13.28515625" style="1" customWidth="1"/>
    <col min="14352" max="14352" width="4.7109375" style="1" customWidth="1"/>
    <col min="14353" max="14353" width="5.7109375" style="1" customWidth="1"/>
    <col min="14354" max="14354" width="13.85546875" style="1" bestFit="1" customWidth="1"/>
    <col min="14355" max="14355" width="14.140625" style="1" customWidth="1"/>
    <col min="14356" max="14593" width="9.140625" style="1"/>
    <col min="14594" max="14594" width="56.28515625" style="1" customWidth="1"/>
    <col min="14595" max="14596" width="19.7109375" style="1" customWidth="1"/>
    <col min="14597" max="14597" width="17.85546875" style="1" customWidth="1"/>
    <col min="14598" max="14598" width="6.5703125" style="1" customWidth="1"/>
    <col min="14599" max="14599" width="11.5703125" style="1" customWidth="1"/>
    <col min="14600" max="14600" width="11.85546875" style="1" customWidth="1"/>
    <col min="14601" max="14601" width="6.140625" style="1" customWidth="1"/>
    <col min="14602" max="14602" width="29.28515625" style="1" customWidth="1"/>
    <col min="14603" max="14603" width="17.5703125" style="1" customWidth="1"/>
    <col min="14604" max="14604" width="8.85546875" style="1" customWidth="1"/>
    <col min="14605" max="14605" width="13.85546875" style="1" customWidth="1"/>
    <col min="14606" max="14606" width="23.28515625" style="1" customWidth="1"/>
    <col min="14607" max="14607" width="13.28515625" style="1" customWidth="1"/>
    <col min="14608" max="14608" width="4.7109375" style="1" customWidth="1"/>
    <col min="14609" max="14609" width="5.7109375" style="1" customWidth="1"/>
    <col min="14610" max="14610" width="13.85546875" style="1" bestFit="1" customWidth="1"/>
    <col min="14611" max="14611" width="14.140625" style="1" customWidth="1"/>
    <col min="14612" max="14849" width="9.140625" style="1"/>
    <col min="14850" max="14850" width="56.28515625" style="1" customWidth="1"/>
    <col min="14851" max="14852" width="19.7109375" style="1" customWidth="1"/>
    <col min="14853" max="14853" width="17.85546875" style="1" customWidth="1"/>
    <col min="14854" max="14854" width="6.5703125" style="1" customWidth="1"/>
    <col min="14855" max="14855" width="11.5703125" style="1" customWidth="1"/>
    <col min="14856" max="14856" width="11.85546875" style="1" customWidth="1"/>
    <col min="14857" max="14857" width="6.140625" style="1" customWidth="1"/>
    <col min="14858" max="14858" width="29.28515625" style="1" customWidth="1"/>
    <col min="14859" max="14859" width="17.5703125" style="1" customWidth="1"/>
    <col min="14860" max="14860" width="8.85546875" style="1" customWidth="1"/>
    <col min="14861" max="14861" width="13.85546875" style="1" customWidth="1"/>
    <col min="14862" max="14862" width="23.28515625" style="1" customWidth="1"/>
    <col min="14863" max="14863" width="13.28515625" style="1" customWidth="1"/>
    <col min="14864" max="14864" width="4.7109375" style="1" customWidth="1"/>
    <col min="14865" max="14865" width="5.7109375" style="1" customWidth="1"/>
    <col min="14866" max="14866" width="13.85546875" style="1" bestFit="1" customWidth="1"/>
    <col min="14867" max="14867" width="14.140625" style="1" customWidth="1"/>
    <col min="14868" max="15105" width="9.140625" style="1"/>
    <col min="15106" max="15106" width="56.28515625" style="1" customWidth="1"/>
    <col min="15107" max="15108" width="19.7109375" style="1" customWidth="1"/>
    <col min="15109" max="15109" width="17.85546875" style="1" customWidth="1"/>
    <col min="15110" max="15110" width="6.5703125" style="1" customWidth="1"/>
    <col min="15111" max="15111" width="11.5703125" style="1" customWidth="1"/>
    <col min="15112" max="15112" width="11.85546875" style="1" customWidth="1"/>
    <col min="15113" max="15113" width="6.140625" style="1" customWidth="1"/>
    <col min="15114" max="15114" width="29.28515625" style="1" customWidth="1"/>
    <col min="15115" max="15115" width="17.5703125" style="1" customWidth="1"/>
    <col min="15116" max="15116" width="8.85546875" style="1" customWidth="1"/>
    <col min="15117" max="15117" width="13.85546875" style="1" customWidth="1"/>
    <col min="15118" max="15118" width="23.28515625" style="1" customWidth="1"/>
    <col min="15119" max="15119" width="13.28515625" style="1" customWidth="1"/>
    <col min="15120" max="15120" width="4.7109375" style="1" customWidth="1"/>
    <col min="15121" max="15121" width="5.7109375" style="1" customWidth="1"/>
    <col min="15122" max="15122" width="13.85546875" style="1" bestFit="1" customWidth="1"/>
    <col min="15123" max="15123" width="14.140625" style="1" customWidth="1"/>
    <col min="15124" max="15361" width="9.140625" style="1"/>
    <col min="15362" max="15362" width="56.28515625" style="1" customWidth="1"/>
    <col min="15363" max="15364" width="19.7109375" style="1" customWidth="1"/>
    <col min="15365" max="15365" width="17.85546875" style="1" customWidth="1"/>
    <col min="15366" max="15366" width="6.5703125" style="1" customWidth="1"/>
    <col min="15367" max="15367" width="11.5703125" style="1" customWidth="1"/>
    <col min="15368" max="15368" width="11.85546875" style="1" customWidth="1"/>
    <col min="15369" max="15369" width="6.140625" style="1" customWidth="1"/>
    <col min="15370" max="15370" width="29.28515625" style="1" customWidth="1"/>
    <col min="15371" max="15371" width="17.5703125" style="1" customWidth="1"/>
    <col min="15372" max="15372" width="8.85546875" style="1" customWidth="1"/>
    <col min="15373" max="15373" width="13.85546875" style="1" customWidth="1"/>
    <col min="15374" max="15374" width="23.28515625" style="1" customWidth="1"/>
    <col min="15375" max="15375" width="13.28515625" style="1" customWidth="1"/>
    <col min="15376" max="15376" width="4.7109375" style="1" customWidth="1"/>
    <col min="15377" max="15377" width="5.7109375" style="1" customWidth="1"/>
    <col min="15378" max="15378" width="13.85546875" style="1" bestFit="1" customWidth="1"/>
    <col min="15379" max="15379" width="14.140625" style="1" customWidth="1"/>
    <col min="15380" max="15617" width="9.140625" style="1"/>
    <col min="15618" max="15618" width="56.28515625" style="1" customWidth="1"/>
    <col min="15619" max="15620" width="19.7109375" style="1" customWidth="1"/>
    <col min="15621" max="15621" width="17.85546875" style="1" customWidth="1"/>
    <col min="15622" max="15622" width="6.5703125" style="1" customWidth="1"/>
    <col min="15623" max="15623" width="11.5703125" style="1" customWidth="1"/>
    <col min="15624" max="15624" width="11.85546875" style="1" customWidth="1"/>
    <col min="15625" max="15625" width="6.140625" style="1" customWidth="1"/>
    <col min="15626" max="15626" width="29.28515625" style="1" customWidth="1"/>
    <col min="15627" max="15627" width="17.5703125" style="1" customWidth="1"/>
    <col min="15628" max="15628" width="8.85546875" style="1" customWidth="1"/>
    <col min="15629" max="15629" width="13.85546875" style="1" customWidth="1"/>
    <col min="15630" max="15630" width="23.28515625" style="1" customWidth="1"/>
    <col min="15631" max="15631" width="13.28515625" style="1" customWidth="1"/>
    <col min="15632" max="15632" width="4.7109375" style="1" customWidth="1"/>
    <col min="15633" max="15633" width="5.7109375" style="1" customWidth="1"/>
    <col min="15634" max="15634" width="13.85546875" style="1" bestFit="1" customWidth="1"/>
    <col min="15635" max="15635" width="14.140625" style="1" customWidth="1"/>
    <col min="15636" max="15873" width="9.140625" style="1"/>
    <col min="15874" max="15874" width="56.28515625" style="1" customWidth="1"/>
    <col min="15875" max="15876" width="19.7109375" style="1" customWidth="1"/>
    <col min="15877" max="15877" width="17.85546875" style="1" customWidth="1"/>
    <col min="15878" max="15878" width="6.5703125" style="1" customWidth="1"/>
    <col min="15879" max="15879" width="11.5703125" style="1" customWidth="1"/>
    <col min="15880" max="15880" width="11.85546875" style="1" customWidth="1"/>
    <col min="15881" max="15881" width="6.140625" style="1" customWidth="1"/>
    <col min="15882" max="15882" width="29.28515625" style="1" customWidth="1"/>
    <col min="15883" max="15883" width="17.5703125" style="1" customWidth="1"/>
    <col min="15884" max="15884" width="8.85546875" style="1" customWidth="1"/>
    <col min="15885" max="15885" width="13.85546875" style="1" customWidth="1"/>
    <col min="15886" max="15886" width="23.28515625" style="1" customWidth="1"/>
    <col min="15887" max="15887" width="13.28515625" style="1" customWidth="1"/>
    <col min="15888" max="15888" width="4.7109375" style="1" customWidth="1"/>
    <col min="15889" max="15889" width="5.7109375" style="1" customWidth="1"/>
    <col min="15890" max="15890" width="13.85546875" style="1" bestFit="1" customWidth="1"/>
    <col min="15891" max="15891" width="14.140625" style="1" customWidth="1"/>
    <col min="15892" max="16129" width="9.140625" style="1"/>
    <col min="16130" max="16130" width="56.28515625" style="1" customWidth="1"/>
    <col min="16131" max="16132" width="19.7109375" style="1" customWidth="1"/>
    <col min="16133" max="16133" width="17.85546875" style="1" customWidth="1"/>
    <col min="16134" max="16134" width="6.5703125" style="1" customWidth="1"/>
    <col min="16135" max="16135" width="11.5703125" style="1" customWidth="1"/>
    <col min="16136" max="16136" width="11.85546875" style="1" customWidth="1"/>
    <col min="16137" max="16137" width="6.140625" style="1" customWidth="1"/>
    <col min="16138" max="16138" width="29.28515625" style="1" customWidth="1"/>
    <col min="16139" max="16139" width="17.5703125" style="1" customWidth="1"/>
    <col min="16140" max="16140" width="8.85546875" style="1" customWidth="1"/>
    <col min="16141" max="16141" width="13.85546875" style="1" customWidth="1"/>
    <col min="16142" max="16142" width="23.28515625" style="1" customWidth="1"/>
    <col min="16143" max="16143" width="13.28515625" style="1" customWidth="1"/>
    <col min="16144" max="16144" width="4.7109375" style="1" customWidth="1"/>
    <col min="16145" max="16145" width="5.7109375" style="1" customWidth="1"/>
    <col min="16146" max="16146" width="13.85546875" style="1" bestFit="1" customWidth="1"/>
    <col min="16147" max="16147" width="14.140625" style="1" customWidth="1"/>
    <col min="16148" max="16384" width="9.140625" style="1"/>
  </cols>
  <sheetData>
    <row r="1" spans="1:19" ht="13.5" thickBot="1" x14ac:dyDescent="0.25">
      <c r="B1" s="21"/>
      <c r="C1" s="21" t="s">
        <v>0</v>
      </c>
      <c r="D1" s="21"/>
      <c r="E1" s="21"/>
    </row>
    <row r="2" spans="1:19" x14ac:dyDescent="0.2">
      <c r="A2" s="96" t="s">
        <v>1</v>
      </c>
      <c r="B2" s="73" t="s">
        <v>2</v>
      </c>
      <c r="C2" s="73" t="s">
        <v>6</v>
      </c>
      <c r="D2" s="221" t="s">
        <v>202</v>
      </c>
      <c r="E2" s="222"/>
      <c r="N2" s="41" t="s">
        <v>12</v>
      </c>
    </row>
    <row r="3" spans="1:19" ht="13.5" thickBot="1" x14ac:dyDescent="0.25">
      <c r="A3" s="97"/>
      <c r="B3" s="22">
        <v>2014</v>
      </c>
      <c r="C3" s="22">
        <v>2014</v>
      </c>
      <c r="D3" s="22">
        <v>236</v>
      </c>
      <c r="E3" s="22" t="s">
        <v>203</v>
      </c>
      <c r="F3" s="41" t="s">
        <v>111</v>
      </c>
      <c r="G3" s="64" t="s">
        <v>110</v>
      </c>
      <c r="H3" s="64" t="s">
        <v>217</v>
      </c>
      <c r="I3" s="64" t="s">
        <v>218</v>
      </c>
      <c r="J3" s="113" t="s">
        <v>205</v>
      </c>
    </row>
    <row r="4" spans="1:19" ht="13.5" thickBot="1" x14ac:dyDescent="0.25">
      <c r="A4" s="23" t="s">
        <v>3</v>
      </c>
      <c r="B4" s="45">
        <f>SUM(B5:B10)</f>
        <v>12995</v>
      </c>
      <c r="C4" s="45">
        <f>SUM(C5:C10)</f>
        <v>219828</v>
      </c>
      <c r="D4" s="59">
        <f>SUM(D5:D10)</f>
        <v>12995000</v>
      </c>
      <c r="E4" s="59">
        <f>SUM(E5:E11)</f>
        <v>-206832598.26999998</v>
      </c>
      <c r="F4" s="68">
        <f>SUM(F5:F10)</f>
        <v>219827598.26999998</v>
      </c>
      <c r="G4" s="69"/>
      <c r="H4" s="69"/>
      <c r="I4" s="69"/>
      <c r="J4" s="69">
        <f>SUM(J5:J11)</f>
        <v>206832598.26999998</v>
      </c>
      <c r="N4" s="2">
        <f>1532113671.98-4106.68</f>
        <v>1532109565.3</v>
      </c>
      <c r="O4" s="3" t="s">
        <v>13</v>
      </c>
      <c r="R4" s="2">
        <v>432831833.73000002</v>
      </c>
    </row>
    <row r="5" spans="1:19" x14ac:dyDescent="0.2">
      <c r="A5" s="24" t="s">
        <v>7</v>
      </c>
      <c r="B5" s="46">
        <v>12995</v>
      </c>
      <c r="C5" s="47">
        <v>12995</v>
      </c>
      <c r="D5" s="56">
        <v>12995000</v>
      </c>
      <c r="E5" s="56">
        <f>D5-F5</f>
        <v>0</v>
      </c>
      <c r="F5" s="2">
        <v>12995000</v>
      </c>
      <c r="G5" s="60"/>
      <c r="H5" s="60"/>
      <c r="I5" s="60"/>
      <c r="J5" s="111">
        <f>SUM(G5:I5)</f>
        <v>0</v>
      </c>
      <c r="N5" s="2">
        <f>-F9-F10</f>
        <v>-138491664.57999998</v>
      </c>
      <c r="O5" s="3" t="s">
        <v>18</v>
      </c>
      <c r="R5" s="2">
        <v>420755000</v>
      </c>
    </row>
    <row r="6" spans="1:19" x14ac:dyDescent="0.2">
      <c r="A6" s="24" t="s">
        <v>126</v>
      </c>
      <c r="B6" s="48"/>
      <c r="C6" s="49">
        <v>418</v>
      </c>
      <c r="D6" s="8"/>
      <c r="E6" s="8">
        <f t="shared" ref="E6:E11" si="0">D6-F6</f>
        <v>-4089794.69</v>
      </c>
      <c r="F6" s="32">
        <f>F32+F35</f>
        <v>4089794.69</v>
      </c>
      <c r="G6" s="109">
        <f>SUM(F22:$F$30)-F24</f>
        <v>313110.24</v>
      </c>
      <c r="H6" s="62">
        <f>$F$24</f>
        <v>104706.72</v>
      </c>
      <c r="I6" s="62"/>
      <c r="J6" s="111">
        <f t="shared" ref="J6:J11" si="1">SUM(G6:I6)</f>
        <v>417816.95999999996</v>
      </c>
      <c r="N6" s="2">
        <v>50000000</v>
      </c>
      <c r="O6" s="3" t="s">
        <v>19</v>
      </c>
      <c r="R6" s="2"/>
    </row>
    <row r="7" spans="1:19" x14ac:dyDescent="0.2">
      <c r="A7" s="24" t="s">
        <v>216</v>
      </c>
      <c r="B7" s="48"/>
      <c r="C7" s="49">
        <v>3672</v>
      </c>
      <c r="D7" s="8"/>
      <c r="E7" s="8"/>
      <c r="F7" s="32"/>
      <c r="G7" s="60"/>
      <c r="H7" s="71">
        <f>$F$35</f>
        <v>3671977.73</v>
      </c>
      <c r="I7" s="63"/>
      <c r="J7" s="111">
        <f>SUM(G7:I7)</f>
        <v>3671977.73</v>
      </c>
      <c r="N7" s="2"/>
      <c r="O7" s="3" t="s">
        <v>24</v>
      </c>
      <c r="R7" s="12">
        <f>R4-R5</f>
        <v>12076833.730000019</v>
      </c>
      <c r="S7" s="87" t="s">
        <v>182</v>
      </c>
    </row>
    <row r="8" spans="1:19" x14ac:dyDescent="0.2">
      <c r="A8" s="24" t="s">
        <v>181</v>
      </c>
      <c r="B8" s="48"/>
      <c r="C8" s="49">
        <v>64251</v>
      </c>
      <c r="D8" s="8"/>
      <c r="E8" s="8">
        <f t="shared" si="0"/>
        <v>-64251139</v>
      </c>
      <c r="F8" s="32">
        <f>I35</f>
        <v>64251139</v>
      </c>
      <c r="G8" s="63"/>
      <c r="H8" s="121">
        <f>$I$35</f>
        <v>64251139</v>
      </c>
      <c r="I8" s="63"/>
      <c r="J8" s="111">
        <f t="shared" si="1"/>
        <v>64251139</v>
      </c>
      <c r="N8" s="12">
        <f>SUM(N4:N6)</f>
        <v>1443617900.72</v>
      </c>
      <c r="O8" s="1" t="s">
        <v>26</v>
      </c>
    </row>
    <row r="9" spans="1:19" ht="25.5" x14ac:dyDescent="0.2">
      <c r="A9" s="100" t="s">
        <v>183</v>
      </c>
      <c r="B9" s="48"/>
      <c r="C9" s="49">
        <v>50000</v>
      </c>
      <c r="D9" s="8"/>
      <c r="E9" s="8">
        <f t="shared" si="0"/>
        <v>-50000000</v>
      </c>
      <c r="F9" s="32">
        <v>50000000</v>
      </c>
      <c r="G9" s="61"/>
      <c r="H9" s="63">
        <f>F9</f>
        <v>50000000</v>
      </c>
      <c r="I9" s="63"/>
      <c r="J9" s="111">
        <f t="shared" si="1"/>
        <v>50000000</v>
      </c>
      <c r="R9" s="2">
        <v>430147750.26999998</v>
      </c>
    </row>
    <row r="10" spans="1:19" x14ac:dyDescent="0.2">
      <c r="A10" s="24" t="s">
        <v>186</v>
      </c>
      <c r="B10" s="48"/>
      <c r="C10" s="49">
        <v>88492</v>
      </c>
      <c r="D10" s="8"/>
      <c r="E10" s="8">
        <f t="shared" si="0"/>
        <v>-88491664.579999998</v>
      </c>
      <c r="F10" s="32">
        <v>88491664.579999998</v>
      </c>
      <c r="G10" s="60"/>
      <c r="H10" s="63">
        <v>88491664.579999998</v>
      </c>
      <c r="I10" s="63"/>
      <c r="J10" s="111">
        <f t="shared" si="1"/>
        <v>88491664.579999998</v>
      </c>
      <c r="N10" s="42"/>
      <c r="O10" s="43" t="s">
        <v>29</v>
      </c>
      <c r="R10" s="2">
        <v>398067000</v>
      </c>
    </row>
    <row r="11" spans="1:19" ht="13.5" thickBot="1" x14ac:dyDescent="0.25">
      <c r="A11" s="24"/>
      <c r="B11" s="48"/>
      <c r="C11" s="48"/>
      <c r="D11" s="57"/>
      <c r="E11" s="57">
        <f t="shared" si="0"/>
        <v>0</v>
      </c>
      <c r="F11" s="32"/>
      <c r="G11" s="60"/>
      <c r="H11" s="62"/>
      <c r="I11" s="62"/>
      <c r="J11" s="111">
        <f t="shared" si="1"/>
        <v>0</v>
      </c>
      <c r="N11" s="2">
        <v>339030000</v>
      </c>
      <c r="O11" s="43" t="s">
        <v>188</v>
      </c>
      <c r="R11" s="2"/>
    </row>
    <row r="12" spans="1:19" ht="13.5" thickBot="1" x14ac:dyDescent="0.25">
      <c r="A12" s="23" t="s">
        <v>4</v>
      </c>
      <c r="B12" s="50">
        <f>SUM(B13:B16)</f>
        <v>0</v>
      </c>
      <c r="C12" s="50">
        <f>SUM(C13:C16)</f>
        <v>206833</v>
      </c>
      <c r="D12" s="58">
        <f>SUM(D13:D16)</f>
        <v>0</v>
      </c>
      <c r="E12" s="58">
        <f>SUM(E13:E16)</f>
        <v>-206832598.26999998</v>
      </c>
      <c r="F12" s="68">
        <f>SUM(F13:F15)</f>
        <v>206832598.26999998</v>
      </c>
      <c r="G12" s="69"/>
      <c r="H12" s="110"/>
      <c r="I12" s="110"/>
      <c r="J12" s="110">
        <f>SUM(J13:J16)</f>
        <v>206832598.26999998</v>
      </c>
      <c r="N12" s="2">
        <f>425738000-N11</f>
        <v>86708000</v>
      </c>
      <c r="O12" s="43" t="s">
        <v>190</v>
      </c>
      <c r="R12" s="12">
        <f>R9-R10</f>
        <v>32080750.269999981</v>
      </c>
      <c r="S12" s="88" t="s">
        <v>102</v>
      </c>
    </row>
    <row r="13" spans="1:19" x14ac:dyDescent="0.2">
      <c r="A13" s="24" t="s">
        <v>189</v>
      </c>
      <c r="B13" s="48"/>
      <c r="C13" s="48">
        <f>119721-C14</f>
        <v>1848</v>
      </c>
      <c r="D13" s="57"/>
      <c r="E13" s="56">
        <f>D13-F13</f>
        <v>-1847678.67</v>
      </c>
      <c r="F13" s="32">
        <f>I26+I33</f>
        <v>1847678.67</v>
      </c>
      <c r="G13" s="62"/>
      <c r="H13" s="116">
        <f>$I$26+$I$33</f>
        <v>1847678.67</v>
      </c>
      <c r="I13" s="62"/>
      <c r="J13" s="112">
        <f>SUM(G13:I13)</f>
        <v>1847678.67</v>
      </c>
      <c r="N13" s="2"/>
      <c r="O13" s="43" t="s">
        <v>32</v>
      </c>
    </row>
    <row r="14" spans="1:19" x14ac:dyDescent="0.2">
      <c r="A14" s="24" t="s">
        <v>215</v>
      </c>
      <c r="B14" s="48"/>
      <c r="C14" s="48">
        <v>117873</v>
      </c>
      <c r="D14" s="57"/>
      <c r="E14" s="57">
        <f>D14-F14</f>
        <v>-117872639.03</v>
      </c>
      <c r="F14" s="32">
        <f>$F$36</f>
        <v>117872639.03</v>
      </c>
      <c r="G14" s="62"/>
      <c r="H14" s="115">
        <f>$F$36-$B$37</f>
        <v>112500155.46000001</v>
      </c>
      <c r="I14" s="115">
        <f>$B$37</f>
        <v>5372483.5700000003</v>
      </c>
      <c r="J14" s="112">
        <f>SUM(G14:I14)</f>
        <v>117872639.03</v>
      </c>
      <c r="N14" s="2">
        <v>184400</v>
      </c>
      <c r="O14" s="3" t="s">
        <v>34</v>
      </c>
    </row>
    <row r="15" spans="1:19" x14ac:dyDescent="0.2">
      <c r="A15" s="31" t="s">
        <v>191</v>
      </c>
      <c r="B15" s="48"/>
      <c r="C15" s="48">
        <v>87112</v>
      </c>
      <c r="D15" s="57"/>
      <c r="E15" s="8">
        <f t="shared" ref="E15:E16" si="2">D15-F15</f>
        <v>-87112280.569999993</v>
      </c>
      <c r="F15" s="32">
        <f>C25</f>
        <v>87112280.569999993</v>
      </c>
      <c r="G15" s="62"/>
      <c r="H15" s="119">
        <f>$C$25</f>
        <v>87112280.569999993</v>
      </c>
      <c r="I15" s="62"/>
      <c r="J15" s="112">
        <f t="shared" ref="J15:J16" si="3">SUM(G15:I15)</f>
        <v>87112280.569999993</v>
      </c>
      <c r="N15" s="2">
        <v>2519431</v>
      </c>
      <c r="O15" s="3" t="s">
        <v>23</v>
      </c>
      <c r="R15" s="2">
        <v>386929136.86000001</v>
      </c>
    </row>
    <row r="16" spans="1:19" ht="13.5" thickBot="1" x14ac:dyDescent="0.25">
      <c r="A16" s="24"/>
      <c r="B16" s="48"/>
      <c r="C16" s="48"/>
      <c r="D16" s="57"/>
      <c r="E16" s="57">
        <f t="shared" si="2"/>
        <v>0</v>
      </c>
      <c r="F16" s="32"/>
      <c r="G16" s="62"/>
      <c r="H16" s="62"/>
      <c r="I16" s="62"/>
      <c r="J16" s="112">
        <f t="shared" si="3"/>
        <v>0</v>
      </c>
      <c r="N16" s="2">
        <v>340646.96</v>
      </c>
      <c r="O16" s="3" t="s">
        <v>105</v>
      </c>
      <c r="R16" s="2">
        <f>407328209-150000</f>
        <v>407178209</v>
      </c>
    </row>
    <row r="17" spans="1:19" ht="13.5" thickBot="1" x14ac:dyDescent="0.25">
      <c r="A17" s="23" t="s">
        <v>5</v>
      </c>
      <c r="B17" s="50">
        <f>+B4-B12</f>
        <v>12995</v>
      </c>
      <c r="C17" s="50">
        <f>+C4-C12</f>
        <v>12995</v>
      </c>
      <c r="D17" s="58">
        <f>+D4-D12</f>
        <v>12995000</v>
      </c>
      <c r="E17" s="58">
        <f>+E4-E12</f>
        <v>0</v>
      </c>
      <c r="F17" s="68">
        <f>F4-F12</f>
        <v>12995000</v>
      </c>
      <c r="G17" s="69"/>
      <c r="H17" s="69"/>
      <c r="I17" s="69"/>
      <c r="J17" s="69">
        <f>J4-J12</f>
        <v>0</v>
      </c>
      <c r="N17" s="2"/>
      <c r="O17" s="3"/>
      <c r="R17" s="2"/>
    </row>
    <row r="18" spans="1:19" x14ac:dyDescent="0.2">
      <c r="A18" s="33"/>
      <c r="B18" s="34"/>
      <c r="C18" s="35"/>
      <c r="D18" s="35"/>
      <c r="E18" s="35"/>
      <c r="F18" s="2"/>
      <c r="G18" s="2"/>
      <c r="H18" s="2"/>
      <c r="I18" s="2"/>
      <c r="J18" s="2"/>
      <c r="N18" s="52">
        <f>N8-N11-N12-N14-N15-N16-N17</f>
        <v>1014835422.76</v>
      </c>
      <c r="O18" s="52" t="s">
        <v>36</v>
      </c>
      <c r="R18" s="12">
        <f>R15-R16</f>
        <v>-20249072.139999986</v>
      </c>
      <c r="S18" s="88" t="s">
        <v>35</v>
      </c>
    </row>
    <row r="19" spans="1:19" ht="13.5" thickBot="1" x14ac:dyDescent="0.25">
      <c r="A19" s="20" t="s">
        <v>106</v>
      </c>
      <c r="B19" s="35"/>
      <c r="C19" s="36"/>
      <c r="D19" s="36"/>
      <c r="E19" s="36"/>
      <c r="F19" s="2"/>
      <c r="G19" s="2"/>
      <c r="H19" s="2"/>
      <c r="I19" s="2"/>
      <c r="J19" s="2"/>
      <c r="N19" s="42"/>
      <c r="P19" s="44"/>
      <c r="R19" s="2"/>
    </row>
    <row r="20" spans="1:19" ht="13.5" thickBot="1" x14ac:dyDescent="0.25">
      <c r="A20" s="37"/>
      <c r="B20" s="35"/>
      <c r="M20" s="53" t="s">
        <v>38</v>
      </c>
      <c r="N20" s="53">
        <f>N18</f>
        <v>1014835422.76</v>
      </c>
      <c r="O20" s="54" t="s">
        <v>36</v>
      </c>
      <c r="R20" s="2">
        <v>354570951.39999998</v>
      </c>
    </row>
    <row r="21" spans="1:19" ht="13.5" thickBot="1" x14ac:dyDescent="0.25">
      <c r="A21" s="21" t="s">
        <v>214</v>
      </c>
      <c r="B21" s="35" t="s">
        <v>40</v>
      </c>
      <c r="C21" s="11">
        <f>74807269.69+8240000+450000+140000+280683.5</f>
        <v>83917953.189999998</v>
      </c>
      <c r="D21" s="55"/>
      <c r="E21" s="4" t="s">
        <v>180</v>
      </c>
      <c r="F21" s="5" t="s">
        <v>14</v>
      </c>
      <c r="G21" s="6"/>
      <c r="H21" s="4" t="s">
        <v>180</v>
      </c>
      <c r="I21" s="5" t="s">
        <v>15</v>
      </c>
      <c r="R21" s="2">
        <v>323463605</v>
      </c>
    </row>
    <row r="22" spans="1:19" x14ac:dyDescent="0.2">
      <c r="B22" s="1" t="s">
        <v>41</v>
      </c>
      <c r="C22" s="32">
        <f>2145000+489435.47+4104</f>
        <v>2638539.4699999997</v>
      </c>
      <c r="D22" s="36"/>
      <c r="E22" s="7" t="s">
        <v>16</v>
      </c>
      <c r="F22" s="102">
        <f>10838.5</f>
        <v>10838.5</v>
      </c>
      <c r="G22" s="6"/>
      <c r="H22" s="25" t="s">
        <v>100</v>
      </c>
      <c r="I22" s="9">
        <v>430</v>
      </c>
      <c r="J22" s="1" t="s">
        <v>101</v>
      </c>
      <c r="N22" s="42"/>
      <c r="R22" s="2"/>
    </row>
    <row r="23" spans="1:19" x14ac:dyDescent="0.2">
      <c r="A23" s="39"/>
      <c r="B23" s="39" t="s">
        <v>42</v>
      </c>
      <c r="C23" s="99">
        <v>555787.91</v>
      </c>
      <c r="D23" s="36"/>
      <c r="E23" s="7" t="s">
        <v>17</v>
      </c>
      <c r="F23" s="102">
        <v>12597</v>
      </c>
      <c r="G23" s="6"/>
      <c r="H23" s="27" t="s">
        <v>21</v>
      </c>
      <c r="I23" s="9">
        <f>772036.17</f>
        <v>772036.17</v>
      </c>
      <c r="J23" s="1" t="s">
        <v>22</v>
      </c>
      <c r="M23" s="20"/>
      <c r="N23" s="42">
        <v>214447060</v>
      </c>
      <c r="O23" s="15">
        <v>2012</v>
      </c>
      <c r="R23" s="12">
        <f>R20-R21</f>
        <v>31107346.399999976</v>
      </c>
      <c r="S23" s="88" t="s">
        <v>39</v>
      </c>
    </row>
    <row r="24" spans="1:19" x14ac:dyDescent="0.2">
      <c r="A24" s="39"/>
      <c r="B24" s="39" t="s">
        <v>43</v>
      </c>
      <c r="C24" s="26">
        <v>0</v>
      </c>
      <c r="D24" s="11"/>
      <c r="E24" s="7" t="s">
        <v>204</v>
      </c>
      <c r="F24" s="8">
        <v>104706.72</v>
      </c>
      <c r="G24" s="6"/>
      <c r="H24" s="27" t="s">
        <v>184</v>
      </c>
      <c r="I24" s="9">
        <v>104706.72</v>
      </c>
      <c r="J24" s="1" t="s">
        <v>185</v>
      </c>
      <c r="N24" s="42"/>
      <c r="O24" s="15"/>
    </row>
    <row r="25" spans="1:19" ht="13.5" thickBot="1" x14ac:dyDescent="0.25">
      <c r="C25" s="118">
        <f>SUM(C21:C24)</f>
        <v>87112280.569999993</v>
      </c>
      <c r="D25" s="32"/>
      <c r="E25" s="7" t="s">
        <v>20</v>
      </c>
      <c r="F25" s="67">
        <f>42234</f>
        <v>42234</v>
      </c>
      <c r="G25" s="6"/>
      <c r="H25" s="27" t="s">
        <v>103</v>
      </c>
      <c r="I25" s="9">
        <v>1000</v>
      </c>
      <c r="J25" s="1" t="s">
        <v>187</v>
      </c>
      <c r="N25" s="89">
        <f>N20-N23</f>
        <v>800388362.75999999</v>
      </c>
      <c r="O25" s="90">
        <v>2013</v>
      </c>
      <c r="R25" s="91">
        <f>R23+R18+R12</f>
        <v>42939024.529999971</v>
      </c>
      <c r="S25" s="88" t="s">
        <v>196</v>
      </c>
    </row>
    <row r="26" spans="1:19" ht="13.5" thickBot="1" x14ac:dyDescent="0.25">
      <c r="D26" s="99"/>
      <c r="E26" s="7" t="s">
        <v>23</v>
      </c>
      <c r="F26" s="101">
        <f>2719+52+7181.6+22100+15861+21484</f>
        <v>69397.600000000006</v>
      </c>
      <c r="G26" s="6"/>
      <c r="H26" s="30"/>
      <c r="I26" s="117">
        <f>SUM(I22:I25)</f>
        <v>878172.89</v>
      </c>
      <c r="R26" s="92">
        <f>R25+R7</f>
        <v>55015858.25999999</v>
      </c>
      <c r="S26" s="87" t="s">
        <v>198</v>
      </c>
    </row>
    <row r="27" spans="1:19" ht="13.5" thickBot="1" x14ac:dyDescent="0.25">
      <c r="D27" s="26"/>
      <c r="E27" s="25" t="s">
        <v>25</v>
      </c>
      <c r="F27" s="106">
        <f>30000+100+20000+20000</f>
        <v>70100</v>
      </c>
      <c r="G27" s="6"/>
      <c r="H27" s="10"/>
      <c r="I27" s="11"/>
      <c r="N27" s="42">
        <v>0</v>
      </c>
      <c r="O27" s="15">
        <v>2014</v>
      </c>
    </row>
    <row r="28" spans="1:19" ht="13.5" thickBot="1" x14ac:dyDescent="0.25">
      <c r="E28" s="25" t="s">
        <v>27</v>
      </c>
      <c r="F28" s="103">
        <f>16609+456+3504.4+10000+9737+568</f>
        <v>40874.400000000001</v>
      </c>
      <c r="G28" s="6"/>
      <c r="H28" s="4" t="s">
        <v>180</v>
      </c>
      <c r="I28" s="5" t="s">
        <v>28</v>
      </c>
      <c r="N28" s="42"/>
    </row>
    <row r="29" spans="1:19" x14ac:dyDescent="0.2">
      <c r="D29" s="2"/>
      <c r="E29" s="25" t="s">
        <v>192</v>
      </c>
      <c r="F29" s="104">
        <v>15700</v>
      </c>
      <c r="G29" s="6"/>
      <c r="H29" s="29" t="s">
        <v>30</v>
      </c>
      <c r="I29" s="9">
        <f>297293.04+159330.94</f>
        <v>456623.98</v>
      </c>
      <c r="J29" s="51">
        <v>5331</v>
      </c>
    </row>
    <row r="30" spans="1:19" x14ac:dyDescent="0.2">
      <c r="E30" s="25" t="s">
        <v>193</v>
      </c>
      <c r="F30" s="104">
        <v>51368.74</v>
      </c>
      <c r="G30" s="6"/>
      <c r="H30" s="27" t="s">
        <v>31</v>
      </c>
      <c r="I30" s="9">
        <v>84558.5</v>
      </c>
      <c r="J30" s="51">
        <v>5331</v>
      </c>
      <c r="N30" s="93">
        <f>N23</f>
        <v>214447060</v>
      </c>
      <c r="O30" s="94" t="s">
        <v>199</v>
      </c>
    </row>
    <row r="31" spans="1:19" ht="13.5" thickBot="1" x14ac:dyDescent="0.25">
      <c r="E31" s="29" t="s">
        <v>104</v>
      </c>
      <c r="F31" s="9"/>
      <c r="G31" s="6"/>
      <c r="H31" s="27" t="s">
        <v>33</v>
      </c>
      <c r="I31" s="9">
        <f>124109.5+193.8+87185+59190+1650+42100+166</f>
        <v>314594.3</v>
      </c>
      <c r="J31" s="51">
        <v>5331</v>
      </c>
      <c r="N31" s="93">
        <f>SUM(N25:N28)</f>
        <v>800388362.75999999</v>
      </c>
      <c r="O31" s="94" t="s">
        <v>200</v>
      </c>
    </row>
    <row r="32" spans="1:19" ht="13.5" thickBot="1" x14ac:dyDescent="0.25">
      <c r="A32" s="21" t="s">
        <v>212</v>
      </c>
      <c r="B32" s="142">
        <v>1071770.83</v>
      </c>
      <c r="C32" s="1" t="s">
        <v>206</v>
      </c>
      <c r="E32" s="13"/>
      <c r="F32" s="14">
        <f>SUM(F22:F31)</f>
        <v>417816.96</v>
      </c>
      <c r="G32" s="6"/>
      <c r="H32" s="27" t="s">
        <v>194</v>
      </c>
      <c r="I32" s="9">
        <f>113729</f>
        <v>113729</v>
      </c>
      <c r="J32" s="51">
        <v>5331</v>
      </c>
      <c r="N32" s="95">
        <f>SUM(N30:N31)</f>
        <v>1014835422.76</v>
      </c>
      <c r="O32" s="15" t="s">
        <v>201</v>
      </c>
    </row>
    <row r="33" spans="1:9" ht="13.5" thickBot="1" x14ac:dyDescent="0.25">
      <c r="B33" s="145">
        <v>126747.2</v>
      </c>
      <c r="C33" s="144" t="s">
        <v>104</v>
      </c>
      <c r="E33" s="6"/>
      <c r="F33" s="32"/>
      <c r="G33" s="6"/>
      <c r="H33" s="38"/>
      <c r="I33" s="117">
        <f>SUM(I29:I32)</f>
        <v>969505.78</v>
      </c>
    </row>
    <row r="34" spans="1:9" ht="13.5" thickBot="1" x14ac:dyDescent="0.25">
      <c r="B34" s="145">
        <f>430+944593.63</f>
        <v>945023.63</v>
      </c>
      <c r="C34" s="144" t="s">
        <v>211</v>
      </c>
      <c r="E34" s="16" t="s">
        <v>37</v>
      </c>
      <c r="F34" s="17" t="s">
        <v>180</v>
      </c>
      <c r="G34" s="6"/>
    </row>
    <row r="35" spans="1:9" x14ac:dyDescent="0.2">
      <c r="B35" s="142">
        <v>2600206.9</v>
      </c>
      <c r="C35" s="1" t="s">
        <v>207</v>
      </c>
      <c r="E35" s="18">
        <v>2226</v>
      </c>
      <c r="F35" s="70">
        <f>430+944593.63+126747.2+1648909.52+80000+613.88+870683.5</f>
        <v>3671977.73</v>
      </c>
      <c r="G35" s="6"/>
      <c r="H35" s="2" t="s">
        <v>44</v>
      </c>
      <c r="I35" s="120">
        <v>64251139</v>
      </c>
    </row>
    <row r="36" spans="1:9" ht="13.5" thickBot="1" x14ac:dyDescent="0.25">
      <c r="A36" s="21" t="s">
        <v>213</v>
      </c>
      <c r="B36" s="141">
        <v>5580717.0300000003</v>
      </c>
      <c r="C36" s="1" t="s">
        <v>208</v>
      </c>
      <c r="E36" s="19">
        <v>5367</v>
      </c>
      <c r="F36" s="114">
        <f>64251139+48040783+208233.46+5372483.57</f>
        <v>117872639.03</v>
      </c>
      <c r="G36" s="6"/>
      <c r="H36" s="2" t="s">
        <v>45</v>
      </c>
      <c r="I36" s="11">
        <f>(144422283+101002217-325245-763456-10791992+4264170+2395940)*0.2-0.4</f>
        <v>48040783.000000007</v>
      </c>
    </row>
    <row r="37" spans="1:9" x14ac:dyDescent="0.2">
      <c r="B37" s="143">
        <v>5372483.5700000003</v>
      </c>
      <c r="C37" s="144" t="s">
        <v>104</v>
      </c>
      <c r="E37" s="2"/>
    </row>
    <row r="38" spans="1:9" x14ac:dyDescent="0.2">
      <c r="B38" s="143">
        <v>208233.46</v>
      </c>
      <c r="C38" s="144" t="s">
        <v>210</v>
      </c>
    </row>
    <row r="39" spans="1:9" x14ac:dyDescent="0.2">
      <c r="B39" s="141">
        <v>112291922</v>
      </c>
      <c r="C39" s="1" t="s">
        <v>209</v>
      </c>
      <c r="I39" s="1" t="s">
        <v>195</v>
      </c>
    </row>
    <row r="40" spans="1:9" x14ac:dyDescent="0.2">
      <c r="I40" s="1" t="s">
        <v>197</v>
      </c>
    </row>
    <row r="42" spans="1:9" x14ac:dyDescent="0.2">
      <c r="B42" s="1">
        <v>5207261.3099999996</v>
      </c>
    </row>
    <row r="43" spans="1:9" x14ac:dyDescent="0.2">
      <c r="B43" s="2">
        <f>B42-B37</f>
        <v>-165222.26000000071</v>
      </c>
      <c r="C43" s="2">
        <f>B43+B33</f>
        <v>-38475.060000000711</v>
      </c>
      <c r="E43" s="2"/>
    </row>
  </sheetData>
  <mergeCells count="1">
    <mergeCell ref="D2:E2"/>
  </mergeCells>
  <printOptions horizontalCentered="1"/>
  <pageMargins left="0.77" right="0.6" top="0.98425196850393704" bottom="0.98425196850393704" header="0.51181102362204722" footer="0.51181102362204722"/>
  <pageSetup paperSize="9" scale="9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3"/>
  <sheetViews>
    <sheetView workbookViewId="0">
      <pane xSplit="15" ySplit="1" topLeftCell="P53" activePane="bottomRight" state="frozen"/>
      <selection activeCell="C27" sqref="C27:E28"/>
      <selection pane="topRight" activeCell="C27" sqref="C27:E28"/>
      <selection pane="bottomLeft" activeCell="C27" sqref="C27:E28"/>
      <selection pane="bottomRight" activeCell="C27" sqref="C27:E28"/>
    </sheetView>
  </sheetViews>
  <sheetFormatPr defaultRowHeight="12.75" x14ac:dyDescent="0.2"/>
  <cols>
    <col min="1" max="1" width="5" style="1" bestFit="1" customWidth="1"/>
    <col min="2" max="2" width="4.140625" style="1" bestFit="1" customWidth="1"/>
    <col min="3" max="3" width="6" style="1" bestFit="1" customWidth="1"/>
    <col min="4" max="4" width="2.140625" style="1" bestFit="1" customWidth="1"/>
    <col min="5" max="5" width="2.5703125" style="1" bestFit="1" customWidth="1"/>
    <col min="6" max="6" width="3" style="1" bestFit="1" customWidth="1"/>
    <col min="7" max="7" width="5.5703125" style="1" bestFit="1" customWidth="1"/>
    <col min="8" max="8" width="7" style="1" bestFit="1" customWidth="1"/>
    <col min="9" max="9" width="4" style="1" bestFit="1" customWidth="1"/>
    <col min="10" max="10" width="5" style="1" bestFit="1" customWidth="1"/>
    <col min="11" max="11" width="7" style="1" bestFit="1" customWidth="1"/>
    <col min="12" max="12" width="5" style="1" bestFit="1" customWidth="1"/>
    <col min="13" max="13" width="4" style="1" bestFit="1" customWidth="1"/>
    <col min="14" max="14" width="10" style="1" bestFit="1" customWidth="1"/>
    <col min="15" max="15" width="11" style="1" bestFit="1" customWidth="1"/>
    <col min="16" max="16" width="14.140625" style="1" bestFit="1" customWidth="1"/>
    <col min="17" max="17" width="16.7109375" style="1" customWidth="1"/>
    <col min="18" max="18" width="13.42578125" style="1" bestFit="1" customWidth="1"/>
    <col min="19" max="19" width="17.28515625" style="1" customWidth="1"/>
    <col min="20" max="20" width="28.28515625" style="1" bestFit="1" customWidth="1"/>
    <col min="21" max="21" width="7.5703125" style="1" bestFit="1" customWidth="1"/>
    <col min="22" max="22" width="7.28515625" style="1" bestFit="1" customWidth="1"/>
    <col min="23" max="23" width="3" style="1" bestFit="1" customWidth="1"/>
    <col min="24" max="24" width="14.42578125" style="1" bestFit="1" customWidth="1"/>
    <col min="25" max="25" width="11.85546875" style="1" bestFit="1" customWidth="1"/>
    <col min="26" max="26" width="6.85546875" style="1" bestFit="1" customWidth="1"/>
    <col min="27" max="27" width="7" style="1" bestFit="1" customWidth="1"/>
    <col min="28" max="28" width="6.28515625" style="1" bestFit="1" customWidth="1"/>
    <col min="29" max="29" width="11.7109375" style="1" bestFit="1" customWidth="1"/>
    <col min="30" max="16384" width="9.140625" style="1"/>
  </cols>
  <sheetData>
    <row r="1" spans="1:29" x14ac:dyDescent="0.2">
      <c r="A1" s="74" t="s">
        <v>49</v>
      </c>
      <c r="B1" s="74" t="s">
        <v>50</v>
      </c>
      <c r="C1" s="74" t="s">
        <v>51</v>
      </c>
      <c r="D1" s="74" t="s">
        <v>52</v>
      </c>
      <c r="E1" s="74" t="s">
        <v>53</v>
      </c>
      <c r="F1" s="74" t="s">
        <v>54</v>
      </c>
      <c r="G1" s="74" t="s">
        <v>127</v>
      </c>
      <c r="H1" s="74" t="s">
        <v>55</v>
      </c>
      <c r="I1" s="74" t="s">
        <v>56</v>
      </c>
      <c r="J1" s="74" t="s">
        <v>57</v>
      </c>
      <c r="K1" s="74" t="s">
        <v>58</v>
      </c>
      <c r="L1" s="74" t="s">
        <v>59</v>
      </c>
      <c r="M1" s="74" t="s">
        <v>60</v>
      </c>
      <c r="N1" s="74" t="s">
        <v>61</v>
      </c>
      <c r="O1" s="74" t="s">
        <v>62</v>
      </c>
      <c r="P1" s="74" t="s">
        <v>63</v>
      </c>
      <c r="Q1" s="74" t="s">
        <v>64</v>
      </c>
      <c r="R1" s="74" t="s">
        <v>65</v>
      </c>
      <c r="S1" s="74" t="s">
        <v>66</v>
      </c>
      <c r="T1" s="74" t="s">
        <v>67</v>
      </c>
      <c r="U1" s="74" t="s">
        <v>68</v>
      </c>
      <c r="V1" s="74" t="s">
        <v>69</v>
      </c>
      <c r="W1" s="74" t="s">
        <v>70</v>
      </c>
      <c r="X1" s="74" t="s">
        <v>71</v>
      </c>
      <c r="Y1" s="74" t="s">
        <v>72</v>
      </c>
      <c r="Z1" s="74" t="s">
        <v>73</v>
      </c>
      <c r="AA1" s="74" t="s">
        <v>74</v>
      </c>
      <c r="AB1" s="74" t="s">
        <v>75</v>
      </c>
      <c r="AC1" s="74" t="s">
        <v>76</v>
      </c>
    </row>
    <row r="2" spans="1:29" x14ac:dyDescent="0.2">
      <c r="A2" s="3" t="s">
        <v>77</v>
      </c>
      <c r="B2" s="3" t="s">
        <v>78</v>
      </c>
      <c r="C2" s="3" t="s">
        <v>79</v>
      </c>
      <c r="D2" s="1">
        <v>1</v>
      </c>
      <c r="E2" s="1">
        <v>1</v>
      </c>
      <c r="F2" s="1">
        <v>1</v>
      </c>
      <c r="G2" s="3" t="s">
        <v>128</v>
      </c>
      <c r="H2" s="3" t="s">
        <v>129</v>
      </c>
      <c r="I2" s="3" t="s">
        <v>81</v>
      </c>
      <c r="J2" s="3" t="s">
        <v>82</v>
      </c>
      <c r="K2" s="3" t="s">
        <v>112</v>
      </c>
      <c r="L2" s="3" t="s">
        <v>120</v>
      </c>
      <c r="M2" s="3" t="s">
        <v>85</v>
      </c>
      <c r="N2" s="3" t="s">
        <v>130</v>
      </c>
      <c r="O2" s="3" t="s">
        <v>131</v>
      </c>
      <c r="P2" s="3" t="s">
        <v>86</v>
      </c>
      <c r="Q2" s="2">
        <v>12995000</v>
      </c>
      <c r="R2" s="2">
        <v>0</v>
      </c>
      <c r="S2" s="2">
        <v>12995000</v>
      </c>
      <c r="W2" s="1">
        <v>0</v>
      </c>
      <c r="Y2" s="75">
        <v>41703</v>
      </c>
      <c r="Z2" s="1" t="s">
        <v>121</v>
      </c>
    </row>
    <row r="3" spans="1:29" x14ac:dyDescent="0.2">
      <c r="A3" s="3" t="s">
        <v>77</v>
      </c>
      <c r="B3" s="3" t="s">
        <v>78</v>
      </c>
      <c r="C3" s="3" t="s">
        <v>79</v>
      </c>
      <c r="D3" s="1">
        <v>0</v>
      </c>
      <c r="E3" s="1">
        <v>1</v>
      </c>
      <c r="F3" s="1">
        <v>8</v>
      </c>
      <c r="G3" s="3" t="s">
        <v>128</v>
      </c>
      <c r="H3" s="3" t="s">
        <v>80</v>
      </c>
      <c r="I3" s="3" t="s">
        <v>81</v>
      </c>
      <c r="J3" s="3" t="s">
        <v>82</v>
      </c>
      <c r="K3" s="3" t="s">
        <v>83</v>
      </c>
      <c r="L3" s="3" t="s">
        <v>84</v>
      </c>
      <c r="M3" s="3" t="s">
        <v>85</v>
      </c>
      <c r="N3" s="3" t="s">
        <v>132</v>
      </c>
      <c r="O3" s="3" t="s">
        <v>133</v>
      </c>
      <c r="P3" s="3" t="s">
        <v>86</v>
      </c>
      <c r="Q3" s="72">
        <v>456</v>
      </c>
      <c r="R3" s="72">
        <v>0</v>
      </c>
      <c r="S3" s="72">
        <v>456</v>
      </c>
      <c r="T3" s="3" t="s">
        <v>134</v>
      </c>
      <c r="W3" s="1">
        <v>0</v>
      </c>
      <c r="X3" s="3" t="s">
        <v>135</v>
      </c>
      <c r="Y3" s="75">
        <v>41676</v>
      </c>
      <c r="Z3" s="1" t="s">
        <v>87</v>
      </c>
    </row>
    <row r="4" spans="1:29" x14ac:dyDescent="0.2">
      <c r="A4" s="3" t="s">
        <v>77</v>
      </c>
      <c r="B4" s="3" t="s">
        <v>78</v>
      </c>
      <c r="C4" s="3" t="s">
        <v>79</v>
      </c>
      <c r="D4" s="1">
        <v>0</v>
      </c>
      <c r="E4" s="1">
        <v>1</v>
      </c>
      <c r="F4" s="1">
        <v>10</v>
      </c>
      <c r="G4" s="3" t="s">
        <v>128</v>
      </c>
      <c r="H4" s="3" t="s">
        <v>88</v>
      </c>
      <c r="I4" s="3" t="s">
        <v>81</v>
      </c>
      <c r="J4" s="3" t="s">
        <v>82</v>
      </c>
      <c r="K4" s="3" t="s">
        <v>83</v>
      </c>
      <c r="L4" s="3" t="s">
        <v>84</v>
      </c>
      <c r="M4" s="3" t="s">
        <v>85</v>
      </c>
      <c r="N4" s="3" t="s">
        <v>132</v>
      </c>
      <c r="O4" s="3" t="s">
        <v>133</v>
      </c>
      <c r="P4" s="3" t="s">
        <v>86</v>
      </c>
      <c r="Q4" s="107">
        <v>100</v>
      </c>
      <c r="R4" s="107">
        <v>0</v>
      </c>
      <c r="S4" s="107">
        <v>100</v>
      </c>
      <c r="T4" s="3" t="s">
        <v>134</v>
      </c>
      <c r="W4" s="1">
        <v>0</v>
      </c>
      <c r="X4" s="3" t="s">
        <v>136</v>
      </c>
      <c r="Y4" s="75">
        <v>41676</v>
      </c>
      <c r="Z4" s="1" t="s">
        <v>87</v>
      </c>
    </row>
    <row r="5" spans="1:29" x14ac:dyDescent="0.2">
      <c r="A5" s="3" t="s">
        <v>77</v>
      </c>
      <c r="B5" s="3" t="s">
        <v>78</v>
      </c>
      <c r="C5" s="3" t="s">
        <v>79</v>
      </c>
      <c r="D5" s="1">
        <v>0</v>
      </c>
      <c r="E5" s="1">
        <v>1</v>
      </c>
      <c r="F5" s="1">
        <v>10</v>
      </c>
      <c r="G5" s="3" t="s">
        <v>128</v>
      </c>
      <c r="H5" s="3" t="s">
        <v>89</v>
      </c>
      <c r="I5" s="3" t="s">
        <v>81</v>
      </c>
      <c r="J5" s="3" t="s">
        <v>82</v>
      </c>
      <c r="K5" s="3" t="s">
        <v>83</v>
      </c>
      <c r="L5" s="3" t="s">
        <v>84</v>
      </c>
      <c r="M5" s="3" t="s">
        <v>85</v>
      </c>
      <c r="N5" s="3" t="s">
        <v>132</v>
      </c>
      <c r="O5" s="3" t="s">
        <v>133</v>
      </c>
      <c r="P5" s="3" t="s">
        <v>86</v>
      </c>
      <c r="Q5" s="107">
        <v>20000</v>
      </c>
      <c r="R5" s="107">
        <v>0</v>
      </c>
      <c r="S5" s="107">
        <v>20000</v>
      </c>
      <c r="T5" s="3" t="s">
        <v>137</v>
      </c>
      <c r="W5" s="1">
        <v>0</v>
      </c>
      <c r="X5" s="3" t="s">
        <v>138</v>
      </c>
      <c r="Y5" s="75">
        <v>41676</v>
      </c>
      <c r="Z5" s="1" t="s">
        <v>87</v>
      </c>
    </row>
    <row r="6" spans="1:29" x14ac:dyDescent="0.2">
      <c r="A6" s="3" t="s">
        <v>77</v>
      </c>
      <c r="B6" s="3" t="s">
        <v>78</v>
      </c>
      <c r="C6" s="3" t="s">
        <v>79</v>
      </c>
      <c r="D6" s="1">
        <v>0</v>
      </c>
      <c r="E6" s="1">
        <v>1</v>
      </c>
      <c r="F6" s="1">
        <v>13</v>
      </c>
      <c r="G6" s="3" t="s">
        <v>128</v>
      </c>
      <c r="H6" s="3" t="s">
        <v>91</v>
      </c>
      <c r="I6" s="3" t="s">
        <v>81</v>
      </c>
      <c r="J6" s="3" t="s">
        <v>82</v>
      </c>
      <c r="K6" s="3" t="s">
        <v>83</v>
      </c>
      <c r="L6" s="3" t="s">
        <v>84</v>
      </c>
      <c r="M6" s="3" t="s">
        <v>85</v>
      </c>
      <c r="N6" s="3" t="s">
        <v>132</v>
      </c>
      <c r="O6" s="3" t="s">
        <v>133</v>
      </c>
      <c r="P6" s="3" t="s">
        <v>86</v>
      </c>
      <c r="Q6" s="76">
        <v>15700</v>
      </c>
      <c r="R6" s="76">
        <v>0</v>
      </c>
      <c r="S6" s="76">
        <v>15700</v>
      </c>
      <c r="T6" s="3" t="s">
        <v>139</v>
      </c>
      <c r="W6" s="1">
        <v>0</v>
      </c>
      <c r="X6" s="3" t="s">
        <v>140</v>
      </c>
      <c r="Y6" s="75">
        <v>41676</v>
      </c>
      <c r="Z6" s="1" t="s">
        <v>87</v>
      </c>
    </row>
    <row r="7" spans="1:29" x14ac:dyDescent="0.2">
      <c r="A7" s="3" t="s">
        <v>77</v>
      </c>
      <c r="B7" s="3" t="s">
        <v>78</v>
      </c>
      <c r="C7" s="3" t="s">
        <v>79</v>
      </c>
      <c r="D7" s="1">
        <v>0</v>
      </c>
      <c r="E7" s="1">
        <v>1</v>
      </c>
      <c r="F7" s="1">
        <v>14</v>
      </c>
      <c r="G7" s="3" t="s">
        <v>128</v>
      </c>
      <c r="H7" s="3" t="s">
        <v>92</v>
      </c>
      <c r="I7" s="3" t="s">
        <v>81</v>
      </c>
      <c r="J7" s="3" t="s">
        <v>82</v>
      </c>
      <c r="K7" s="3" t="s">
        <v>83</v>
      </c>
      <c r="L7" s="3" t="s">
        <v>84</v>
      </c>
      <c r="M7" s="3" t="s">
        <v>85</v>
      </c>
      <c r="N7" s="3" t="s">
        <v>132</v>
      </c>
      <c r="O7" s="3" t="s">
        <v>133</v>
      </c>
      <c r="P7" s="3" t="s">
        <v>86</v>
      </c>
      <c r="Q7" s="105">
        <v>21484</v>
      </c>
      <c r="R7" s="105">
        <v>0</v>
      </c>
      <c r="S7" s="105">
        <v>21484</v>
      </c>
      <c r="T7" s="3" t="s">
        <v>141</v>
      </c>
      <c r="W7" s="1">
        <v>0</v>
      </c>
      <c r="X7" s="3" t="s">
        <v>142</v>
      </c>
      <c r="Y7" s="75">
        <v>41676</v>
      </c>
      <c r="Z7" s="1" t="s">
        <v>87</v>
      </c>
    </row>
    <row r="8" spans="1:29" x14ac:dyDescent="0.2">
      <c r="A8" s="3" t="s">
        <v>77</v>
      </c>
      <c r="B8" s="3" t="s">
        <v>78</v>
      </c>
      <c r="C8" s="3" t="s">
        <v>79</v>
      </c>
      <c r="D8" s="1">
        <v>0</v>
      </c>
      <c r="E8" s="1">
        <v>1</v>
      </c>
      <c r="F8" s="1">
        <v>15</v>
      </c>
      <c r="G8" s="3" t="s">
        <v>128</v>
      </c>
      <c r="H8" s="3" t="s">
        <v>93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132</v>
      </c>
      <c r="O8" s="3" t="s">
        <v>133</v>
      </c>
      <c r="P8" s="3" t="s">
        <v>86</v>
      </c>
      <c r="Q8" s="72">
        <v>10000</v>
      </c>
      <c r="R8" s="72">
        <v>0</v>
      </c>
      <c r="S8" s="72">
        <v>10000</v>
      </c>
      <c r="T8" s="3" t="s">
        <v>143</v>
      </c>
      <c r="W8" s="1">
        <v>0</v>
      </c>
      <c r="X8" s="3" t="s">
        <v>144</v>
      </c>
      <c r="Y8" s="75">
        <v>41676</v>
      </c>
      <c r="Z8" s="1" t="s">
        <v>87</v>
      </c>
    </row>
    <row r="9" spans="1:29" x14ac:dyDescent="0.2">
      <c r="A9" s="3" t="s">
        <v>77</v>
      </c>
      <c r="B9" s="3" t="s">
        <v>78</v>
      </c>
      <c r="C9" s="3" t="s">
        <v>79</v>
      </c>
      <c r="D9" s="1">
        <v>0</v>
      </c>
      <c r="E9" s="1">
        <v>1</v>
      </c>
      <c r="F9" s="1">
        <v>15</v>
      </c>
      <c r="G9" s="3" t="s">
        <v>128</v>
      </c>
      <c r="H9" s="3" t="s">
        <v>94</v>
      </c>
      <c r="I9" s="3" t="s">
        <v>81</v>
      </c>
      <c r="J9" s="3" t="s">
        <v>82</v>
      </c>
      <c r="K9" s="3" t="s">
        <v>83</v>
      </c>
      <c r="L9" s="3" t="s">
        <v>84</v>
      </c>
      <c r="M9" s="3" t="s">
        <v>85</v>
      </c>
      <c r="N9" s="3" t="s">
        <v>132</v>
      </c>
      <c r="O9" s="3" t="s">
        <v>133</v>
      </c>
      <c r="P9" s="3" t="s">
        <v>86</v>
      </c>
      <c r="Q9" s="105">
        <v>22100</v>
      </c>
      <c r="R9" s="105">
        <v>0</v>
      </c>
      <c r="S9" s="105">
        <v>22100</v>
      </c>
      <c r="T9" s="3" t="s">
        <v>107</v>
      </c>
      <c r="W9" s="1">
        <v>0</v>
      </c>
      <c r="X9" s="3" t="s">
        <v>145</v>
      </c>
      <c r="Y9" s="75">
        <v>41676</v>
      </c>
      <c r="Z9" s="1" t="s">
        <v>87</v>
      </c>
    </row>
    <row r="10" spans="1:29" x14ac:dyDescent="0.2">
      <c r="A10" s="3" t="s">
        <v>77</v>
      </c>
      <c r="B10" s="3" t="s">
        <v>78</v>
      </c>
      <c r="C10" s="3" t="s">
        <v>79</v>
      </c>
      <c r="D10" s="1">
        <v>0</v>
      </c>
      <c r="E10" s="1">
        <v>1</v>
      </c>
      <c r="F10" s="1">
        <v>15</v>
      </c>
      <c r="G10" s="3" t="s">
        <v>128</v>
      </c>
      <c r="H10" s="3" t="s">
        <v>95</v>
      </c>
      <c r="I10" s="3" t="s">
        <v>81</v>
      </c>
      <c r="J10" s="3" t="s">
        <v>82</v>
      </c>
      <c r="K10" s="3" t="s">
        <v>83</v>
      </c>
      <c r="L10" s="3" t="s">
        <v>84</v>
      </c>
      <c r="M10" s="3" t="s">
        <v>85</v>
      </c>
      <c r="N10" s="3" t="s">
        <v>132</v>
      </c>
      <c r="O10" s="3" t="s">
        <v>133</v>
      </c>
      <c r="P10" s="3" t="s">
        <v>86</v>
      </c>
      <c r="Q10" s="107">
        <v>30000</v>
      </c>
      <c r="R10" s="107">
        <v>0</v>
      </c>
      <c r="S10" s="107">
        <v>30000</v>
      </c>
      <c r="T10" s="3" t="s">
        <v>146</v>
      </c>
      <c r="W10" s="1">
        <v>0</v>
      </c>
      <c r="X10" s="3" t="s">
        <v>147</v>
      </c>
      <c r="Y10" s="75">
        <v>41676</v>
      </c>
      <c r="Z10" s="1" t="s">
        <v>87</v>
      </c>
    </row>
    <row r="11" spans="1:29" x14ac:dyDescent="0.2">
      <c r="A11" s="3" t="s">
        <v>77</v>
      </c>
      <c r="B11" s="3" t="s">
        <v>78</v>
      </c>
      <c r="C11" s="3" t="s">
        <v>79</v>
      </c>
      <c r="D11" s="1">
        <v>0</v>
      </c>
      <c r="E11" s="1">
        <v>1</v>
      </c>
      <c r="F11" s="1">
        <v>23</v>
      </c>
      <c r="G11" s="3" t="s">
        <v>128</v>
      </c>
      <c r="H11" s="3" t="s">
        <v>97</v>
      </c>
      <c r="I11" s="3" t="s">
        <v>81</v>
      </c>
      <c r="J11" s="3" t="s">
        <v>82</v>
      </c>
      <c r="K11" s="3" t="s">
        <v>83</v>
      </c>
      <c r="L11" s="3" t="s">
        <v>84</v>
      </c>
      <c r="M11" s="3" t="s">
        <v>85</v>
      </c>
      <c r="N11" s="3" t="s">
        <v>132</v>
      </c>
      <c r="O11" s="3" t="s">
        <v>133</v>
      </c>
      <c r="P11" s="3" t="s">
        <v>86</v>
      </c>
      <c r="Q11" s="72">
        <v>16609</v>
      </c>
      <c r="R11" s="72">
        <v>0</v>
      </c>
      <c r="S11" s="72">
        <v>16609</v>
      </c>
      <c r="T11" s="3" t="s">
        <v>148</v>
      </c>
      <c r="W11" s="1">
        <v>0</v>
      </c>
      <c r="X11" s="3" t="s">
        <v>149</v>
      </c>
      <c r="Y11" s="75">
        <v>41676</v>
      </c>
      <c r="Z11" s="1" t="s">
        <v>87</v>
      </c>
    </row>
    <row r="12" spans="1:29" x14ac:dyDescent="0.2">
      <c r="A12" s="3" t="s">
        <v>77</v>
      </c>
      <c r="B12" s="3" t="s">
        <v>78</v>
      </c>
      <c r="C12" s="3" t="s">
        <v>79</v>
      </c>
      <c r="D12" s="1">
        <v>0</v>
      </c>
      <c r="E12" s="1">
        <v>1</v>
      </c>
      <c r="F12" s="1">
        <v>23</v>
      </c>
      <c r="G12" s="3" t="s">
        <v>128</v>
      </c>
      <c r="H12" s="3" t="s">
        <v>98</v>
      </c>
      <c r="I12" s="3" t="s">
        <v>81</v>
      </c>
      <c r="J12" s="3" t="s">
        <v>82</v>
      </c>
      <c r="K12" s="3" t="s">
        <v>83</v>
      </c>
      <c r="L12" s="3" t="s">
        <v>84</v>
      </c>
      <c r="M12" s="3" t="s">
        <v>85</v>
      </c>
      <c r="N12" s="3" t="s">
        <v>132</v>
      </c>
      <c r="O12" s="3" t="s">
        <v>133</v>
      </c>
      <c r="P12" s="3" t="s">
        <v>86</v>
      </c>
      <c r="Q12" s="105">
        <v>7181.6</v>
      </c>
      <c r="R12" s="105">
        <v>0</v>
      </c>
      <c r="S12" s="105">
        <v>7181.6</v>
      </c>
      <c r="T12" s="3" t="s">
        <v>150</v>
      </c>
      <c r="W12" s="1">
        <v>0</v>
      </c>
      <c r="X12" s="3" t="s">
        <v>151</v>
      </c>
      <c r="Y12" s="75">
        <v>41676</v>
      </c>
      <c r="Z12" s="1" t="s">
        <v>87</v>
      </c>
    </row>
    <row r="13" spans="1:29" x14ac:dyDescent="0.2">
      <c r="A13" s="3" t="s">
        <v>77</v>
      </c>
      <c r="B13" s="3" t="s">
        <v>78</v>
      </c>
      <c r="C13" s="3" t="s">
        <v>79</v>
      </c>
      <c r="D13" s="1">
        <v>0</v>
      </c>
      <c r="E13" s="1">
        <v>1</v>
      </c>
      <c r="F13" s="1">
        <v>28</v>
      </c>
      <c r="G13" s="3" t="s">
        <v>128</v>
      </c>
      <c r="H13" s="3" t="s">
        <v>113</v>
      </c>
      <c r="I13" s="3" t="s">
        <v>81</v>
      </c>
      <c r="J13" s="3" t="s">
        <v>82</v>
      </c>
      <c r="K13" s="3" t="s">
        <v>83</v>
      </c>
      <c r="L13" s="3" t="s">
        <v>84</v>
      </c>
      <c r="M13" s="3" t="s">
        <v>85</v>
      </c>
      <c r="N13" s="3" t="s">
        <v>132</v>
      </c>
      <c r="O13" s="3" t="s">
        <v>133</v>
      </c>
      <c r="P13" s="3" t="s">
        <v>86</v>
      </c>
      <c r="Q13" s="105">
        <v>52</v>
      </c>
      <c r="R13" s="105">
        <v>0</v>
      </c>
      <c r="S13" s="105">
        <v>52</v>
      </c>
      <c r="T13" s="3" t="s">
        <v>90</v>
      </c>
      <c r="W13" s="1">
        <v>0</v>
      </c>
      <c r="X13" s="3" t="s">
        <v>152</v>
      </c>
      <c r="Y13" s="75">
        <v>41676</v>
      </c>
      <c r="Z13" s="1" t="s">
        <v>87</v>
      </c>
    </row>
    <row r="14" spans="1:29" x14ac:dyDescent="0.2">
      <c r="A14" s="3" t="s">
        <v>77</v>
      </c>
      <c r="B14" s="3" t="s">
        <v>78</v>
      </c>
      <c r="C14" s="3" t="s">
        <v>79</v>
      </c>
      <c r="D14" s="1">
        <v>0</v>
      </c>
      <c r="E14" s="1">
        <v>1</v>
      </c>
      <c r="F14" s="1">
        <v>28</v>
      </c>
      <c r="G14" s="3" t="s">
        <v>128</v>
      </c>
      <c r="H14" s="3" t="s">
        <v>116</v>
      </c>
      <c r="I14" s="3" t="s">
        <v>81</v>
      </c>
      <c r="J14" s="3" t="s">
        <v>82</v>
      </c>
      <c r="K14" s="3" t="s">
        <v>83</v>
      </c>
      <c r="L14" s="3" t="s">
        <v>84</v>
      </c>
      <c r="M14" s="3" t="s">
        <v>85</v>
      </c>
      <c r="N14" s="3" t="s">
        <v>132</v>
      </c>
      <c r="O14" s="3" t="s">
        <v>133</v>
      </c>
      <c r="P14" s="3" t="s">
        <v>86</v>
      </c>
      <c r="Q14" s="105">
        <v>2719</v>
      </c>
      <c r="R14" s="105">
        <v>0</v>
      </c>
      <c r="S14" s="105">
        <v>2719</v>
      </c>
      <c r="T14" s="3" t="s">
        <v>90</v>
      </c>
      <c r="W14" s="1">
        <v>0</v>
      </c>
      <c r="X14" s="3" t="s">
        <v>153</v>
      </c>
      <c r="Y14" s="75">
        <v>41676</v>
      </c>
      <c r="Z14" s="1" t="s">
        <v>87</v>
      </c>
    </row>
    <row r="15" spans="1:29" x14ac:dyDescent="0.2">
      <c r="A15" s="3" t="s">
        <v>77</v>
      </c>
      <c r="B15" s="3" t="s">
        <v>78</v>
      </c>
      <c r="C15" s="3" t="s">
        <v>79</v>
      </c>
      <c r="D15" s="1">
        <v>0</v>
      </c>
      <c r="E15" s="1">
        <v>1</v>
      </c>
      <c r="F15" s="1">
        <v>28</v>
      </c>
      <c r="G15" s="3" t="s">
        <v>128</v>
      </c>
      <c r="H15" s="3" t="s">
        <v>117</v>
      </c>
      <c r="I15" s="3" t="s">
        <v>81</v>
      </c>
      <c r="J15" s="3" t="s">
        <v>82</v>
      </c>
      <c r="K15" s="3" t="s">
        <v>83</v>
      </c>
      <c r="L15" s="3" t="s">
        <v>84</v>
      </c>
      <c r="M15" s="3" t="s">
        <v>85</v>
      </c>
      <c r="N15" s="3" t="s">
        <v>132</v>
      </c>
      <c r="O15" s="3" t="s">
        <v>133</v>
      </c>
      <c r="P15" s="3" t="s">
        <v>86</v>
      </c>
      <c r="Q15" s="72">
        <v>3504.4</v>
      </c>
      <c r="R15" s="72">
        <v>0</v>
      </c>
      <c r="S15" s="72">
        <v>3504.4</v>
      </c>
      <c r="T15" s="3" t="s">
        <v>154</v>
      </c>
      <c r="W15" s="1">
        <v>0</v>
      </c>
      <c r="X15" s="3" t="s">
        <v>155</v>
      </c>
      <c r="Y15" s="75">
        <v>41676</v>
      </c>
      <c r="Z15" s="1" t="s">
        <v>87</v>
      </c>
    </row>
    <row r="16" spans="1:29" x14ac:dyDescent="0.2">
      <c r="A16" s="3" t="s">
        <v>77</v>
      </c>
      <c r="B16" s="3" t="s">
        <v>78</v>
      </c>
      <c r="C16" s="3" t="s">
        <v>79</v>
      </c>
      <c r="D16" s="1">
        <v>0</v>
      </c>
      <c r="E16" s="1">
        <v>1</v>
      </c>
      <c r="F16" s="1">
        <v>29</v>
      </c>
      <c r="G16" s="3" t="s">
        <v>128</v>
      </c>
      <c r="H16" s="3" t="s">
        <v>123</v>
      </c>
      <c r="I16" s="3" t="s">
        <v>81</v>
      </c>
      <c r="J16" s="3" t="s">
        <v>82</v>
      </c>
      <c r="K16" s="3" t="s">
        <v>83</v>
      </c>
      <c r="L16" s="3" t="s">
        <v>84</v>
      </c>
      <c r="M16" s="3" t="s">
        <v>85</v>
      </c>
      <c r="N16" s="3" t="s">
        <v>132</v>
      </c>
      <c r="O16" s="3" t="s">
        <v>133</v>
      </c>
      <c r="P16" s="3" t="s">
        <v>86</v>
      </c>
      <c r="Q16" s="72">
        <v>9737</v>
      </c>
      <c r="R16" s="72">
        <v>0</v>
      </c>
      <c r="S16" s="72">
        <v>9737</v>
      </c>
      <c r="T16" s="3" t="s">
        <v>137</v>
      </c>
      <c r="W16" s="1">
        <v>0</v>
      </c>
      <c r="X16" s="3" t="s">
        <v>156</v>
      </c>
      <c r="Y16" s="75">
        <v>41676</v>
      </c>
      <c r="Z16" s="1" t="s">
        <v>87</v>
      </c>
    </row>
    <row r="17" spans="1:29" x14ac:dyDescent="0.2">
      <c r="A17" s="3" t="s">
        <v>77</v>
      </c>
      <c r="B17" s="3" t="s">
        <v>78</v>
      </c>
      <c r="C17" s="3" t="s">
        <v>79</v>
      </c>
      <c r="D17" s="1">
        <v>0</v>
      </c>
      <c r="E17" s="1">
        <v>1</v>
      </c>
      <c r="F17" s="1">
        <v>31</v>
      </c>
      <c r="G17" s="3" t="s">
        <v>128</v>
      </c>
      <c r="H17" s="3" t="s">
        <v>118</v>
      </c>
      <c r="I17" s="3" t="s">
        <v>81</v>
      </c>
      <c r="J17" s="3" t="s">
        <v>82</v>
      </c>
      <c r="K17" s="3" t="s">
        <v>83</v>
      </c>
      <c r="L17" s="3" t="s">
        <v>84</v>
      </c>
      <c r="M17" s="3" t="s">
        <v>85</v>
      </c>
      <c r="N17" s="3" t="s">
        <v>132</v>
      </c>
      <c r="O17" s="3" t="s">
        <v>133</v>
      </c>
      <c r="P17" s="3" t="s">
        <v>86</v>
      </c>
      <c r="Q17" s="77">
        <v>12597</v>
      </c>
      <c r="R17" s="77">
        <v>0</v>
      </c>
      <c r="S17" s="77">
        <v>12597</v>
      </c>
      <c r="T17" s="3" t="s">
        <v>99</v>
      </c>
      <c r="W17" s="1">
        <v>0</v>
      </c>
      <c r="X17" s="3" t="s">
        <v>157</v>
      </c>
      <c r="Y17" s="75">
        <v>41676</v>
      </c>
      <c r="Z17" s="1" t="s">
        <v>87</v>
      </c>
    </row>
    <row r="18" spans="1:29" x14ac:dyDescent="0.2">
      <c r="A18" s="3" t="s">
        <v>77</v>
      </c>
      <c r="B18" s="3" t="s">
        <v>78</v>
      </c>
      <c r="C18" s="3" t="s">
        <v>79</v>
      </c>
      <c r="D18" s="1">
        <v>0</v>
      </c>
      <c r="E18" s="1">
        <v>1</v>
      </c>
      <c r="F18" s="1">
        <v>31</v>
      </c>
      <c r="G18" s="3" t="s">
        <v>128</v>
      </c>
      <c r="H18" s="3" t="s">
        <v>124</v>
      </c>
      <c r="I18" s="3" t="s">
        <v>81</v>
      </c>
      <c r="J18" s="3" t="s">
        <v>82</v>
      </c>
      <c r="K18" s="3" t="s">
        <v>83</v>
      </c>
      <c r="L18" s="3" t="s">
        <v>84</v>
      </c>
      <c r="M18" s="3" t="s">
        <v>85</v>
      </c>
      <c r="N18" s="3" t="s">
        <v>132</v>
      </c>
      <c r="O18" s="3" t="s">
        <v>133</v>
      </c>
      <c r="P18" s="3" t="s">
        <v>86</v>
      </c>
      <c r="Q18" s="76">
        <v>51368.74</v>
      </c>
      <c r="R18" s="76">
        <v>0</v>
      </c>
      <c r="S18" s="76">
        <v>51368.74</v>
      </c>
      <c r="T18" s="3" t="s">
        <v>99</v>
      </c>
      <c r="W18" s="1">
        <v>0</v>
      </c>
      <c r="X18" s="3" t="s">
        <v>158</v>
      </c>
      <c r="Y18" s="75">
        <v>41676</v>
      </c>
      <c r="Z18" s="1" t="s">
        <v>87</v>
      </c>
    </row>
    <row r="19" spans="1:29" x14ac:dyDescent="0.2">
      <c r="A19" s="3" t="s">
        <v>77</v>
      </c>
      <c r="B19" s="3" t="s">
        <v>78</v>
      </c>
      <c r="C19" s="3" t="s">
        <v>79</v>
      </c>
      <c r="D19" s="1">
        <v>0</v>
      </c>
      <c r="E19" s="1">
        <v>2</v>
      </c>
      <c r="F19" s="1">
        <v>7</v>
      </c>
      <c r="G19" s="3" t="s">
        <v>128</v>
      </c>
      <c r="H19" s="3" t="s">
        <v>80</v>
      </c>
      <c r="I19" s="3" t="s">
        <v>81</v>
      </c>
      <c r="J19" s="3" t="s">
        <v>82</v>
      </c>
      <c r="K19" s="3" t="s">
        <v>83</v>
      </c>
      <c r="L19" s="3" t="s">
        <v>84</v>
      </c>
      <c r="M19" s="3" t="s">
        <v>85</v>
      </c>
      <c r="N19" s="3" t="s">
        <v>132</v>
      </c>
      <c r="O19" s="3" t="s">
        <v>133</v>
      </c>
      <c r="P19" s="3" t="s">
        <v>86</v>
      </c>
      <c r="Q19" s="105">
        <v>15861</v>
      </c>
      <c r="R19" s="105">
        <v>0</v>
      </c>
      <c r="S19" s="105">
        <v>15861</v>
      </c>
      <c r="T19" s="3" t="s">
        <v>159</v>
      </c>
      <c r="W19" s="1">
        <v>0</v>
      </c>
      <c r="X19" s="3" t="s">
        <v>160</v>
      </c>
      <c r="Y19" s="75">
        <v>41683</v>
      </c>
      <c r="Z19" s="1" t="s">
        <v>87</v>
      </c>
    </row>
    <row r="20" spans="1:29" x14ac:dyDescent="0.2">
      <c r="A20" s="3" t="s">
        <v>77</v>
      </c>
      <c r="B20" s="3" t="s">
        <v>78</v>
      </c>
      <c r="C20" s="3" t="s">
        <v>79</v>
      </c>
      <c r="D20" s="1">
        <v>0</v>
      </c>
      <c r="E20" s="1">
        <v>2</v>
      </c>
      <c r="F20" s="1">
        <v>12</v>
      </c>
      <c r="G20" s="3" t="s">
        <v>128</v>
      </c>
      <c r="H20" s="3" t="s">
        <v>88</v>
      </c>
      <c r="I20" s="3" t="s">
        <v>81</v>
      </c>
      <c r="J20" s="3" t="s">
        <v>82</v>
      </c>
      <c r="K20" s="3" t="s">
        <v>83</v>
      </c>
      <c r="L20" s="3" t="s">
        <v>84</v>
      </c>
      <c r="M20" s="3" t="s">
        <v>85</v>
      </c>
      <c r="N20" s="3" t="s">
        <v>132</v>
      </c>
      <c r="O20" s="3" t="s">
        <v>133</v>
      </c>
      <c r="P20" s="3" t="s">
        <v>86</v>
      </c>
      <c r="Q20" s="108">
        <v>42234</v>
      </c>
      <c r="R20" s="108">
        <v>0</v>
      </c>
      <c r="S20" s="108">
        <v>42234</v>
      </c>
      <c r="T20" s="3" t="s">
        <v>96</v>
      </c>
      <c r="W20" s="1">
        <v>0</v>
      </c>
      <c r="X20" s="3" t="s">
        <v>161</v>
      </c>
      <c r="Y20" s="75">
        <v>41683</v>
      </c>
      <c r="Z20" s="1" t="s">
        <v>87</v>
      </c>
    </row>
    <row r="21" spans="1:29" x14ac:dyDescent="0.2">
      <c r="A21" s="3" t="s">
        <v>77</v>
      </c>
      <c r="B21" s="3" t="s">
        <v>78</v>
      </c>
      <c r="C21" s="3" t="s">
        <v>79</v>
      </c>
      <c r="D21" s="1">
        <v>0</v>
      </c>
      <c r="E21" s="1">
        <v>2</v>
      </c>
      <c r="F21" s="1">
        <v>18</v>
      </c>
      <c r="G21" s="3" t="s">
        <v>128</v>
      </c>
      <c r="H21" s="3" t="s">
        <v>89</v>
      </c>
      <c r="I21" s="3" t="s">
        <v>81</v>
      </c>
      <c r="J21" s="3" t="s">
        <v>82</v>
      </c>
      <c r="K21" s="3" t="s">
        <v>83</v>
      </c>
      <c r="L21" s="3" t="s">
        <v>84</v>
      </c>
      <c r="M21" s="3" t="s">
        <v>85</v>
      </c>
      <c r="N21" s="3" t="s">
        <v>132</v>
      </c>
      <c r="O21" s="3" t="s">
        <v>133</v>
      </c>
      <c r="P21" s="3" t="s">
        <v>86</v>
      </c>
      <c r="Q21" s="77">
        <v>10838.5</v>
      </c>
      <c r="R21" s="77">
        <v>0</v>
      </c>
      <c r="S21" s="77">
        <v>10838.5</v>
      </c>
      <c r="T21" s="3" t="s">
        <v>162</v>
      </c>
      <c r="W21" s="1">
        <v>0</v>
      </c>
      <c r="X21" s="3" t="s">
        <v>163</v>
      </c>
      <c r="Y21" s="75">
        <v>41689</v>
      </c>
      <c r="Z21" s="1" t="s">
        <v>87</v>
      </c>
    </row>
    <row r="22" spans="1:29" x14ac:dyDescent="0.2">
      <c r="A22" s="3" t="s">
        <v>77</v>
      </c>
      <c r="B22" s="3" t="s">
        <v>78</v>
      </c>
      <c r="C22" s="3" t="s">
        <v>79</v>
      </c>
      <c r="D22" s="1">
        <v>0</v>
      </c>
      <c r="E22" s="1">
        <v>2</v>
      </c>
      <c r="F22" s="1">
        <v>18</v>
      </c>
      <c r="G22" s="3" t="s">
        <v>128</v>
      </c>
      <c r="H22" s="3" t="s">
        <v>91</v>
      </c>
      <c r="I22" s="3" t="s">
        <v>81</v>
      </c>
      <c r="J22" s="3" t="s">
        <v>82</v>
      </c>
      <c r="K22" s="3" t="s">
        <v>83</v>
      </c>
      <c r="L22" s="3" t="s">
        <v>84</v>
      </c>
      <c r="M22" s="3" t="s">
        <v>85</v>
      </c>
      <c r="N22" s="3" t="s">
        <v>132</v>
      </c>
      <c r="O22" s="3" t="s">
        <v>133</v>
      </c>
      <c r="P22" s="3" t="s">
        <v>86</v>
      </c>
      <c r="Q22" s="107">
        <v>20000</v>
      </c>
      <c r="R22" s="107">
        <v>0</v>
      </c>
      <c r="S22" s="107">
        <v>20000</v>
      </c>
      <c r="T22" s="3" t="s">
        <v>164</v>
      </c>
      <c r="W22" s="1">
        <v>0</v>
      </c>
      <c r="X22" s="3" t="s">
        <v>165</v>
      </c>
      <c r="Y22" s="75">
        <v>41689</v>
      </c>
      <c r="Z22" s="1" t="s">
        <v>87</v>
      </c>
    </row>
    <row r="23" spans="1:29" x14ac:dyDescent="0.2">
      <c r="A23" s="3" t="s">
        <v>77</v>
      </c>
      <c r="B23" s="3" t="s">
        <v>78</v>
      </c>
      <c r="C23" s="3" t="s">
        <v>79</v>
      </c>
      <c r="D23" s="1">
        <v>0</v>
      </c>
      <c r="E23" s="1">
        <v>3</v>
      </c>
      <c r="F23" s="1">
        <v>11</v>
      </c>
      <c r="G23" s="3" t="s">
        <v>128</v>
      </c>
      <c r="H23" s="3" t="s">
        <v>80</v>
      </c>
      <c r="I23" s="3" t="s">
        <v>81</v>
      </c>
      <c r="J23" s="3" t="s">
        <v>82</v>
      </c>
      <c r="K23" s="3" t="s">
        <v>83</v>
      </c>
      <c r="L23" s="3" t="s">
        <v>84</v>
      </c>
      <c r="M23" s="3" t="s">
        <v>85</v>
      </c>
      <c r="N23" s="3" t="s">
        <v>132</v>
      </c>
      <c r="O23" s="3" t="s">
        <v>133</v>
      </c>
      <c r="P23" s="3" t="s">
        <v>86</v>
      </c>
      <c r="Q23" s="72">
        <v>568</v>
      </c>
      <c r="R23" s="72">
        <v>0</v>
      </c>
      <c r="S23" s="72">
        <v>568</v>
      </c>
      <c r="T23" s="1" t="s">
        <v>166</v>
      </c>
      <c r="W23" s="1">
        <v>0</v>
      </c>
      <c r="X23" s="1" t="s">
        <v>167</v>
      </c>
      <c r="Y23" s="75">
        <v>41710</v>
      </c>
      <c r="Z23" s="1" t="s">
        <v>87</v>
      </c>
    </row>
    <row r="24" spans="1:29" x14ac:dyDescent="0.2">
      <c r="A24" s="3" t="s">
        <v>77</v>
      </c>
      <c r="B24" s="3" t="s">
        <v>78</v>
      </c>
      <c r="C24" s="3" t="s">
        <v>79</v>
      </c>
      <c r="D24" s="1">
        <v>0</v>
      </c>
      <c r="E24" s="1">
        <v>3</v>
      </c>
      <c r="F24" s="1">
        <v>24</v>
      </c>
      <c r="G24" s="3" t="s">
        <v>128</v>
      </c>
      <c r="H24" s="3" t="s">
        <v>88</v>
      </c>
      <c r="I24" s="3" t="s">
        <v>81</v>
      </c>
      <c r="J24" s="3" t="s">
        <v>82</v>
      </c>
      <c r="K24" s="3" t="s">
        <v>83</v>
      </c>
      <c r="L24" s="3" t="s">
        <v>84</v>
      </c>
      <c r="M24" s="3" t="s">
        <v>85</v>
      </c>
      <c r="N24" s="3" t="s">
        <v>132</v>
      </c>
      <c r="O24" s="3" t="s">
        <v>133</v>
      </c>
      <c r="P24" s="3" t="s">
        <v>86</v>
      </c>
      <c r="Q24" s="86">
        <v>20000</v>
      </c>
      <c r="R24" s="86">
        <v>0</v>
      </c>
      <c r="S24" s="86">
        <v>20000</v>
      </c>
      <c r="T24" s="1" t="s">
        <v>168</v>
      </c>
      <c r="W24" s="1">
        <v>0</v>
      </c>
      <c r="X24" s="1" t="s">
        <v>169</v>
      </c>
      <c r="Y24" s="75">
        <v>41724</v>
      </c>
      <c r="Z24" s="1" t="s">
        <v>87</v>
      </c>
    </row>
    <row r="25" spans="1:29" x14ac:dyDescent="0.2">
      <c r="A25" s="3" t="s">
        <v>77</v>
      </c>
      <c r="B25" s="3" t="s">
        <v>78</v>
      </c>
      <c r="C25" s="3" t="s">
        <v>79</v>
      </c>
      <c r="D25" s="1">
        <v>0</v>
      </c>
      <c r="E25" s="1">
        <v>3</v>
      </c>
      <c r="F25" s="1">
        <v>31</v>
      </c>
      <c r="G25" s="3" t="s">
        <v>128</v>
      </c>
      <c r="H25" s="3" t="s">
        <v>89</v>
      </c>
      <c r="I25" s="3" t="s">
        <v>81</v>
      </c>
      <c r="J25" s="3" t="s">
        <v>82</v>
      </c>
      <c r="K25" s="3" t="s">
        <v>83</v>
      </c>
      <c r="L25" s="3" t="s">
        <v>84</v>
      </c>
      <c r="M25" s="3" t="s">
        <v>85</v>
      </c>
      <c r="N25" s="3" t="s">
        <v>132</v>
      </c>
      <c r="O25" s="3" t="s">
        <v>133</v>
      </c>
      <c r="P25" s="3" t="s">
        <v>86</v>
      </c>
      <c r="Q25" s="86">
        <v>0</v>
      </c>
      <c r="R25" s="86">
        <v>20000</v>
      </c>
      <c r="S25" s="86">
        <v>-20000</v>
      </c>
      <c r="W25" s="1">
        <v>0</v>
      </c>
      <c r="X25" s="1" t="s">
        <v>170</v>
      </c>
      <c r="Y25" s="75">
        <v>41730</v>
      </c>
      <c r="Z25" s="1" t="s">
        <v>108</v>
      </c>
      <c r="AA25" s="1" t="s">
        <v>109</v>
      </c>
    </row>
    <row r="26" spans="1:29" x14ac:dyDescent="0.2">
      <c r="A26" s="3" t="s">
        <v>77</v>
      </c>
      <c r="B26" s="3" t="s">
        <v>78</v>
      </c>
      <c r="C26" s="3" t="s">
        <v>79</v>
      </c>
      <c r="D26" s="1">
        <v>0</v>
      </c>
      <c r="E26" s="1">
        <v>4</v>
      </c>
      <c r="F26" s="1">
        <v>3</v>
      </c>
      <c r="G26" s="3" t="s">
        <v>128</v>
      </c>
      <c r="H26" s="3" t="s">
        <v>80</v>
      </c>
      <c r="I26" s="3" t="s">
        <v>81</v>
      </c>
      <c r="J26" s="3" t="s">
        <v>82</v>
      </c>
      <c r="K26" s="3" t="s">
        <v>114</v>
      </c>
      <c r="L26" s="3" t="s">
        <v>115</v>
      </c>
      <c r="M26" s="3" t="s">
        <v>85</v>
      </c>
      <c r="N26" s="3" t="s">
        <v>130</v>
      </c>
      <c r="O26" s="3" t="s">
        <v>133</v>
      </c>
      <c r="P26" s="3" t="s">
        <v>86</v>
      </c>
      <c r="Q26" s="86">
        <v>29325</v>
      </c>
      <c r="R26" s="86">
        <v>0</v>
      </c>
      <c r="S26" s="86">
        <v>29325</v>
      </c>
      <c r="T26" s="1" t="s">
        <v>171</v>
      </c>
      <c r="W26" s="1">
        <v>0</v>
      </c>
      <c r="X26" s="1" t="s">
        <v>172</v>
      </c>
      <c r="Y26" s="75">
        <v>41736</v>
      </c>
      <c r="Z26" s="1" t="s">
        <v>87</v>
      </c>
    </row>
    <row r="27" spans="1:29" x14ac:dyDescent="0.2">
      <c r="A27" s="3" t="s">
        <v>77</v>
      </c>
      <c r="B27" s="3" t="s">
        <v>78</v>
      </c>
      <c r="C27" s="3" t="s">
        <v>79</v>
      </c>
      <c r="D27" s="1">
        <v>0</v>
      </c>
      <c r="E27" s="1">
        <v>4</v>
      </c>
      <c r="F27" s="1">
        <v>10</v>
      </c>
      <c r="G27" s="3" t="s">
        <v>128</v>
      </c>
      <c r="H27" s="3" t="s">
        <v>88</v>
      </c>
      <c r="I27" s="3" t="s">
        <v>81</v>
      </c>
      <c r="J27" s="3" t="s">
        <v>82</v>
      </c>
      <c r="K27" s="3" t="s">
        <v>114</v>
      </c>
      <c r="L27" s="3" t="s">
        <v>115</v>
      </c>
      <c r="M27" s="3" t="s">
        <v>85</v>
      </c>
      <c r="N27" s="3" t="s">
        <v>130</v>
      </c>
      <c r="O27" s="3" t="s">
        <v>133</v>
      </c>
      <c r="P27" s="3" t="s">
        <v>86</v>
      </c>
      <c r="Q27" s="86">
        <v>88413.25</v>
      </c>
      <c r="R27" s="86">
        <v>0</v>
      </c>
      <c r="S27" s="86">
        <v>88413.25</v>
      </c>
      <c r="T27" s="1" t="s">
        <v>173</v>
      </c>
      <c r="W27" s="1">
        <v>0</v>
      </c>
      <c r="X27" s="1" t="s">
        <v>174</v>
      </c>
      <c r="Y27" s="75">
        <v>41743</v>
      </c>
      <c r="Z27" s="1" t="s">
        <v>87</v>
      </c>
    </row>
    <row r="28" spans="1:29" x14ac:dyDescent="0.2">
      <c r="A28" s="3" t="s">
        <v>77</v>
      </c>
      <c r="B28" s="3" t="s">
        <v>78</v>
      </c>
      <c r="C28" s="3" t="s">
        <v>79</v>
      </c>
      <c r="D28" s="1">
        <v>0</v>
      </c>
      <c r="E28" s="1">
        <v>4</v>
      </c>
      <c r="F28" s="1">
        <v>15</v>
      </c>
      <c r="G28" s="3" t="s">
        <v>128</v>
      </c>
      <c r="H28" s="3" t="s">
        <v>89</v>
      </c>
      <c r="I28" s="3" t="s">
        <v>81</v>
      </c>
      <c r="J28" s="3" t="s">
        <v>82</v>
      </c>
      <c r="K28" s="3" t="s">
        <v>114</v>
      </c>
      <c r="L28" s="3" t="s">
        <v>115</v>
      </c>
      <c r="M28" s="3" t="s">
        <v>85</v>
      </c>
      <c r="N28" s="3" t="s">
        <v>130</v>
      </c>
      <c r="O28" s="3" t="s">
        <v>133</v>
      </c>
      <c r="P28" s="3" t="s">
        <v>86</v>
      </c>
      <c r="Q28" s="86">
        <v>0</v>
      </c>
      <c r="R28" s="86">
        <v>29325</v>
      </c>
      <c r="S28" s="86">
        <v>-29325</v>
      </c>
      <c r="W28" s="1">
        <v>0</v>
      </c>
      <c r="X28" s="1" t="s">
        <v>175</v>
      </c>
      <c r="Y28" s="75">
        <v>41746</v>
      </c>
      <c r="Z28" s="1" t="s">
        <v>108</v>
      </c>
      <c r="AA28" s="1" t="s">
        <v>109</v>
      </c>
    </row>
    <row r="29" spans="1:29" x14ac:dyDescent="0.2">
      <c r="A29" s="83" t="s">
        <v>77</v>
      </c>
      <c r="B29" s="83" t="s">
        <v>78</v>
      </c>
      <c r="C29" s="83" t="s">
        <v>79</v>
      </c>
      <c r="D29" s="84">
        <v>0</v>
      </c>
      <c r="E29" s="84">
        <v>5</v>
      </c>
      <c r="F29" s="84">
        <v>7</v>
      </c>
      <c r="G29" s="83" t="s">
        <v>128</v>
      </c>
      <c r="H29" s="83" t="s">
        <v>80</v>
      </c>
      <c r="I29" s="83" t="s">
        <v>81</v>
      </c>
      <c r="J29" s="83" t="s">
        <v>82</v>
      </c>
      <c r="K29" s="83" t="s">
        <v>114</v>
      </c>
      <c r="L29" s="83" t="s">
        <v>115</v>
      </c>
      <c r="M29" s="83" t="s">
        <v>85</v>
      </c>
      <c r="N29" s="83" t="s">
        <v>130</v>
      </c>
      <c r="O29" s="83" t="s">
        <v>133</v>
      </c>
      <c r="P29" s="83" t="s">
        <v>86</v>
      </c>
      <c r="Q29" s="158">
        <v>0</v>
      </c>
      <c r="R29" s="158">
        <v>88413.25</v>
      </c>
      <c r="S29" s="158">
        <v>-88413.25</v>
      </c>
      <c r="T29" s="84"/>
      <c r="U29" s="84"/>
      <c r="V29" s="84"/>
      <c r="W29" s="84">
        <v>0</v>
      </c>
      <c r="X29" s="83" t="s">
        <v>177</v>
      </c>
      <c r="Y29" s="85">
        <v>41771</v>
      </c>
      <c r="Z29" s="84" t="s">
        <v>108</v>
      </c>
      <c r="AA29" s="83" t="s">
        <v>109</v>
      </c>
      <c r="AB29" s="84"/>
      <c r="AC29" s="83" t="s">
        <v>178</v>
      </c>
    </row>
    <row r="30" spans="1:29" x14ac:dyDescent="0.2">
      <c r="A30" s="155" t="s">
        <v>77</v>
      </c>
      <c r="B30" s="155" t="s">
        <v>78</v>
      </c>
      <c r="C30" s="155" t="s">
        <v>79</v>
      </c>
      <c r="D30" s="156">
        <v>0</v>
      </c>
      <c r="E30" s="156">
        <v>5</v>
      </c>
      <c r="F30" s="156">
        <v>27</v>
      </c>
      <c r="G30" s="155" t="s">
        <v>128</v>
      </c>
      <c r="H30" s="155" t="s">
        <v>88</v>
      </c>
      <c r="I30" s="155" t="s">
        <v>81</v>
      </c>
      <c r="J30" s="155" t="s">
        <v>82</v>
      </c>
      <c r="K30" s="155" t="s">
        <v>222</v>
      </c>
      <c r="L30" s="155" t="s">
        <v>223</v>
      </c>
      <c r="M30" s="155" t="s">
        <v>85</v>
      </c>
      <c r="N30" s="155" t="s">
        <v>130</v>
      </c>
      <c r="O30" s="155" t="s">
        <v>133</v>
      </c>
      <c r="P30" s="155" t="s">
        <v>86</v>
      </c>
      <c r="Q30" s="162">
        <v>0</v>
      </c>
      <c r="R30" s="162">
        <v>2638539.4700000002</v>
      </c>
      <c r="S30" s="162">
        <v>-2638539.4700000002</v>
      </c>
      <c r="T30" s="163" t="s">
        <v>41</v>
      </c>
      <c r="U30" s="156"/>
      <c r="V30" s="156"/>
      <c r="W30" s="156">
        <v>0</v>
      </c>
      <c r="X30" s="155" t="s">
        <v>224</v>
      </c>
      <c r="Y30" s="157">
        <v>41788</v>
      </c>
      <c r="Z30" s="156" t="s">
        <v>108</v>
      </c>
      <c r="AA30" s="155" t="s">
        <v>109</v>
      </c>
      <c r="AB30" s="156"/>
      <c r="AC30" s="155" t="s">
        <v>225</v>
      </c>
    </row>
    <row r="31" spans="1:29" x14ac:dyDescent="0.2">
      <c r="A31" s="155" t="s">
        <v>77</v>
      </c>
      <c r="B31" s="155" t="s">
        <v>78</v>
      </c>
      <c r="C31" s="155" t="s">
        <v>79</v>
      </c>
      <c r="D31" s="156">
        <v>0</v>
      </c>
      <c r="E31" s="156">
        <v>5</v>
      </c>
      <c r="F31" s="156">
        <v>27</v>
      </c>
      <c r="G31" s="155" t="s">
        <v>128</v>
      </c>
      <c r="H31" s="155" t="s">
        <v>89</v>
      </c>
      <c r="I31" s="155" t="s">
        <v>81</v>
      </c>
      <c r="J31" s="155" t="s">
        <v>82</v>
      </c>
      <c r="K31" s="155" t="s">
        <v>222</v>
      </c>
      <c r="L31" s="155" t="s">
        <v>223</v>
      </c>
      <c r="M31" s="155" t="s">
        <v>85</v>
      </c>
      <c r="N31" s="155" t="s">
        <v>130</v>
      </c>
      <c r="O31" s="155" t="s">
        <v>133</v>
      </c>
      <c r="P31" s="155" t="s">
        <v>86</v>
      </c>
      <c r="Q31" s="165">
        <v>0</v>
      </c>
      <c r="R31" s="165">
        <v>1847678.67</v>
      </c>
      <c r="S31" s="165">
        <v>-1847678.67</v>
      </c>
      <c r="T31" s="166" t="s">
        <v>249</v>
      </c>
      <c r="U31" s="156"/>
      <c r="V31" s="156"/>
      <c r="W31" s="156">
        <v>0</v>
      </c>
      <c r="X31" s="155" t="s">
        <v>226</v>
      </c>
      <c r="Y31" s="157">
        <v>41788</v>
      </c>
      <c r="Z31" s="156" t="s">
        <v>108</v>
      </c>
      <c r="AA31" s="155" t="s">
        <v>109</v>
      </c>
      <c r="AB31" s="156"/>
      <c r="AC31" s="155" t="s">
        <v>227</v>
      </c>
    </row>
    <row r="32" spans="1:29" x14ac:dyDescent="0.2">
      <c r="A32" s="155" t="s">
        <v>77</v>
      </c>
      <c r="B32" s="155" t="s">
        <v>78</v>
      </c>
      <c r="C32" s="155" t="s">
        <v>79</v>
      </c>
      <c r="D32" s="156">
        <v>0</v>
      </c>
      <c r="E32" s="156">
        <v>5</v>
      </c>
      <c r="F32" s="156">
        <v>27</v>
      </c>
      <c r="G32" s="155" t="s">
        <v>128</v>
      </c>
      <c r="H32" s="155" t="s">
        <v>91</v>
      </c>
      <c r="I32" s="155" t="s">
        <v>81</v>
      </c>
      <c r="J32" s="155" t="s">
        <v>82</v>
      </c>
      <c r="K32" s="155" t="s">
        <v>222</v>
      </c>
      <c r="L32" s="155" t="s">
        <v>223</v>
      </c>
      <c r="M32" s="155" t="s">
        <v>85</v>
      </c>
      <c r="N32" s="155" t="s">
        <v>130</v>
      </c>
      <c r="O32" s="155" t="s">
        <v>133</v>
      </c>
      <c r="P32" s="155" t="s">
        <v>86</v>
      </c>
      <c r="Q32" s="162">
        <v>0</v>
      </c>
      <c r="R32" s="162">
        <v>555787.91</v>
      </c>
      <c r="S32" s="162">
        <v>-555787.91</v>
      </c>
      <c r="T32" s="163" t="s">
        <v>42</v>
      </c>
      <c r="U32" s="156"/>
      <c r="V32" s="156"/>
      <c r="W32" s="156">
        <v>0</v>
      </c>
      <c r="X32" s="155" t="s">
        <v>228</v>
      </c>
      <c r="Y32" s="157">
        <v>41788</v>
      </c>
      <c r="Z32" s="156" t="s">
        <v>108</v>
      </c>
      <c r="AA32" s="155" t="s">
        <v>109</v>
      </c>
      <c r="AB32" s="156"/>
      <c r="AC32" s="155" t="s">
        <v>229</v>
      </c>
    </row>
    <row r="33" spans="1:29" x14ac:dyDescent="0.2">
      <c r="A33" s="155" t="s">
        <v>77</v>
      </c>
      <c r="B33" s="155" t="s">
        <v>78</v>
      </c>
      <c r="C33" s="155" t="s">
        <v>79</v>
      </c>
      <c r="D33" s="156">
        <v>0</v>
      </c>
      <c r="E33" s="156">
        <v>5</v>
      </c>
      <c r="F33" s="156">
        <v>27</v>
      </c>
      <c r="G33" s="155" t="s">
        <v>128</v>
      </c>
      <c r="H33" s="155" t="s">
        <v>92</v>
      </c>
      <c r="I33" s="155" t="s">
        <v>81</v>
      </c>
      <c r="J33" s="155" t="s">
        <v>82</v>
      </c>
      <c r="K33" s="155" t="s">
        <v>222</v>
      </c>
      <c r="L33" s="155" t="s">
        <v>223</v>
      </c>
      <c r="M33" s="155" t="s">
        <v>85</v>
      </c>
      <c r="N33" s="155" t="s">
        <v>130</v>
      </c>
      <c r="O33" s="155" t="s">
        <v>133</v>
      </c>
      <c r="P33" s="155" t="s">
        <v>86</v>
      </c>
      <c r="Q33" s="185">
        <v>0</v>
      </c>
      <c r="R33" s="185">
        <v>208233.46</v>
      </c>
      <c r="S33" s="185">
        <v>-208233.46</v>
      </c>
      <c r="T33" s="199" t="s">
        <v>253</v>
      </c>
      <c r="U33" s="156"/>
      <c r="V33" s="156"/>
      <c r="W33" s="156">
        <v>0</v>
      </c>
      <c r="X33" s="155" t="s">
        <v>230</v>
      </c>
      <c r="Y33" s="157">
        <v>41788</v>
      </c>
      <c r="Z33" s="156" t="s">
        <v>108</v>
      </c>
      <c r="AA33" s="155" t="s">
        <v>109</v>
      </c>
      <c r="AB33" s="156"/>
      <c r="AC33" s="155" t="s">
        <v>231</v>
      </c>
    </row>
    <row r="34" spans="1:29" x14ac:dyDescent="0.2">
      <c r="A34" s="155" t="s">
        <v>77</v>
      </c>
      <c r="B34" s="155" t="s">
        <v>78</v>
      </c>
      <c r="C34" s="155" t="s">
        <v>79</v>
      </c>
      <c r="D34" s="156">
        <v>0</v>
      </c>
      <c r="E34" s="156">
        <v>5</v>
      </c>
      <c r="F34" s="156">
        <v>27</v>
      </c>
      <c r="G34" s="155" t="s">
        <v>128</v>
      </c>
      <c r="H34" s="155" t="s">
        <v>93</v>
      </c>
      <c r="I34" s="155" t="s">
        <v>81</v>
      </c>
      <c r="J34" s="155" t="s">
        <v>82</v>
      </c>
      <c r="K34" s="155" t="s">
        <v>112</v>
      </c>
      <c r="L34" s="155" t="s">
        <v>232</v>
      </c>
      <c r="M34" s="155" t="s">
        <v>85</v>
      </c>
      <c r="N34" s="155" t="s">
        <v>130</v>
      </c>
      <c r="O34" s="155" t="s">
        <v>133</v>
      </c>
      <c r="P34" s="155" t="s">
        <v>86</v>
      </c>
      <c r="Q34" s="172">
        <v>104706.72</v>
      </c>
      <c r="R34" s="172">
        <v>0</v>
      </c>
      <c r="S34" s="172">
        <v>104706.72</v>
      </c>
      <c r="T34" s="173" t="s">
        <v>180</v>
      </c>
      <c r="U34" s="156"/>
      <c r="V34" s="156"/>
      <c r="W34" s="156">
        <v>0</v>
      </c>
      <c r="X34" s="155" t="s">
        <v>233</v>
      </c>
      <c r="Y34" s="157">
        <v>41788</v>
      </c>
      <c r="Z34" s="156" t="s">
        <v>87</v>
      </c>
      <c r="AA34" s="156"/>
      <c r="AB34" s="156"/>
      <c r="AC34" s="155" t="s">
        <v>234</v>
      </c>
    </row>
    <row r="35" spans="1:29" x14ac:dyDescent="0.2">
      <c r="A35" s="155" t="s">
        <v>77</v>
      </c>
      <c r="B35" s="155" t="s">
        <v>78</v>
      </c>
      <c r="C35" s="155" t="s">
        <v>79</v>
      </c>
      <c r="D35" s="156">
        <v>0</v>
      </c>
      <c r="E35" s="156">
        <v>5</v>
      </c>
      <c r="F35" s="156">
        <v>27</v>
      </c>
      <c r="G35" s="155" t="s">
        <v>128</v>
      </c>
      <c r="H35" s="155" t="s">
        <v>94</v>
      </c>
      <c r="I35" s="155" t="s">
        <v>81</v>
      </c>
      <c r="J35" s="155" t="s">
        <v>82</v>
      </c>
      <c r="K35" s="155" t="s">
        <v>112</v>
      </c>
      <c r="L35" s="155" t="s">
        <v>232</v>
      </c>
      <c r="M35" s="155" t="s">
        <v>85</v>
      </c>
      <c r="N35" s="155" t="s">
        <v>130</v>
      </c>
      <c r="O35" s="155" t="s">
        <v>133</v>
      </c>
      <c r="P35" s="155" t="s">
        <v>86</v>
      </c>
      <c r="Q35" s="170">
        <v>1071770.83</v>
      </c>
      <c r="R35" s="170">
        <v>0</v>
      </c>
      <c r="S35" s="170">
        <v>1071770.83</v>
      </c>
      <c r="T35" s="198" t="s">
        <v>250</v>
      </c>
      <c r="U35" s="156"/>
      <c r="V35" s="156"/>
      <c r="W35" s="156">
        <v>0</v>
      </c>
      <c r="X35" s="155" t="s">
        <v>235</v>
      </c>
      <c r="Y35" s="157">
        <v>41788</v>
      </c>
      <c r="Z35" s="156" t="s">
        <v>87</v>
      </c>
      <c r="AA35" s="156"/>
      <c r="AB35" s="156"/>
      <c r="AC35" s="155" t="s">
        <v>236</v>
      </c>
    </row>
    <row r="36" spans="1:29" x14ac:dyDescent="0.2">
      <c r="A36" s="155" t="s">
        <v>77</v>
      </c>
      <c r="B36" s="155" t="s">
        <v>78</v>
      </c>
      <c r="C36" s="155" t="s">
        <v>79</v>
      </c>
      <c r="D36" s="156">
        <v>0</v>
      </c>
      <c r="E36" s="156">
        <v>5</v>
      </c>
      <c r="F36" s="156">
        <v>27</v>
      </c>
      <c r="G36" s="155" t="s">
        <v>128</v>
      </c>
      <c r="H36" s="155" t="s">
        <v>95</v>
      </c>
      <c r="I36" s="155" t="s">
        <v>81</v>
      </c>
      <c r="J36" s="155" t="s">
        <v>82</v>
      </c>
      <c r="K36" s="155" t="s">
        <v>112</v>
      </c>
      <c r="L36" s="155" t="s">
        <v>232</v>
      </c>
      <c r="M36" s="155" t="s">
        <v>85</v>
      </c>
      <c r="N36" s="155" t="s">
        <v>130</v>
      </c>
      <c r="O36" s="155" t="s">
        <v>133</v>
      </c>
      <c r="P36" s="155" t="s">
        <v>86</v>
      </c>
      <c r="Q36" s="165">
        <v>50000000</v>
      </c>
      <c r="R36" s="165">
        <v>0</v>
      </c>
      <c r="S36" s="165">
        <v>50000000</v>
      </c>
      <c r="T36" s="169" t="s">
        <v>251</v>
      </c>
      <c r="U36" s="156"/>
      <c r="V36" s="156"/>
      <c r="W36" s="156">
        <v>0</v>
      </c>
      <c r="X36" s="155" t="s">
        <v>237</v>
      </c>
      <c r="Y36" s="157">
        <v>41788</v>
      </c>
      <c r="Z36" s="156" t="s">
        <v>87</v>
      </c>
      <c r="AA36" s="156"/>
      <c r="AB36" s="156"/>
      <c r="AC36" s="155" t="s">
        <v>238</v>
      </c>
    </row>
    <row r="37" spans="1:29" x14ac:dyDescent="0.2">
      <c r="A37" s="155" t="s">
        <v>77</v>
      </c>
      <c r="B37" s="155" t="s">
        <v>78</v>
      </c>
      <c r="C37" s="155" t="s">
        <v>79</v>
      </c>
      <c r="D37" s="156">
        <v>0</v>
      </c>
      <c r="E37" s="156">
        <v>5</v>
      </c>
      <c r="F37" s="156">
        <v>27</v>
      </c>
      <c r="G37" s="155" t="s">
        <v>128</v>
      </c>
      <c r="H37" s="155" t="s">
        <v>97</v>
      </c>
      <c r="I37" s="155" t="s">
        <v>81</v>
      </c>
      <c r="J37" s="155" t="s">
        <v>82</v>
      </c>
      <c r="K37" s="155" t="s">
        <v>112</v>
      </c>
      <c r="L37" s="155" t="s">
        <v>232</v>
      </c>
      <c r="M37" s="155" t="s">
        <v>85</v>
      </c>
      <c r="N37" s="155" t="s">
        <v>130</v>
      </c>
      <c r="O37" s="155" t="s">
        <v>133</v>
      </c>
      <c r="P37" s="155" t="s">
        <v>86</v>
      </c>
      <c r="Q37" s="165">
        <v>88491664.579999998</v>
      </c>
      <c r="R37" s="165">
        <v>0</v>
      </c>
      <c r="S37" s="165">
        <v>88491664.579999998</v>
      </c>
      <c r="T37" s="169" t="s">
        <v>251</v>
      </c>
      <c r="U37" s="156"/>
      <c r="V37" s="156"/>
      <c r="W37" s="156">
        <v>0</v>
      </c>
      <c r="X37" s="155" t="s">
        <v>239</v>
      </c>
      <c r="Y37" s="157">
        <v>41788</v>
      </c>
      <c r="Z37" s="156" t="s">
        <v>87</v>
      </c>
      <c r="AA37" s="156"/>
      <c r="AB37" s="156"/>
      <c r="AC37" s="155" t="s">
        <v>240</v>
      </c>
    </row>
    <row r="38" spans="1:29" x14ac:dyDescent="0.2">
      <c r="A38" s="155" t="s">
        <v>77</v>
      </c>
      <c r="B38" s="155" t="s">
        <v>78</v>
      </c>
      <c r="C38" s="155" t="s">
        <v>79</v>
      </c>
      <c r="D38" s="156">
        <v>0</v>
      </c>
      <c r="E38" s="156">
        <v>5</v>
      </c>
      <c r="F38" s="156">
        <v>28</v>
      </c>
      <c r="G38" s="155" t="s">
        <v>128</v>
      </c>
      <c r="H38" s="155" t="s">
        <v>98</v>
      </c>
      <c r="I38" s="155" t="s">
        <v>81</v>
      </c>
      <c r="J38" s="155" t="s">
        <v>82</v>
      </c>
      <c r="K38" s="155" t="s">
        <v>222</v>
      </c>
      <c r="L38" s="155" t="s">
        <v>223</v>
      </c>
      <c r="M38" s="155" t="s">
        <v>85</v>
      </c>
      <c r="N38" s="155" t="s">
        <v>130</v>
      </c>
      <c r="O38" s="155" t="s">
        <v>133</v>
      </c>
      <c r="P38" s="155" t="s">
        <v>86</v>
      </c>
      <c r="Q38" s="162">
        <v>0</v>
      </c>
      <c r="R38" s="162">
        <v>83917953.189999998</v>
      </c>
      <c r="S38" s="162">
        <v>-83917953.189999998</v>
      </c>
      <c r="T38" s="163" t="s">
        <v>40</v>
      </c>
      <c r="U38" s="156"/>
      <c r="V38" s="156"/>
      <c r="W38" s="156">
        <v>0</v>
      </c>
      <c r="X38" s="155" t="s">
        <v>241</v>
      </c>
      <c r="Y38" s="157">
        <v>41789</v>
      </c>
      <c r="Z38" s="156" t="s">
        <v>108</v>
      </c>
      <c r="AA38" s="155" t="s">
        <v>109</v>
      </c>
      <c r="AB38" s="156"/>
      <c r="AC38" s="155" t="s">
        <v>242</v>
      </c>
    </row>
    <row r="39" spans="1:29" x14ac:dyDescent="0.2">
      <c r="A39" s="155" t="s">
        <v>77</v>
      </c>
      <c r="B39" s="155" t="s">
        <v>78</v>
      </c>
      <c r="C39" s="155" t="s">
        <v>79</v>
      </c>
      <c r="D39" s="156">
        <v>0</v>
      </c>
      <c r="E39" s="156">
        <v>5</v>
      </c>
      <c r="F39" s="156">
        <v>28</v>
      </c>
      <c r="G39" s="155" t="s">
        <v>128</v>
      </c>
      <c r="H39" s="155" t="s">
        <v>113</v>
      </c>
      <c r="I39" s="155" t="s">
        <v>81</v>
      </c>
      <c r="J39" s="155" t="s">
        <v>82</v>
      </c>
      <c r="K39" s="155" t="s">
        <v>112</v>
      </c>
      <c r="L39" s="155" t="s">
        <v>232</v>
      </c>
      <c r="M39" s="155" t="s">
        <v>85</v>
      </c>
      <c r="N39" s="155" t="s">
        <v>130</v>
      </c>
      <c r="O39" s="155" t="s">
        <v>133</v>
      </c>
      <c r="P39" s="155" t="s">
        <v>86</v>
      </c>
      <c r="Q39" s="176">
        <v>64251139</v>
      </c>
      <c r="R39" s="176">
        <v>0</v>
      </c>
      <c r="S39" s="176">
        <v>64251139</v>
      </c>
      <c r="T39" s="177" t="s">
        <v>252</v>
      </c>
      <c r="U39" s="156"/>
      <c r="V39" s="156"/>
      <c r="W39" s="156">
        <v>0</v>
      </c>
      <c r="X39" s="155" t="s">
        <v>243</v>
      </c>
      <c r="Y39" s="157">
        <v>41789</v>
      </c>
      <c r="Z39" s="156" t="s">
        <v>87</v>
      </c>
      <c r="AA39" s="156"/>
      <c r="AB39" s="156"/>
      <c r="AC39" s="155" t="s">
        <v>244</v>
      </c>
    </row>
    <row r="40" spans="1:29" x14ac:dyDescent="0.2">
      <c r="A40" s="155" t="s">
        <v>77</v>
      </c>
      <c r="B40" s="155" t="s">
        <v>78</v>
      </c>
      <c r="C40" s="155" t="s">
        <v>79</v>
      </c>
      <c r="D40" s="156">
        <v>0</v>
      </c>
      <c r="E40" s="156">
        <v>6</v>
      </c>
      <c r="F40" s="156">
        <v>10</v>
      </c>
      <c r="G40" s="155" t="s">
        <v>128</v>
      </c>
      <c r="H40" s="155" t="s">
        <v>80</v>
      </c>
      <c r="I40" s="155" t="s">
        <v>81</v>
      </c>
      <c r="J40" s="155" t="s">
        <v>82</v>
      </c>
      <c r="K40" s="155" t="s">
        <v>83</v>
      </c>
      <c r="L40" s="155" t="s">
        <v>245</v>
      </c>
      <c r="M40" s="155" t="s">
        <v>85</v>
      </c>
      <c r="N40" s="155" t="s">
        <v>132</v>
      </c>
      <c r="O40" s="155" t="s">
        <v>133</v>
      </c>
      <c r="P40" s="155" t="s">
        <v>86</v>
      </c>
      <c r="Q40" s="170">
        <v>42113</v>
      </c>
      <c r="R40" s="170">
        <v>0</v>
      </c>
      <c r="S40" s="170">
        <v>42113</v>
      </c>
      <c r="T40" s="170" t="s">
        <v>246</v>
      </c>
      <c r="U40" s="156"/>
      <c r="V40" s="156"/>
      <c r="W40" s="156">
        <v>0</v>
      </c>
      <c r="X40" s="155" t="s">
        <v>247</v>
      </c>
      <c r="Y40" s="157">
        <v>41802</v>
      </c>
      <c r="Z40" s="156" t="s">
        <v>87</v>
      </c>
      <c r="AA40" s="156"/>
      <c r="AB40" s="156"/>
      <c r="AC40" s="155" t="s">
        <v>248</v>
      </c>
    </row>
    <row r="41" spans="1:29" x14ac:dyDescent="0.2">
      <c r="A41" s="182" t="s">
        <v>77</v>
      </c>
      <c r="B41" s="182" t="s">
        <v>78</v>
      </c>
      <c r="C41" s="182" t="s">
        <v>79</v>
      </c>
      <c r="D41" s="183">
        <v>0</v>
      </c>
      <c r="E41" s="183">
        <v>6</v>
      </c>
      <c r="F41" s="183">
        <v>12</v>
      </c>
      <c r="G41" s="182" t="s">
        <v>128</v>
      </c>
      <c r="H41" s="182" t="s">
        <v>88</v>
      </c>
      <c r="I41" s="182" t="s">
        <v>81</v>
      </c>
      <c r="J41" s="182" t="s">
        <v>82</v>
      </c>
      <c r="K41" s="182" t="s">
        <v>83</v>
      </c>
      <c r="L41" s="182" t="s">
        <v>245</v>
      </c>
      <c r="M41" s="182" t="s">
        <v>85</v>
      </c>
      <c r="N41" s="182" t="s">
        <v>132</v>
      </c>
      <c r="O41" s="182" t="s">
        <v>133</v>
      </c>
      <c r="P41" s="182" t="s">
        <v>86</v>
      </c>
      <c r="Q41" s="170">
        <v>101331.96</v>
      </c>
      <c r="R41" s="170">
        <v>0</v>
      </c>
      <c r="S41" s="170">
        <v>101331.96</v>
      </c>
      <c r="T41" s="170" t="s">
        <v>255</v>
      </c>
      <c r="U41" s="183"/>
      <c r="V41" s="183"/>
      <c r="W41" s="183">
        <v>0</v>
      </c>
      <c r="X41" s="182" t="s">
        <v>256</v>
      </c>
      <c r="Y41" s="184">
        <v>41806</v>
      </c>
      <c r="Z41" s="183" t="s">
        <v>87</v>
      </c>
      <c r="AA41" s="183"/>
      <c r="AB41" s="183"/>
      <c r="AC41" s="182" t="s">
        <v>257</v>
      </c>
    </row>
    <row r="42" spans="1:29" x14ac:dyDescent="0.2">
      <c r="A42" s="182" t="s">
        <v>77</v>
      </c>
      <c r="B42" s="182" t="s">
        <v>78</v>
      </c>
      <c r="C42" s="182" t="s">
        <v>79</v>
      </c>
      <c r="D42" s="183">
        <v>0</v>
      </c>
      <c r="E42" s="183">
        <v>6</v>
      </c>
      <c r="F42" s="183">
        <v>13</v>
      </c>
      <c r="G42" s="182" t="s">
        <v>128</v>
      </c>
      <c r="H42" s="182" t="s">
        <v>89</v>
      </c>
      <c r="I42" s="182" t="s">
        <v>81</v>
      </c>
      <c r="J42" s="182" t="s">
        <v>82</v>
      </c>
      <c r="K42" s="182" t="s">
        <v>83</v>
      </c>
      <c r="L42" s="182" t="s">
        <v>245</v>
      </c>
      <c r="M42" s="182" t="s">
        <v>85</v>
      </c>
      <c r="N42" s="182" t="s">
        <v>132</v>
      </c>
      <c r="O42" s="182" t="s">
        <v>133</v>
      </c>
      <c r="P42" s="182" t="s">
        <v>86</v>
      </c>
      <c r="Q42" s="170">
        <v>45</v>
      </c>
      <c r="R42" s="170">
        <v>0</v>
      </c>
      <c r="S42" s="170">
        <v>45</v>
      </c>
      <c r="T42" s="170" t="s">
        <v>258</v>
      </c>
      <c r="U42" s="183"/>
      <c r="V42" s="183"/>
      <c r="W42" s="183">
        <v>0</v>
      </c>
      <c r="X42" s="182" t="s">
        <v>259</v>
      </c>
      <c r="Y42" s="184">
        <v>41807</v>
      </c>
      <c r="Z42" s="183" t="s">
        <v>87</v>
      </c>
      <c r="AA42" s="183"/>
      <c r="AB42" s="183"/>
      <c r="AC42" s="182" t="s">
        <v>260</v>
      </c>
    </row>
    <row r="43" spans="1:29" x14ac:dyDescent="0.2">
      <c r="A43" s="182" t="s">
        <v>77</v>
      </c>
      <c r="B43" s="182" t="s">
        <v>78</v>
      </c>
      <c r="C43" s="182" t="s">
        <v>79</v>
      </c>
      <c r="D43" s="183">
        <v>0</v>
      </c>
      <c r="E43" s="183">
        <v>6</v>
      </c>
      <c r="F43" s="183">
        <v>13</v>
      </c>
      <c r="G43" s="182" t="s">
        <v>128</v>
      </c>
      <c r="H43" s="182" t="s">
        <v>91</v>
      </c>
      <c r="I43" s="182" t="s">
        <v>81</v>
      </c>
      <c r="J43" s="182" t="s">
        <v>82</v>
      </c>
      <c r="K43" s="182" t="s">
        <v>83</v>
      </c>
      <c r="L43" s="182" t="s">
        <v>245</v>
      </c>
      <c r="M43" s="182" t="s">
        <v>85</v>
      </c>
      <c r="N43" s="182" t="s">
        <v>132</v>
      </c>
      <c r="O43" s="182" t="s">
        <v>133</v>
      </c>
      <c r="P43" s="182" t="s">
        <v>86</v>
      </c>
      <c r="Q43" s="170">
        <v>140000</v>
      </c>
      <c r="R43" s="170">
        <v>0</v>
      </c>
      <c r="S43" s="170">
        <v>140000</v>
      </c>
      <c r="T43" s="170" t="s">
        <v>261</v>
      </c>
      <c r="U43" s="183"/>
      <c r="V43" s="183"/>
      <c r="W43" s="183">
        <v>0</v>
      </c>
      <c r="X43" s="182" t="s">
        <v>262</v>
      </c>
      <c r="Y43" s="184">
        <v>41807</v>
      </c>
      <c r="Z43" s="183" t="s">
        <v>87</v>
      </c>
      <c r="AA43" s="183"/>
      <c r="AB43" s="183"/>
      <c r="AC43" s="182" t="s">
        <v>263</v>
      </c>
    </row>
    <row r="44" spans="1:29" x14ac:dyDescent="0.2">
      <c r="A44" s="182" t="s">
        <v>77</v>
      </c>
      <c r="B44" s="182" t="s">
        <v>78</v>
      </c>
      <c r="C44" s="182" t="s">
        <v>79</v>
      </c>
      <c r="D44" s="183">
        <v>0</v>
      </c>
      <c r="E44" s="183">
        <v>6</v>
      </c>
      <c r="F44" s="183">
        <v>13</v>
      </c>
      <c r="G44" s="182" t="s">
        <v>128</v>
      </c>
      <c r="H44" s="182" t="s">
        <v>92</v>
      </c>
      <c r="I44" s="182" t="s">
        <v>81</v>
      </c>
      <c r="J44" s="182" t="s">
        <v>82</v>
      </c>
      <c r="K44" s="182" t="s">
        <v>83</v>
      </c>
      <c r="L44" s="182" t="s">
        <v>245</v>
      </c>
      <c r="M44" s="182" t="s">
        <v>85</v>
      </c>
      <c r="N44" s="182" t="s">
        <v>132</v>
      </c>
      <c r="O44" s="182" t="s">
        <v>133</v>
      </c>
      <c r="P44" s="182" t="s">
        <v>86</v>
      </c>
      <c r="Q44" s="170">
        <v>280683.5</v>
      </c>
      <c r="R44" s="170">
        <v>0</v>
      </c>
      <c r="S44" s="170">
        <v>280683.5</v>
      </c>
      <c r="T44" s="170" t="s">
        <v>264</v>
      </c>
      <c r="U44" s="183"/>
      <c r="V44" s="183"/>
      <c r="W44" s="183">
        <v>0</v>
      </c>
      <c r="X44" s="182" t="s">
        <v>265</v>
      </c>
      <c r="Y44" s="184">
        <v>41807</v>
      </c>
      <c r="Z44" s="183" t="s">
        <v>87</v>
      </c>
      <c r="AA44" s="183"/>
      <c r="AB44" s="183"/>
      <c r="AC44" s="182" t="s">
        <v>266</v>
      </c>
    </row>
    <row r="45" spans="1:29" x14ac:dyDescent="0.2">
      <c r="A45" s="186" t="s">
        <v>77</v>
      </c>
      <c r="B45" s="186" t="s">
        <v>78</v>
      </c>
      <c r="C45" s="186" t="s">
        <v>79</v>
      </c>
      <c r="D45" s="187">
        <v>0</v>
      </c>
      <c r="E45" s="187">
        <v>6</v>
      </c>
      <c r="F45" s="187">
        <v>16</v>
      </c>
      <c r="G45" s="186" t="s">
        <v>128</v>
      </c>
      <c r="H45" s="186" t="s">
        <v>93</v>
      </c>
      <c r="I45" s="186" t="s">
        <v>81</v>
      </c>
      <c r="J45" s="186" t="s">
        <v>82</v>
      </c>
      <c r="K45" s="186" t="s">
        <v>83</v>
      </c>
      <c r="L45" s="186" t="s">
        <v>245</v>
      </c>
      <c r="M45" s="186" t="s">
        <v>85</v>
      </c>
      <c r="N45" s="186" t="s">
        <v>132</v>
      </c>
      <c r="O45" s="186" t="s">
        <v>133</v>
      </c>
      <c r="P45" s="186" t="s">
        <v>86</v>
      </c>
      <c r="Q45" s="170">
        <v>80275.88</v>
      </c>
      <c r="R45" s="170">
        <v>0</v>
      </c>
      <c r="S45" s="170">
        <v>80275.88</v>
      </c>
      <c r="T45" s="170" t="s">
        <v>319</v>
      </c>
      <c r="U45" s="187"/>
      <c r="V45" s="187"/>
      <c r="W45" s="187">
        <v>0</v>
      </c>
      <c r="X45" s="186" t="s">
        <v>320</v>
      </c>
      <c r="Y45" s="188">
        <v>41808</v>
      </c>
      <c r="Z45" s="187" t="s">
        <v>87</v>
      </c>
      <c r="AA45" s="187"/>
      <c r="AB45" s="187"/>
      <c r="AC45" s="186" t="s">
        <v>321</v>
      </c>
    </row>
    <row r="46" spans="1:29" x14ac:dyDescent="0.2">
      <c r="A46" s="186" t="s">
        <v>77</v>
      </c>
      <c r="B46" s="186" t="s">
        <v>78</v>
      </c>
      <c r="C46" s="186" t="s">
        <v>79</v>
      </c>
      <c r="D46" s="187">
        <v>0</v>
      </c>
      <c r="E46" s="187">
        <v>6</v>
      </c>
      <c r="F46" s="187">
        <v>17</v>
      </c>
      <c r="G46" s="186" t="s">
        <v>128</v>
      </c>
      <c r="H46" s="186" t="s">
        <v>94</v>
      </c>
      <c r="I46" s="186" t="s">
        <v>81</v>
      </c>
      <c r="J46" s="186" t="s">
        <v>82</v>
      </c>
      <c r="K46" s="186" t="s">
        <v>83</v>
      </c>
      <c r="L46" s="186" t="s">
        <v>245</v>
      </c>
      <c r="M46" s="186" t="s">
        <v>85</v>
      </c>
      <c r="N46" s="186" t="s">
        <v>132</v>
      </c>
      <c r="O46" s="186" t="s">
        <v>133</v>
      </c>
      <c r="P46" s="186" t="s">
        <v>86</v>
      </c>
      <c r="Q46" s="170">
        <v>1935.9</v>
      </c>
      <c r="R46" s="170">
        <v>0</v>
      </c>
      <c r="S46" s="170">
        <v>1935.9</v>
      </c>
      <c r="T46" s="170" t="s">
        <v>322</v>
      </c>
      <c r="U46" s="187"/>
      <c r="V46" s="187"/>
      <c r="W46" s="187">
        <v>0</v>
      </c>
      <c r="X46" s="186" t="s">
        <v>323</v>
      </c>
      <c r="Y46" s="188">
        <v>41809</v>
      </c>
      <c r="Z46" s="187" t="s">
        <v>87</v>
      </c>
      <c r="AA46" s="187"/>
      <c r="AB46" s="187"/>
      <c r="AC46" s="186" t="s">
        <v>324</v>
      </c>
    </row>
    <row r="47" spans="1:29" x14ac:dyDescent="0.2">
      <c r="A47" s="186" t="s">
        <v>77</v>
      </c>
      <c r="B47" s="186" t="s">
        <v>78</v>
      </c>
      <c r="C47" s="186" t="s">
        <v>79</v>
      </c>
      <c r="D47" s="187">
        <v>0</v>
      </c>
      <c r="E47" s="187">
        <v>6</v>
      </c>
      <c r="F47" s="187">
        <v>17</v>
      </c>
      <c r="G47" s="186" t="s">
        <v>128</v>
      </c>
      <c r="H47" s="186" t="s">
        <v>95</v>
      </c>
      <c r="I47" s="186" t="s">
        <v>81</v>
      </c>
      <c r="J47" s="186" t="s">
        <v>82</v>
      </c>
      <c r="K47" s="186" t="s">
        <v>83</v>
      </c>
      <c r="L47" s="186" t="s">
        <v>245</v>
      </c>
      <c r="M47" s="186" t="s">
        <v>85</v>
      </c>
      <c r="N47" s="186" t="s">
        <v>132</v>
      </c>
      <c r="O47" s="186" t="s">
        <v>133</v>
      </c>
      <c r="P47" s="186" t="s">
        <v>86</v>
      </c>
      <c r="Q47" s="170">
        <v>1446483.26</v>
      </c>
      <c r="R47" s="170">
        <v>0</v>
      </c>
      <c r="S47" s="170">
        <v>1446483.26</v>
      </c>
      <c r="T47" s="170" t="s">
        <v>325</v>
      </c>
      <c r="U47" s="187"/>
      <c r="V47" s="187"/>
      <c r="W47" s="187">
        <v>0</v>
      </c>
      <c r="X47" s="186" t="s">
        <v>326</v>
      </c>
      <c r="Y47" s="188">
        <v>41809</v>
      </c>
      <c r="Z47" s="187" t="s">
        <v>87</v>
      </c>
      <c r="AA47" s="187"/>
      <c r="AB47" s="187"/>
      <c r="AC47" s="186" t="s">
        <v>327</v>
      </c>
    </row>
    <row r="48" spans="1:29" x14ac:dyDescent="0.2">
      <c r="A48" s="186" t="s">
        <v>77</v>
      </c>
      <c r="B48" s="186" t="s">
        <v>78</v>
      </c>
      <c r="C48" s="186" t="s">
        <v>79</v>
      </c>
      <c r="D48" s="187">
        <v>0</v>
      </c>
      <c r="E48" s="187">
        <v>6</v>
      </c>
      <c r="F48" s="187">
        <v>18</v>
      </c>
      <c r="G48" s="186" t="s">
        <v>128</v>
      </c>
      <c r="H48" s="186" t="s">
        <v>97</v>
      </c>
      <c r="I48" s="186" t="s">
        <v>81</v>
      </c>
      <c r="J48" s="186" t="s">
        <v>82</v>
      </c>
      <c r="K48" s="186" t="s">
        <v>114</v>
      </c>
      <c r="L48" s="186" t="s">
        <v>115</v>
      </c>
      <c r="M48" s="186" t="s">
        <v>85</v>
      </c>
      <c r="N48" s="186" t="s">
        <v>130</v>
      </c>
      <c r="O48" s="186" t="s">
        <v>133</v>
      </c>
      <c r="P48" s="186" t="s">
        <v>86</v>
      </c>
      <c r="Q48" s="86">
        <v>18883.47</v>
      </c>
      <c r="R48" s="86">
        <v>0</v>
      </c>
      <c r="S48" s="86">
        <v>18883.47</v>
      </c>
      <c r="T48" s="186" t="s">
        <v>328</v>
      </c>
      <c r="U48" s="187"/>
      <c r="V48" s="187"/>
      <c r="W48" s="187">
        <v>0</v>
      </c>
      <c r="X48" s="186" t="s">
        <v>329</v>
      </c>
      <c r="Y48" s="188">
        <v>41810</v>
      </c>
      <c r="Z48" s="187" t="s">
        <v>87</v>
      </c>
      <c r="AA48" s="187"/>
      <c r="AB48" s="187"/>
      <c r="AC48" s="186" t="s">
        <v>330</v>
      </c>
    </row>
    <row r="49" spans="1:29" x14ac:dyDescent="0.2">
      <c r="A49" s="186" t="s">
        <v>77</v>
      </c>
      <c r="B49" s="186" t="s">
        <v>78</v>
      </c>
      <c r="C49" s="186" t="s">
        <v>79</v>
      </c>
      <c r="D49" s="187">
        <v>0</v>
      </c>
      <c r="E49" s="187">
        <v>6</v>
      </c>
      <c r="F49" s="187">
        <v>19</v>
      </c>
      <c r="G49" s="186" t="s">
        <v>128</v>
      </c>
      <c r="H49" s="186" t="s">
        <v>98</v>
      </c>
      <c r="I49" s="186" t="s">
        <v>81</v>
      </c>
      <c r="J49" s="186" t="s">
        <v>82</v>
      </c>
      <c r="K49" s="186" t="s">
        <v>83</v>
      </c>
      <c r="L49" s="186" t="s">
        <v>245</v>
      </c>
      <c r="M49" s="186" t="s">
        <v>85</v>
      </c>
      <c r="N49" s="186" t="s">
        <v>132</v>
      </c>
      <c r="O49" s="186" t="s">
        <v>133</v>
      </c>
      <c r="P49" s="186" t="s">
        <v>86</v>
      </c>
      <c r="Q49" s="170">
        <v>20</v>
      </c>
      <c r="R49" s="170">
        <v>0</v>
      </c>
      <c r="S49" s="170">
        <v>20</v>
      </c>
      <c r="T49" s="170" t="s">
        <v>331</v>
      </c>
      <c r="U49" s="187"/>
      <c r="V49" s="187"/>
      <c r="W49" s="187">
        <v>0</v>
      </c>
      <c r="X49" s="186" t="s">
        <v>332</v>
      </c>
      <c r="Y49" s="188">
        <v>41813</v>
      </c>
      <c r="Z49" s="187" t="s">
        <v>87</v>
      </c>
      <c r="AA49" s="187"/>
      <c r="AB49" s="187"/>
      <c r="AC49" s="186" t="s">
        <v>333</v>
      </c>
    </row>
    <row r="50" spans="1:29" x14ac:dyDescent="0.2">
      <c r="A50" s="186" t="s">
        <v>77</v>
      </c>
      <c r="B50" s="186" t="s">
        <v>78</v>
      </c>
      <c r="C50" s="186" t="s">
        <v>79</v>
      </c>
      <c r="D50" s="187">
        <v>0</v>
      </c>
      <c r="E50" s="187">
        <v>6</v>
      </c>
      <c r="F50" s="187">
        <v>20</v>
      </c>
      <c r="G50" s="186" t="s">
        <v>128</v>
      </c>
      <c r="H50" s="186" t="s">
        <v>113</v>
      </c>
      <c r="I50" s="186" t="s">
        <v>81</v>
      </c>
      <c r="J50" s="186" t="s">
        <v>82</v>
      </c>
      <c r="K50" s="186" t="s">
        <v>114</v>
      </c>
      <c r="L50" s="186" t="s">
        <v>115</v>
      </c>
      <c r="M50" s="186" t="s">
        <v>85</v>
      </c>
      <c r="N50" s="186" t="s">
        <v>130</v>
      </c>
      <c r="O50" s="186" t="s">
        <v>133</v>
      </c>
      <c r="P50" s="186" t="s">
        <v>86</v>
      </c>
      <c r="Q50" s="86">
        <v>1340</v>
      </c>
      <c r="R50" s="86">
        <v>0</v>
      </c>
      <c r="S50" s="86">
        <v>1340</v>
      </c>
      <c r="T50" s="186" t="s">
        <v>334</v>
      </c>
      <c r="U50" s="187"/>
      <c r="V50" s="187"/>
      <c r="W50" s="187">
        <v>0</v>
      </c>
      <c r="X50" s="186" t="s">
        <v>335</v>
      </c>
      <c r="Y50" s="188">
        <v>41814</v>
      </c>
      <c r="Z50" s="187" t="s">
        <v>87</v>
      </c>
      <c r="AA50" s="187"/>
      <c r="AB50" s="187"/>
      <c r="AC50" s="186" t="s">
        <v>336</v>
      </c>
    </row>
    <row r="51" spans="1:29" x14ac:dyDescent="0.2">
      <c r="A51" s="186" t="s">
        <v>77</v>
      </c>
      <c r="B51" s="186" t="s">
        <v>78</v>
      </c>
      <c r="C51" s="186" t="s">
        <v>79</v>
      </c>
      <c r="D51" s="187">
        <v>0</v>
      </c>
      <c r="E51" s="187">
        <v>6</v>
      </c>
      <c r="F51" s="187">
        <v>20</v>
      </c>
      <c r="G51" s="186" t="s">
        <v>128</v>
      </c>
      <c r="H51" s="186" t="s">
        <v>116</v>
      </c>
      <c r="I51" s="186" t="s">
        <v>81</v>
      </c>
      <c r="J51" s="186" t="s">
        <v>82</v>
      </c>
      <c r="K51" s="186" t="s">
        <v>83</v>
      </c>
      <c r="L51" s="186" t="s">
        <v>245</v>
      </c>
      <c r="M51" s="186" t="s">
        <v>85</v>
      </c>
      <c r="N51" s="186" t="s">
        <v>132</v>
      </c>
      <c r="O51" s="186" t="s">
        <v>133</v>
      </c>
      <c r="P51" s="186" t="s">
        <v>86</v>
      </c>
      <c r="Q51" s="170">
        <v>491877.4</v>
      </c>
      <c r="R51" s="170">
        <v>0</v>
      </c>
      <c r="S51" s="170">
        <v>491877.4</v>
      </c>
      <c r="T51" s="170" t="s">
        <v>337</v>
      </c>
      <c r="U51" s="187"/>
      <c r="V51" s="187"/>
      <c r="W51" s="187">
        <v>0</v>
      </c>
      <c r="X51" s="186" t="s">
        <v>338</v>
      </c>
      <c r="Y51" s="188">
        <v>41814</v>
      </c>
      <c r="Z51" s="187" t="s">
        <v>87</v>
      </c>
      <c r="AA51" s="187"/>
      <c r="AB51" s="187"/>
      <c r="AC51" s="186" t="s">
        <v>339</v>
      </c>
    </row>
    <row r="52" spans="1:29" x14ac:dyDescent="0.2">
      <c r="A52" s="186" t="s">
        <v>77</v>
      </c>
      <c r="B52" s="186" t="s">
        <v>78</v>
      </c>
      <c r="C52" s="186" t="s">
        <v>79</v>
      </c>
      <c r="D52" s="187">
        <v>0</v>
      </c>
      <c r="E52" s="187">
        <v>6</v>
      </c>
      <c r="F52" s="187">
        <v>20</v>
      </c>
      <c r="G52" s="186" t="s">
        <v>128</v>
      </c>
      <c r="H52" s="186" t="s">
        <v>116</v>
      </c>
      <c r="I52" s="186" t="s">
        <v>81</v>
      </c>
      <c r="J52" s="186" t="s">
        <v>82</v>
      </c>
      <c r="K52" s="186" t="s">
        <v>114</v>
      </c>
      <c r="L52" s="186" t="s">
        <v>115</v>
      </c>
      <c r="M52" s="186" t="s">
        <v>85</v>
      </c>
      <c r="N52" s="186" t="s">
        <v>130</v>
      </c>
      <c r="O52" s="186" t="s">
        <v>133</v>
      </c>
      <c r="P52" s="186" t="s">
        <v>86</v>
      </c>
      <c r="Q52" s="86">
        <v>15339.9</v>
      </c>
      <c r="R52" s="86">
        <v>0</v>
      </c>
      <c r="S52" s="86">
        <v>15339.9</v>
      </c>
      <c r="T52" s="186" t="s">
        <v>340</v>
      </c>
      <c r="U52" s="187"/>
      <c r="V52" s="187"/>
      <c r="W52" s="187">
        <v>0</v>
      </c>
      <c r="X52" s="186" t="s">
        <v>338</v>
      </c>
      <c r="Y52" s="188">
        <v>41814</v>
      </c>
      <c r="Z52" s="187" t="s">
        <v>87</v>
      </c>
      <c r="AA52" s="187"/>
      <c r="AB52" s="187"/>
      <c r="AC52" s="186" t="s">
        <v>339</v>
      </c>
    </row>
    <row r="53" spans="1:29" x14ac:dyDescent="0.2">
      <c r="A53" s="186" t="s">
        <v>77</v>
      </c>
      <c r="B53" s="186" t="s">
        <v>78</v>
      </c>
      <c r="C53" s="186" t="s">
        <v>79</v>
      </c>
      <c r="D53" s="187">
        <v>0</v>
      </c>
      <c r="E53" s="187">
        <v>6</v>
      </c>
      <c r="F53" s="187">
        <v>20</v>
      </c>
      <c r="G53" s="186" t="s">
        <v>128</v>
      </c>
      <c r="H53" s="186" t="s">
        <v>117</v>
      </c>
      <c r="I53" s="186" t="s">
        <v>81</v>
      </c>
      <c r="J53" s="186" t="s">
        <v>82</v>
      </c>
      <c r="K53" s="186" t="s">
        <v>114</v>
      </c>
      <c r="L53" s="186" t="s">
        <v>115</v>
      </c>
      <c r="M53" s="186" t="s">
        <v>85</v>
      </c>
      <c r="N53" s="186" t="s">
        <v>130</v>
      </c>
      <c r="O53" s="186" t="s">
        <v>133</v>
      </c>
      <c r="P53" s="186" t="s">
        <v>86</v>
      </c>
      <c r="Q53" s="86">
        <v>0</v>
      </c>
      <c r="R53" s="86">
        <v>18883.47</v>
      </c>
      <c r="S53" s="86">
        <v>-18883.47</v>
      </c>
      <c r="T53" s="187"/>
      <c r="U53" s="187"/>
      <c r="V53" s="187"/>
      <c r="W53" s="187">
        <v>0</v>
      </c>
      <c r="X53" s="186" t="s">
        <v>341</v>
      </c>
      <c r="Y53" s="188">
        <v>41814</v>
      </c>
      <c r="Z53" s="187" t="s">
        <v>108</v>
      </c>
      <c r="AA53" s="186" t="s">
        <v>109</v>
      </c>
      <c r="AB53" s="187"/>
      <c r="AC53" s="186" t="s">
        <v>342</v>
      </c>
    </row>
    <row r="54" spans="1:29" x14ac:dyDescent="0.2">
      <c r="A54" s="186" t="s">
        <v>77</v>
      </c>
      <c r="B54" s="186" t="s">
        <v>78</v>
      </c>
      <c r="C54" s="186" t="s">
        <v>79</v>
      </c>
      <c r="D54" s="187">
        <v>0</v>
      </c>
      <c r="E54" s="187">
        <v>6</v>
      </c>
      <c r="F54" s="187">
        <v>23</v>
      </c>
      <c r="G54" s="186" t="s">
        <v>128</v>
      </c>
      <c r="H54" s="186" t="s">
        <v>118</v>
      </c>
      <c r="I54" s="186" t="s">
        <v>81</v>
      </c>
      <c r="J54" s="186" t="s">
        <v>82</v>
      </c>
      <c r="K54" s="186" t="s">
        <v>83</v>
      </c>
      <c r="L54" s="186" t="s">
        <v>343</v>
      </c>
      <c r="M54" s="186" t="s">
        <v>85</v>
      </c>
      <c r="N54" s="186" t="s">
        <v>132</v>
      </c>
      <c r="O54" s="186" t="s">
        <v>133</v>
      </c>
      <c r="P54" s="186" t="s">
        <v>86</v>
      </c>
      <c r="Q54" s="185">
        <v>0</v>
      </c>
      <c r="R54" s="185">
        <v>22131173</v>
      </c>
      <c r="S54" s="185">
        <v>-22131173</v>
      </c>
      <c r="T54" s="199"/>
      <c r="U54" s="187"/>
      <c r="V54" s="187"/>
      <c r="W54" s="187">
        <v>0</v>
      </c>
      <c r="X54" s="186" t="s">
        <v>344</v>
      </c>
      <c r="Y54" s="188">
        <v>41815</v>
      </c>
      <c r="Z54" s="187" t="s">
        <v>345</v>
      </c>
      <c r="AA54" s="186" t="s">
        <v>109</v>
      </c>
      <c r="AB54" s="187"/>
      <c r="AC54" s="186" t="s">
        <v>346</v>
      </c>
    </row>
    <row r="55" spans="1:29" x14ac:dyDescent="0.2">
      <c r="A55" s="186" t="s">
        <v>77</v>
      </c>
      <c r="B55" s="186" t="s">
        <v>78</v>
      </c>
      <c r="C55" s="186" t="s">
        <v>79</v>
      </c>
      <c r="D55" s="187">
        <v>0</v>
      </c>
      <c r="E55" s="187">
        <v>6</v>
      </c>
      <c r="F55" s="187">
        <v>23</v>
      </c>
      <c r="G55" s="186" t="s">
        <v>128</v>
      </c>
      <c r="H55" s="186" t="s">
        <v>347</v>
      </c>
      <c r="I55" s="186" t="s">
        <v>81</v>
      </c>
      <c r="J55" s="186" t="s">
        <v>82</v>
      </c>
      <c r="K55" s="186" t="s">
        <v>83</v>
      </c>
      <c r="L55" s="186" t="s">
        <v>343</v>
      </c>
      <c r="M55" s="186" t="s">
        <v>85</v>
      </c>
      <c r="N55" s="186" t="s">
        <v>132</v>
      </c>
      <c r="O55" s="186" t="s">
        <v>133</v>
      </c>
      <c r="P55" s="186" t="s">
        <v>86</v>
      </c>
      <c r="Q55" s="185">
        <v>0</v>
      </c>
      <c r="R55" s="185">
        <v>1778345</v>
      </c>
      <c r="S55" s="185">
        <v>-1778345</v>
      </c>
      <c r="T55" s="199"/>
      <c r="U55" s="187"/>
      <c r="V55" s="187"/>
      <c r="W55" s="187">
        <v>0</v>
      </c>
      <c r="X55" s="186" t="s">
        <v>348</v>
      </c>
      <c r="Y55" s="188">
        <v>41815</v>
      </c>
      <c r="Z55" s="187" t="s">
        <v>345</v>
      </c>
      <c r="AA55" s="186" t="s">
        <v>109</v>
      </c>
      <c r="AB55" s="187"/>
      <c r="AC55" s="186" t="s">
        <v>349</v>
      </c>
    </row>
    <row r="56" spans="1:29" x14ac:dyDescent="0.2">
      <c r="A56" s="186" t="s">
        <v>77</v>
      </c>
      <c r="B56" s="186" t="s">
        <v>78</v>
      </c>
      <c r="C56" s="186" t="s">
        <v>79</v>
      </c>
      <c r="D56" s="187">
        <v>0</v>
      </c>
      <c r="E56" s="187">
        <v>6</v>
      </c>
      <c r="F56" s="187">
        <v>23</v>
      </c>
      <c r="G56" s="186" t="s">
        <v>128</v>
      </c>
      <c r="H56" s="186" t="s">
        <v>350</v>
      </c>
      <c r="I56" s="186" t="s">
        <v>81</v>
      </c>
      <c r="J56" s="186" t="s">
        <v>82</v>
      </c>
      <c r="K56" s="186" t="s">
        <v>83</v>
      </c>
      <c r="L56" s="186" t="s">
        <v>343</v>
      </c>
      <c r="M56" s="186" t="s">
        <v>85</v>
      </c>
      <c r="N56" s="186" t="s">
        <v>132</v>
      </c>
      <c r="O56" s="186" t="s">
        <v>133</v>
      </c>
      <c r="P56" s="186" t="s">
        <v>86</v>
      </c>
      <c r="Q56" s="185">
        <v>0</v>
      </c>
      <c r="R56" s="185">
        <v>5276199</v>
      </c>
      <c r="S56" s="185">
        <v>-5276199</v>
      </c>
      <c r="T56" s="199"/>
      <c r="U56" s="187"/>
      <c r="V56" s="187"/>
      <c r="W56" s="187">
        <v>0</v>
      </c>
      <c r="X56" s="186" t="s">
        <v>351</v>
      </c>
      <c r="Y56" s="188">
        <v>41815</v>
      </c>
      <c r="Z56" s="187" t="s">
        <v>345</v>
      </c>
      <c r="AA56" s="186" t="s">
        <v>109</v>
      </c>
      <c r="AB56" s="187"/>
      <c r="AC56" s="186" t="s">
        <v>352</v>
      </c>
    </row>
    <row r="57" spans="1:29" x14ac:dyDescent="0.2">
      <c r="A57" s="186" t="s">
        <v>77</v>
      </c>
      <c r="B57" s="186" t="s">
        <v>78</v>
      </c>
      <c r="C57" s="186" t="s">
        <v>79</v>
      </c>
      <c r="D57" s="187">
        <v>0</v>
      </c>
      <c r="E57" s="187">
        <v>6</v>
      </c>
      <c r="F57" s="187">
        <v>23</v>
      </c>
      <c r="G57" s="186" t="s">
        <v>128</v>
      </c>
      <c r="H57" s="186" t="s">
        <v>353</v>
      </c>
      <c r="I57" s="186" t="s">
        <v>81</v>
      </c>
      <c r="J57" s="186" t="s">
        <v>82</v>
      </c>
      <c r="K57" s="186" t="s">
        <v>83</v>
      </c>
      <c r="L57" s="186" t="s">
        <v>343</v>
      </c>
      <c r="M57" s="186" t="s">
        <v>85</v>
      </c>
      <c r="N57" s="186" t="s">
        <v>132</v>
      </c>
      <c r="O57" s="186" t="s">
        <v>133</v>
      </c>
      <c r="P57" s="186" t="s">
        <v>86</v>
      </c>
      <c r="Q57" s="185">
        <v>0</v>
      </c>
      <c r="R57" s="185">
        <v>9621185</v>
      </c>
      <c r="S57" s="185">
        <v>-9621185</v>
      </c>
      <c r="T57" s="199"/>
      <c r="U57" s="187"/>
      <c r="V57" s="187"/>
      <c r="W57" s="187">
        <v>0</v>
      </c>
      <c r="X57" s="186" t="s">
        <v>354</v>
      </c>
      <c r="Y57" s="188">
        <v>41815</v>
      </c>
      <c r="Z57" s="187" t="s">
        <v>345</v>
      </c>
      <c r="AA57" s="186" t="s">
        <v>109</v>
      </c>
      <c r="AB57" s="187"/>
      <c r="AC57" s="186" t="s">
        <v>355</v>
      </c>
    </row>
    <row r="58" spans="1:29" x14ac:dyDescent="0.2">
      <c r="A58" s="186" t="s">
        <v>77</v>
      </c>
      <c r="B58" s="186" t="s">
        <v>78</v>
      </c>
      <c r="C58" s="186" t="s">
        <v>79</v>
      </c>
      <c r="D58" s="187">
        <v>0</v>
      </c>
      <c r="E58" s="187">
        <v>6</v>
      </c>
      <c r="F58" s="187">
        <v>23</v>
      </c>
      <c r="G58" s="186" t="s">
        <v>128</v>
      </c>
      <c r="H58" s="186" t="s">
        <v>356</v>
      </c>
      <c r="I58" s="186" t="s">
        <v>81</v>
      </c>
      <c r="J58" s="186" t="s">
        <v>82</v>
      </c>
      <c r="K58" s="186" t="s">
        <v>83</v>
      </c>
      <c r="L58" s="186" t="s">
        <v>343</v>
      </c>
      <c r="M58" s="186" t="s">
        <v>85</v>
      </c>
      <c r="N58" s="186" t="s">
        <v>132</v>
      </c>
      <c r="O58" s="186" t="s">
        <v>133</v>
      </c>
      <c r="P58" s="186" t="s">
        <v>86</v>
      </c>
      <c r="Q58" s="185">
        <v>0</v>
      </c>
      <c r="R58" s="185">
        <v>1524851</v>
      </c>
      <c r="S58" s="185">
        <v>-1524851</v>
      </c>
      <c r="T58" s="199"/>
      <c r="U58" s="187"/>
      <c r="V58" s="187"/>
      <c r="W58" s="187">
        <v>0</v>
      </c>
      <c r="X58" s="186" t="s">
        <v>357</v>
      </c>
      <c r="Y58" s="188">
        <v>41815</v>
      </c>
      <c r="Z58" s="187" t="s">
        <v>345</v>
      </c>
      <c r="AA58" s="186" t="s">
        <v>109</v>
      </c>
      <c r="AB58" s="187"/>
      <c r="AC58" s="186" t="s">
        <v>358</v>
      </c>
    </row>
    <row r="59" spans="1:29" x14ac:dyDescent="0.2">
      <c r="A59" s="186" t="s">
        <v>77</v>
      </c>
      <c r="B59" s="186" t="s">
        <v>78</v>
      </c>
      <c r="C59" s="186" t="s">
        <v>79</v>
      </c>
      <c r="D59" s="187">
        <v>0</v>
      </c>
      <c r="E59" s="187">
        <v>6</v>
      </c>
      <c r="F59" s="187">
        <v>23</v>
      </c>
      <c r="G59" s="186" t="s">
        <v>128</v>
      </c>
      <c r="H59" s="186" t="s">
        <v>359</v>
      </c>
      <c r="I59" s="186" t="s">
        <v>81</v>
      </c>
      <c r="J59" s="186" t="s">
        <v>82</v>
      </c>
      <c r="K59" s="186" t="s">
        <v>83</v>
      </c>
      <c r="L59" s="186" t="s">
        <v>343</v>
      </c>
      <c r="M59" s="186" t="s">
        <v>85</v>
      </c>
      <c r="N59" s="186" t="s">
        <v>132</v>
      </c>
      <c r="O59" s="186" t="s">
        <v>133</v>
      </c>
      <c r="P59" s="186" t="s">
        <v>86</v>
      </c>
      <c r="Q59" s="185">
        <v>0</v>
      </c>
      <c r="R59" s="185">
        <v>463743</v>
      </c>
      <c r="S59" s="185">
        <v>-463743</v>
      </c>
      <c r="T59" s="199"/>
      <c r="U59" s="187"/>
      <c r="V59" s="187"/>
      <c r="W59" s="187">
        <v>0</v>
      </c>
      <c r="X59" s="186" t="s">
        <v>360</v>
      </c>
      <c r="Y59" s="188">
        <v>41815</v>
      </c>
      <c r="Z59" s="187" t="s">
        <v>345</v>
      </c>
      <c r="AA59" s="186" t="s">
        <v>109</v>
      </c>
      <c r="AB59" s="187"/>
      <c r="AC59" s="186" t="s">
        <v>361</v>
      </c>
    </row>
    <row r="60" spans="1:29" x14ac:dyDescent="0.2">
      <c r="A60" s="186" t="s">
        <v>77</v>
      </c>
      <c r="B60" s="186" t="s">
        <v>78</v>
      </c>
      <c r="C60" s="186" t="s">
        <v>79</v>
      </c>
      <c r="D60" s="187">
        <v>0</v>
      </c>
      <c r="E60" s="187">
        <v>6</v>
      </c>
      <c r="F60" s="187">
        <v>23</v>
      </c>
      <c r="G60" s="186" t="s">
        <v>128</v>
      </c>
      <c r="H60" s="186" t="s">
        <v>362</v>
      </c>
      <c r="I60" s="186" t="s">
        <v>81</v>
      </c>
      <c r="J60" s="186" t="s">
        <v>82</v>
      </c>
      <c r="K60" s="186" t="s">
        <v>83</v>
      </c>
      <c r="L60" s="186" t="s">
        <v>343</v>
      </c>
      <c r="M60" s="186" t="s">
        <v>85</v>
      </c>
      <c r="N60" s="186" t="s">
        <v>132</v>
      </c>
      <c r="O60" s="186" t="s">
        <v>133</v>
      </c>
      <c r="P60" s="186" t="s">
        <v>86</v>
      </c>
      <c r="Q60" s="185">
        <v>0</v>
      </c>
      <c r="R60" s="185">
        <v>2354108</v>
      </c>
      <c r="S60" s="185">
        <v>-2354108</v>
      </c>
      <c r="T60" s="199"/>
      <c r="U60" s="187"/>
      <c r="V60" s="187"/>
      <c r="W60" s="187">
        <v>0</v>
      </c>
      <c r="X60" s="186" t="s">
        <v>363</v>
      </c>
      <c r="Y60" s="188">
        <v>41815</v>
      </c>
      <c r="Z60" s="187" t="s">
        <v>345</v>
      </c>
      <c r="AA60" s="186" t="s">
        <v>109</v>
      </c>
      <c r="AB60" s="187"/>
      <c r="AC60" s="186" t="s">
        <v>364</v>
      </c>
    </row>
    <row r="61" spans="1:29" x14ac:dyDescent="0.2">
      <c r="A61" s="186" t="s">
        <v>77</v>
      </c>
      <c r="B61" s="186" t="s">
        <v>78</v>
      </c>
      <c r="C61" s="186" t="s">
        <v>79</v>
      </c>
      <c r="D61" s="187">
        <v>0</v>
      </c>
      <c r="E61" s="187">
        <v>6</v>
      </c>
      <c r="F61" s="187">
        <v>23</v>
      </c>
      <c r="G61" s="186" t="s">
        <v>128</v>
      </c>
      <c r="H61" s="186" t="s">
        <v>365</v>
      </c>
      <c r="I61" s="186" t="s">
        <v>81</v>
      </c>
      <c r="J61" s="186" t="s">
        <v>82</v>
      </c>
      <c r="K61" s="186" t="s">
        <v>83</v>
      </c>
      <c r="L61" s="186" t="s">
        <v>343</v>
      </c>
      <c r="M61" s="186" t="s">
        <v>85</v>
      </c>
      <c r="N61" s="186" t="s">
        <v>132</v>
      </c>
      <c r="O61" s="186" t="s">
        <v>133</v>
      </c>
      <c r="P61" s="186" t="s">
        <v>86</v>
      </c>
      <c r="Q61" s="185">
        <v>0</v>
      </c>
      <c r="R61" s="185">
        <v>4562375</v>
      </c>
      <c r="S61" s="185">
        <v>-4562375</v>
      </c>
      <c r="T61" s="199"/>
      <c r="U61" s="187"/>
      <c r="V61" s="187"/>
      <c r="W61" s="187">
        <v>0</v>
      </c>
      <c r="X61" s="186" t="s">
        <v>366</v>
      </c>
      <c r="Y61" s="188">
        <v>41815</v>
      </c>
      <c r="Z61" s="187" t="s">
        <v>345</v>
      </c>
      <c r="AA61" s="186" t="s">
        <v>109</v>
      </c>
      <c r="AB61" s="187"/>
      <c r="AC61" s="186" t="s">
        <v>367</v>
      </c>
    </row>
    <row r="62" spans="1:29" x14ac:dyDescent="0.2">
      <c r="A62" s="186" t="s">
        <v>77</v>
      </c>
      <c r="B62" s="186" t="s">
        <v>78</v>
      </c>
      <c r="C62" s="186" t="s">
        <v>79</v>
      </c>
      <c r="D62" s="187">
        <v>0</v>
      </c>
      <c r="E62" s="187">
        <v>6</v>
      </c>
      <c r="F62" s="187">
        <v>23</v>
      </c>
      <c r="G62" s="186" t="s">
        <v>128</v>
      </c>
      <c r="H62" s="186" t="s">
        <v>368</v>
      </c>
      <c r="I62" s="186" t="s">
        <v>81</v>
      </c>
      <c r="J62" s="186" t="s">
        <v>82</v>
      </c>
      <c r="K62" s="186" t="s">
        <v>83</v>
      </c>
      <c r="L62" s="186" t="s">
        <v>343</v>
      </c>
      <c r="M62" s="186" t="s">
        <v>85</v>
      </c>
      <c r="N62" s="186" t="s">
        <v>132</v>
      </c>
      <c r="O62" s="186" t="s">
        <v>133</v>
      </c>
      <c r="P62" s="186" t="s">
        <v>86</v>
      </c>
      <c r="Q62" s="185">
        <v>0</v>
      </c>
      <c r="R62" s="185">
        <v>443477</v>
      </c>
      <c r="S62" s="185">
        <v>-443477</v>
      </c>
      <c r="T62" s="199"/>
      <c r="U62" s="187"/>
      <c r="V62" s="187"/>
      <c r="W62" s="187">
        <v>0</v>
      </c>
      <c r="X62" s="186" t="s">
        <v>369</v>
      </c>
      <c r="Y62" s="188">
        <v>41815</v>
      </c>
      <c r="Z62" s="187" t="s">
        <v>345</v>
      </c>
      <c r="AA62" s="186" t="s">
        <v>109</v>
      </c>
      <c r="AB62" s="187"/>
      <c r="AC62" s="186" t="s">
        <v>370</v>
      </c>
    </row>
    <row r="63" spans="1:29" x14ac:dyDescent="0.2">
      <c r="A63" s="186" t="s">
        <v>77</v>
      </c>
      <c r="B63" s="186" t="s">
        <v>78</v>
      </c>
      <c r="C63" s="186" t="s">
        <v>79</v>
      </c>
      <c r="D63" s="187">
        <v>0</v>
      </c>
      <c r="E63" s="187">
        <v>6</v>
      </c>
      <c r="F63" s="187">
        <v>23</v>
      </c>
      <c r="G63" s="186" t="s">
        <v>128</v>
      </c>
      <c r="H63" s="186" t="s">
        <v>371</v>
      </c>
      <c r="I63" s="186" t="s">
        <v>81</v>
      </c>
      <c r="J63" s="186" t="s">
        <v>82</v>
      </c>
      <c r="K63" s="186" t="s">
        <v>83</v>
      </c>
      <c r="L63" s="186" t="s">
        <v>343</v>
      </c>
      <c r="M63" s="186" t="s">
        <v>85</v>
      </c>
      <c r="N63" s="186" t="s">
        <v>132</v>
      </c>
      <c r="O63" s="186" t="s">
        <v>133</v>
      </c>
      <c r="P63" s="186" t="s">
        <v>86</v>
      </c>
      <c r="Q63" s="185">
        <v>0</v>
      </c>
      <c r="R63" s="185">
        <v>1055601</v>
      </c>
      <c r="S63" s="185">
        <v>-1055601</v>
      </c>
      <c r="T63" s="199"/>
      <c r="U63" s="187"/>
      <c r="V63" s="187"/>
      <c r="W63" s="187">
        <v>0</v>
      </c>
      <c r="X63" s="186" t="s">
        <v>372</v>
      </c>
      <c r="Y63" s="188">
        <v>41815</v>
      </c>
      <c r="Z63" s="187" t="s">
        <v>345</v>
      </c>
      <c r="AA63" s="186" t="s">
        <v>109</v>
      </c>
      <c r="AB63" s="187"/>
      <c r="AC63" s="186" t="s">
        <v>373</v>
      </c>
    </row>
    <row r="64" spans="1:29" x14ac:dyDescent="0.2">
      <c r="A64" s="186" t="s">
        <v>77</v>
      </c>
      <c r="B64" s="186" t="s">
        <v>78</v>
      </c>
      <c r="C64" s="186" t="s">
        <v>79</v>
      </c>
      <c r="D64" s="187">
        <v>0</v>
      </c>
      <c r="E64" s="187">
        <v>6</v>
      </c>
      <c r="F64" s="187">
        <v>23</v>
      </c>
      <c r="G64" s="186" t="s">
        <v>128</v>
      </c>
      <c r="H64" s="186" t="s">
        <v>374</v>
      </c>
      <c r="I64" s="186" t="s">
        <v>81</v>
      </c>
      <c r="J64" s="186" t="s">
        <v>82</v>
      </c>
      <c r="K64" s="186" t="s">
        <v>83</v>
      </c>
      <c r="L64" s="186" t="s">
        <v>343</v>
      </c>
      <c r="M64" s="186" t="s">
        <v>85</v>
      </c>
      <c r="N64" s="186" t="s">
        <v>132</v>
      </c>
      <c r="O64" s="186" t="s">
        <v>133</v>
      </c>
      <c r="P64" s="186" t="s">
        <v>86</v>
      </c>
      <c r="Q64" s="185">
        <v>0</v>
      </c>
      <c r="R64" s="185">
        <v>544162</v>
      </c>
      <c r="S64" s="185">
        <v>-544162</v>
      </c>
      <c r="T64" s="199"/>
      <c r="U64" s="187"/>
      <c r="V64" s="187"/>
      <c r="W64" s="187">
        <v>0</v>
      </c>
      <c r="X64" s="186" t="s">
        <v>375</v>
      </c>
      <c r="Y64" s="188">
        <v>41815</v>
      </c>
      <c r="Z64" s="187" t="s">
        <v>345</v>
      </c>
      <c r="AA64" s="186" t="s">
        <v>109</v>
      </c>
      <c r="AB64" s="187"/>
      <c r="AC64" s="186" t="s">
        <v>376</v>
      </c>
    </row>
    <row r="65" spans="1:29" x14ac:dyDescent="0.2">
      <c r="A65" s="186" t="s">
        <v>77</v>
      </c>
      <c r="B65" s="186" t="s">
        <v>78</v>
      </c>
      <c r="C65" s="186" t="s">
        <v>79</v>
      </c>
      <c r="D65" s="187">
        <v>0</v>
      </c>
      <c r="E65" s="187">
        <v>6</v>
      </c>
      <c r="F65" s="187">
        <v>23</v>
      </c>
      <c r="G65" s="186" t="s">
        <v>128</v>
      </c>
      <c r="H65" s="186" t="s">
        <v>377</v>
      </c>
      <c r="I65" s="186" t="s">
        <v>81</v>
      </c>
      <c r="J65" s="186" t="s">
        <v>82</v>
      </c>
      <c r="K65" s="186" t="s">
        <v>83</v>
      </c>
      <c r="L65" s="186" t="s">
        <v>343</v>
      </c>
      <c r="M65" s="186" t="s">
        <v>85</v>
      </c>
      <c r="N65" s="186" t="s">
        <v>132</v>
      </c>
      <c r="O65" s="186" t="s">
        <v>133</v>
      </c>
      <c r="P65" s="186" t="s">
        <v>86</v>
      </c>
      <c r="Q65" s="185">
        <v>0</v>
      </c>
      <c r="R65" s="185">
        <v>769061</v>
      </c>
      <c r="S65" s="185">
        <v>-769061</v>
      </c>
      <c r="T65" s="199"/>
      <c r="U65" s="187"/>
      <c r="V65" s="187"/>
      <c r="W65" s="187">
        <v>0</v>
      </c>
      <c r="X65" s="186" t="s">
        <v>378</v>
      </c>
      <c r="Y65" s="188">
        <v>41815</v>
      </c>
      <c r="Z65" s="187" t="s">
        <v>345</v>
      </c>
      <c r="AA65" s="186" t="s">
        <v>109</v>
      </c>
      <c r="AB65" s="187"/>
      <c r="AC65" s="186" t="s">
        <v>379</v>
      </c>
    </row>
    <row r="66" spans="1:29" x14ac:dyDescent="0.2">
      <c r="A66" s="186" t="s">
        <v>77</v>
      </c>
      <c r="B66" s="186" t="s">
        <v>78</v>
      </c>
      <c r="C66" s="186" t="s">
        <v>79</v>
      </c>
      <c r="D66" s="187">
        <v>0</v>
      </c>
      <c r="E66" s="187">
        <v>6</v>
      </c>
      <c r="F66" s="187">
        <v>23</v>
      </c>
      <c r="G66" s="186" t="s">
        <v>128</v>
      </c>
      <c r="H66" s="186" t="s">
        <v>380</v>
      </c>
      <c r="I66" s="186" t="s">
        <v>81</v>
      </c>
      <c r="J66" s="186" t="s">
        <v>82</v>
      </c>
      <c r="K66" s="186" t="s">
        <v>83</v>
      </c>
      <c r="L66" s="186" t="s">
        <v>343</v>
      </c>
      <c r="M66" s="186" t="s">
        <v>85</v>
      </c>
      <c r="N66" s="186" t="s">
        <v>132</v>
      </c>
      <c r="O66" s="186" t="s">
        <v>133</v>
      </c>
      <c r="P66" s="186" t="s">
        <v>86</v>
      </c>
      <c r="Q66" s="185">
        <v>0</v>
      </c>
      <c r="R66" s="185">
        <v>25800458</v>
      </c>
      <c r="S66" s="185">
        <v>-25800458</v>
      </c>
      <c r="T66" s="199"/>
      <c r="U66" s="187"/>
      <c r="V66" s="187"/>
      <c r="W66" s="187">
        <v>0</v>
      </c>
      <c r="X66" s="186" t="s">
        <v>381</v>
      </c>
      <c r="Y66" s="188">
        <v>41815</v>
      </c>
      <c r="Z66" s="187" t="s">
        <v>345</v>
      </c>
      <c r="AA66" s="186" t="s">
        <v>109</v>
      </c>
      <c r="AB66" s="187"/>
      <c r="AC66" s="186" t="s">
        <v>382</v>
      </c>
    </row>
    <row r="67" spans="1:29" x14ac:dyDescent="0.2">
      <c r="A67" s="186" t="s">
        <v>77</v>
      </c>
      <c r="B67" s="186" t="s">
        <v>78</v>
      </c>
      <c r="C67" s="186" t="s">
        <v>79</v>
      </c>
      <c r="D67" s="187">
        <v>0</v>
      </c>
      <c r="E67" s="187">
        <v>6</v>
      </c>
      <c r="F67" s="187">
        <v>23</v>
      </c>
      <c r="G67" s="186" t="s">
        <v>128</v>
      </c>
      <c r="H67" s="186" t="s">
        <v>383</v>
      </c>
      <c r="I67" s="186" t="s">
        <v>81</v>
      </c>
      <c r="J67" s="186" t="s">
        <v>82</v>
      </c>
      <c r="K67" s="186" t="s">
        <v>83</v>
      </c>
      <c r="L67" s="186" t="s">
        <v>343</v>
      </c>
      <c r="M67" s="186" t="s">
        <v>85</v>
      </c>
      <c r="N67" s="186" t="s">
        <v>132</v>
      </c>
      <c r="O67" s="186" t="s">
        <v>133</v>
      </c>
      <c r="P67" s="186" t="s">
        <v>86</v>
      </c>
      <c r="Q67" s="185">
        <v>0</v>
      </c>
      <c r="R67" s="185">
        <v>1372489</v>
      </c>
      <c r="S67" s="185">
        <v>-1372489</v>
      </c>
      <c r="T67" s="199"/>
      <c r="U67" s="187"/>
      <c r="V67" s="187"/>
      <c r="W67" s="187">
        <v>0</v>
      </c>
      <c r="X67" s="186" t="s">
        <v>384</v>
      </c>
      <c r="Y67" s="188">
        <v>41815</v>
      </c>
      <c r="Z67" s="187" t="s">
        <v>345</v>
      </c>
      <c r="AA67" s="186" t="s">
        <v>109</v>
      </c>
      <c r="AB67" s="187"/>
      <c r="AC67" s="186" t="s">
        <v>385</v>
      </c>
    </row>
    <row r="68" spans="1:29" x14ac:dyDescent="0.2">
      <c r="A68" s="186" t="s">
        <v>77</v>
      </c>
      <c r="B68" s="186" t="s">
        <v>78</v>
      </c>
      <c r="C68" s="186" t="s">
        <v>79</v>
      </c>
      <c r="D68" s="187">
        <v>0</v>
      </c>
      <c r="E68" s="187">
        <v>6</v>
      </c>
      <c r="F68" s="187">
        <v>23</v>
      </c>
      <c r="G68" s="186" t="s">
        <v>128</v>
      </c>
      <c r="H68" s="186" t="s">
        <v>386</v>
      </c>
      <c r="I68" s="186" t="s">
        <v>81</v>
      </c>
      <c r="J68" s="186" t="s">
        <v>82</v>
      </c>
      <c r="K68" s="186" t="s">
        <v>83</v>
      </c>
      <c r="L68" s="186" t="s">
        <v>343</v>
      </c>
      <c r="M68" s="186" t="s">
        <v>85</v>
      </c>
      <c r="N68" s="186" t="s">
        <v>132</v>
      </c>
      <c r="O68" s="186" t="s">
        <v>133</v>
      </c>
      <c r="P68" s="186" t="s">
        <v>86</v>
      </c>
      <c r="Q68" s="185">
        <v>0</v>
      </c>
      <c r="R68" s="185">
        <v>4769359</v>
      </c>
      <c r="S68" s="185">
        <v>-4769359</v>
      </c>
      <c r="T68" s="199"/>
      <c r="U68" s="187"/>
      <c r="V68" s="187"/>
      <c r="W68" s="187">
        <v>0</v>
      </c>
      <c r="X68" s="186" t="s">
        <v>387</v>
      </c>
      <c r="Y68" s="188">
        <v>41815</v>
      </c>
      <c r="Z68" s="187" t="s">
        <v>345</v>
      </c>
      <c r="AA68" s="186" t="s">
        <v>109</v>
      </c>
      <c r="AB68" s="187"/>
      <c r="AC68" s="186" t="s">
        <v>388</v>
      </c>
    </row>
    <row r="69" spans="1:29" x14ac:dyDescent="0.2">
      <c r="A69" s="186" t="s">
        <v>77</v>
      </c>
      <c r="B69" s="186" t="s">
        <v>78</v>
      </c>
      <c r="C69" s="186" t="s">
        <v>79</v>
      </c>
      <c r="D69" s="187">
        <v>0</v>
      </c>
      <c r="E69" s="187">
        <v>6</v>
      </c>
      <c r="F69" s="187">
        <v>23</v>
      </c>
      <c r="G69" s="186" t="s">
        <v>128</v>
      </c>
      <c r="H69" s="186" t="s">
        <v>389</v>
      </c>
      <c r="I69" s="186" t="s">
        <v>81</v>
      </c>
      <c r="J69" s="186" t="s">
        <v>82</v>
      </c>
      <c r="K69" s="186" t="s">
        <v>83</v>
      </c>
      <c r="L69" s="186" t="s">
        <v>343</v>
      </c>
      <c r="M69" s="186" t="s">
        <v>85</v>
      </c>
      <c r="N69" s="186" t="s">
        <v>132</v>
      </c>
      <c r="O69" s="186" t="s">
        <v>133</v>
      </c>
      <c r="P69" s="186" t="s">
        <v>86</v>
      </c>
      <c r="Q69" s="185">
        <v>0</v>
      </c>
      <c r="R69" s="185">
        <v>2592234</v>
      </c>
      <c r="S69" s="185">
        <v>-2592234</v>
      </c>
      <c r="T69" s="199"/>
      <c r="U69" s="187"/>
      <c r="V69" s="187"/>
      <c r="W69" s="187">
        <v>0</v>
      </c>
      <c r="X69" s="186" t="s">
        <v>390</v>
      </c>
      <c r="Y69" s="188">
        <v>41815</v>
      </c>
      <c r="Z69" s="187" t="s">
        <v>345</v>
      </c>
      <c r="AA69" s="186" t="s">
        <v>109</v>
      </c>
      <c r="AB69" s="187"/>
      <c r="AC69" s="186" t="s">
        <v>391</v>
      </c>
    </row>
    <row r="70" spans="1:29" x14ac:dyDescent="0.2">
      <c r="A70" s="186" t="s">
        <v>77</v>
      </c>
      <c r="B70" s="186" t="s">
        <v>78</v>
      </c>
      <c r="C70" s="186" t="s">
        <v>79</v>
      </c>
      <c r="D70" s="187">
        <v>0</v>
      </c>
      <c r="E70" s="187">
        <v>6</v>
      </c>
      <c r="F70" s="187">
        <v>23</v>
      </c>
      <c r="G70" s="186" t="s">
        <v>128</v>
      </c>
      <c r="H70" s="186" t="s">
        <v>392</v>
      </c>
      <c r="I70" s="186" t="s">
        <v>81</v>
      </c>
      <c r="J70" s="186" t="s">
        <v>82</v>
      </c>
      <c r="K70" s="186" t="s">
        <v>83</v>
      </c>
      <c r="L70" s="186" t="s">
        <v>343</v>
      </c>
      <c r="M70" s="186" t="s">
        <v>85</v>
      </c>
      <c r="N70" s="186" t="s">
        <v>132</v>
      </c>
      <c r="O70" s="186" t="s">
        <v>133</v>
      </c>
      <c r="P70" s="186" t="s">
        <v>86</v>
      </c>
      <c r="Q70" s="185">
        <v>0</v>
      </c>
      <c r="R70" s="185">
        <v>2172527</v>
      </c>
      <c r="S70" s="185">
        <v>-2172527</v>
      </c>
      <c r="T70" s="199"/>
      <c r="U70" s="187"/>
      <c r="V70" s="187"/>
      <c r="W70" s="187">
        <v>0</v>
      </c>
      <c r="X70" s="186" t="s">
        <v>393</v>
      </c>
      <c r="Y70" s="188">
        <v>41815</v>
      </c>
      <c r="Z70" s="187" t="s">
        <v>345</v>
      </c>
      <c r="AA70" s="186" t="s">
        <v>109</v>
      </c>
      <c r="AB70" s="187"/>
      <c r="AC70" s="186" t="s">
        <v>394</v>
      </c>
    </row>
    <row r="71" spans="1:29" x14ac:dyDescent="0.2">
      <c r="A71" s="186" t="s">
        <v>77</v>
      </c>
      <c r="B71" s="186" t="s">
        <v>78</v>
      </c>
      <c r="C71" s="186" t="s">
        <v>79</v>
      </c>
      <c r="D71" s="187">
        <v>0</v>
      </c>
      <c r="E71" s="187">
        <v>6</v>
      </c>
      <c r="F71" s="187">
        <v>23</v>
      </c>
      <c r="G71" s="186" t="s">
        <v>128</v>
      </c>
      <c r="H71" s="186" t="s">
        <v>395</v>
      </c>
      <c r="I71" s="186" t="s">
        <v>81</v>
      </c>
      <c r="J71" s="186" t="s">
        <v>82</v>
      </c>
      <c r="K71" s="186" t="s">
        <v>83</v>
      </c>
      <c r="L71" s="186" t="s">
        <v>343</v>
      </c>
      <c r="M71" s="186" t="s">
        <v>85</v>
      </c>
      <c r="N71" s="186" t="s">
        <v>132</v>
      </c>
      <c r="O71" s="186" t="s">
        <v>133</v>
      </c>
      <c r="P71" s="186" t="s">
        <v>86</v>
      </c>
      <c r="Q71" s="185">
        <v>0</v>
      </c>
      <c r="R71" s="185">
        <v>1173883</v>
      </c>
      <c r="S71" s="185">
        <v>-1173883</v>
      </c>
      <c r="T71" s="199"/>
      <c r="U71" s="187"/>
      <c r="V71" s="187"/>
      <c r="W71" s="187">
        <v>0</v>
      </c>
      <c r="X71" s="186" t="s">
        <v>396</v>
      </c>
      <c r="Y71" s="188">
        <v>41815</v>
      </c>
      <c r="Z71" s="187" t="s">
        <v>345</v>
      </c>
      <c r="AA71" s="186" t="s">
        <v>109</v>
      </c>
      <c r="AB71" s="187"/>
      <c r="AC71" s="186" t="s">
        <v>397</v>
      </c>
    </row>
    <row r="72" spans="1:29" x14ac:dyDescent="0.2">
      <c r="A72" s="186" t="s">
        <v>77</v>
      </c>
      <c r="B72" s="186" t="s">
        <v>78</v>
      </c>
      <c r="C72" s="186" t="s">
        <v>79</v>
      </c>
      <c r="D72" s="187">
        <v>0</v>
      </c>
      <c r="E72" s="187">
        <v>6</v>
      </c>
      <c r="F72" s="187">
        <v>23</v>
      </c>
      <c r="G72" s="186" t="s">
        <v>128</v>
      </c>
      <c r="H72" s="186" t="s">
        <v>398</v>
      </c>
      <c r="I72" s="186" t="s">
        <v>81</v>
      </c>
      <c r="J72" s="186" t="s">
        <v>82</v>
      </c>
      <c r="K72" s="186" t="s">
        <v>83</v>
      </c>
      <c r="L72" s="186" t="s">
        <v>343</v>
      </c>
      <c r="M72" s="186" t="s">
        <v>85</v>
      </c>
      <c r="N72" s="186" t="s">
        <v>132</v>
      </c>
      <c r="O72" s="186" t="s">
        <v>133</v>
      </c>
      <c r="P72" s="186" t="s">
        <v>86</v>
      </c>
      <c r="Q72" s="185">
        <v>0</v>
      </c>
      <c r="R72" s="185">
        <v>3426032</v>
      </c>
      <c r="S72" s="185">
        <v>-3426032</v>
      </c>
      <c r="T72" s="185"/>
      <c r="U72" s="187"/>
      <c r="V72" s="187"/>
      <c r="W72" s="187">
        <v>0</v>
      </c>
      <c r="X72" s="186" t="s">
        <v>399</v>
      </c>
      <c r="Y72" s="188">
        <v>41815</v>
      </c>
      <c r="Z72" s="187" t="s">
        <v>345</v>
      </c>
      <c r="AA72" s="186" t="s">
        <v>109</v>
      </c>
      <c r="AB72" s="187"/>
      <c r="AC72" s="186" t="s">
        <v>400</v>
      </c>
    </row>
    <row r="73" spans="1:29" x14ac:dyDescent="0.2">
      <c r="A73" s="186" t="s">
        <v>77</v>
      </c>
      <c r="B73" s="186" t="s">
        <v>78</v>
      </c>
      <c r="C73" s="186" t="s">
        <v>79</v>
      </c>
      <c r="D73" s="187">
        <v>0</v>
      </c>
      <c r="E73" s="187">
        <v>6</v>
      </c>
      <c r="F73" s="187">
        <v>23</v>
      </c>
      <c r="G73" s="186" t="s">
        <v>128</v>
      </c>
      <c r="H73" s="186" t="s">
        <v>401</v>
      </c>
      <c r="I73" s="186" t="s">
        <v>81</v>
      </c>
      <c r="J73" s="186" t="s">
        <v>82</v>
      </c>
      <c r="K73" s="186" t="s">
        <v>83</v>
      </c>
      <c r="L73" s="186" t="s">
        <v>343</v>
      </c>
      <c r="M73" s="186" t="s">
        <v>85</v>
      </c>
      <c r="N73" s="186" t="s">
        <v>132</v>
      </c>
      <c r="O73" s="186" t="s">
        <v>133</v>
      </c>
      <c r="P73" s="186" t="s">
        <v>86</v>
      </c>
      <c r="Q73" s="185">
        <v>0</v>
      </c>
      <c r="R73" s="185">
        <v>2450096</v>
      </c>
      <c r="S73" s="185">
        <v>-2450096</v>
      </c>
      <c r="T73" s="199"/>
      <c r="U73" s="187"/>
      <c r="V73" s="187"/>
      <c r="W73" s="187">
        <v>0</v>
      </c>
      <c r="X73" s="186" t="s">
        <v>402</v>
      </c>
      <c r="Y73" s="188">
        <v>41815</v>
      </c>
      <c r="Z73" s="187" t="s">
        <v>345</v>
      </c>
      <c r="AA73" s="186" t="s">
        <v>109</v>
      </c>
      <c r="AB73" s="187"/>
      <c r="AC73" s="186" t="s">
        <v>403</v>
      </c>
    </row>
    <row r="74" spans="1:29" x14ac:dyDescent="0.2">
      <c r="A74" s="186" t="s">
        <v>77</v>
      </c>
      <c r="B74" s="186" t="s">
        <v>78</v>
      </c>
      <c r="C74" s="186" t="s">
        <v>79</v>
      </c>
      <c r="D74" s="187">
        <v>0</v>
      </c>
      <c r="E74" s="187">
        <v>6</v>
      </c>
      <c r="F74" s="187">
        <v>23</v>
      </c>
      <c r="G74" s="186" t="s">
        <v>128</v>
      </c>
      <c r="H74" s="186" t="s">
        <v>404</v>
      </c>
      <c r="I74" s="186" t="s">
        <v>81</v>
      </c>
      <c r="J74" s="186" t="s">
        <v>82</v>
      </c>
      <c r="K74" s="186" t="s">
        <v>83</v>
      </c>
      <c r="L74" s="186" t="s">
        <v>343</v>
      </c>
      <c r="M74" s="186" t="s">
        <v>85</v>
      </c>
      <c r="N74" s="186" t="s">
        <v>132</v>
      </c>
      <c r="O74" s="186" t="s">
        <v>133</v>
      </c>
      <c r="P74" s="186" t="s">
        <v>86</v>
      </c>
      <c r="Q74" s="185">
        <v>0</v>
      </c>
      <c r="R74" s="185">
        <v>1218779</v>
      </c>
      <c r="S74" s="185">
        <v>-1218779</v>
      </c>
      <c r="T74" s="199"/>
      <c r="U74" s="187"/>
      <c r="V74" s="187"/>
      <c r="W74" s="187">
        <v>0</v>
      </c>
      <c r="X74" s="186" t="s">
        <v>405</v>
      </c>
      <c r="Y74" s="188">
        <v>41815</v>
      </c>
      <c r="Z74" s="187" t="s">
        <v>345</v>
      </c>
      <c r="AA74" s="186" t="s">
        <v>109</v>
      </c>
      <c r="AB74" s="187"/>
      <c r="AC74" s="186" t="s">
        <v>406</v>
      </c>
    </row>
    <row r="75" spans="1:29" x14ac:dyDescent="0.2">
      <c r="A75" s="186" t="s">
        <v>77</v>
      </c>
      <c r="B75" s="186" t="s">
        <v>78</v>
      </c>
      <c r="C75" s="186" t="s">
        <v>79</v>
      </c>
      <c r="D75" s="187">
        <v>0</v>
      </c>
      <c r="E75" s="187">
        <v>6</v>
      </c>
      <c r="F75" s="187">
        <v>23</v>
      </c>
      <c r="G75" s="186" t="s">
        <v>128</v>
      </c>
      <c r="H75" s="186" t="s">
        <v>407</v>
      </c>
      <c r="I75" s="186" t="s">
        <v>81</v>
      </c>
      <c r="J75" s="186" t="s">
        <v>82</v>
      </c>
      <c r="K75" s="186" t="s">
        <v>83</v>
      </c>
      <c r="L75" s="186" t="s">
        <v>343</v>
      </c>
      <c r="M75" s="186" t="s">
        <v>85</v>
      </c>
      <c r="N75" s="186" t="s">
        <v>132</v>
      </c>
      <c r="O75" s="186" t="s">
        <v>133</v>
      </c>
      <c r="P75" s="186" t="s">
        <v>86</v>
      </c>
      <c r="Q75" s="185">
        <v>0</v>
      </c>
      <c r="R75" s="185">
        <v>689533</v>
      </c>
      <c r="S75" s="185">
        <v>-689533</v>
      </c>
      <c r="T75" s="199"/>
      <c r="U75" s="187"/>
      <c r="V75" s="187"/>
      <c r="W75" s="187">
        <v>0</v>
      </c>
      <c r="X75" s="186" t="s">
        <v>408</v>
      </c>
      <c r="Y75" s="188">
        <v>41815</v>
      </c>
      <c r="Z75" s="187" t="s">
        <v>345</v>
      </c>
      <c r="AA75" s="186" t="s">
        <v>109</v>
      </c>
      <c r="AB75" s="187"/>
      <c r="AC75" s="186" t="s">
        <v>409</v>
      </c>
    </row>
    <row r="76" spans="1:29" x14ac:dyDescent="0.2">
      <c r="A76" s="186" t="s">
        <v>77</v>
      </c>
      <c r="B76" s="186" t="s">
        <v>78</v>
      </c>
      <c r="C76" s="186" t="s">
        <v>79</v>
      </c>
      <c r="D76" s="187">
        <v>0</v>
      </c>
      <c r="E76" s="187">
        <v>6</v>
      </c>
      <c r="F76" s="187">
        <v>23</v>
      </c>
      <c r="G76" s="186" t="s">
        <v>128</v>
      </c>
      <c r="H76" s="186" t="s">
        <v>410</v>
      </c>
      <c r="I76" s="186" t="s">
        <v>81</v>
      </c>
      <c r="J76" s="186" t="s">
        <v>82</v>
      </c>
      <c r="K76" s="186" t="s">
        <v>83</v>
      </c>
      <c r="L76" s="186" t="s">
        <v>343</v>
      </c>
      <c r="M76" s="186" t="s">
        <v>85</v>
      </c>
      <c r="N76" s="186" t="s">
        <v>132</v>
      </c>
      <c r="O76" s="186" t="s">
        <v>133</v>
      </c>
      <c r="P76" s="186" t="s">
        <v>86</v>
      </c>
      <c r="Q76" s="185">
        <v>0</v>
      </c>
      <c r="R76" s="185">
        <v>12710968</v>
      </c>
      <c r="S76" s="185">
        <v>-12710968</v>
      </c>
      <c r="T76" s="199"/>
      <c r="U76" s="187"/>
      <c r="V76" s="187"/>
      <c r="W76" s="187">
        <v>0</v>
      </c>
      <c r="X76" s="186" t="s">
        <v>411</v>
      </c>
      <c r="Y76" s="188">
        <v>41815</v>
      </c>
      <c r="Z76" s="187" t="s">
        <v>345</v>
      </c>
      <c r="AA76" s="186" t="s">
        <v>109</v>
      </c>
      <c r="AB76" s="187"/>
      <c r="AC76" s="186" t="s">
        <v>412</v>
      </c>
    </row>
    <row r="77" spans="1:29" x14ac:dyDescent="0.2">
      <c r="A77" s="186" t="s">
        <v>77</v>
      </c>
      <c r="B77" s="186" t="s">
        <v>78</v>
      </c>
      <c r="C77" s="186" t="s">
        <v>79</v>
      </c>
      <c r="D77" s="187">
        <v>0</v>
      </c>
      <c r="E77" s="187">
        <v>6</v>
      </c>
      <c r="F77" s="187">
        <v>23</v>
      </c>
      <c r="G77" s="186" t="s">
        <v>128</v>
      </c>
      <c r="H77" s="186" t="s">
        <v>413</v>
      </c>
      <c r="I77" s="186" t="s">
        <v>81</v>
      </c>
      <c r="J77" s="186" t="s">
        <v>82</v>
      </c>
      <c r="K77" s="186" t="s">
        <v>83</v>
      </c>
      <c r="L77" s="186" t="s">
        <v>343</v>
      </c>
      <c r="M77" s="186" t="s">
        <v>85</v>
      </c>
      <c r="N77" s="186" t="s">
        <v>132</v>
      </c>
      <c r="O77" s="186" t="s">
        <v>133</v>
      </c>
      <c r="P77" s="186" t="s">
        <v>86</v>
      </c>
      <c r="Q77" s="185">
        <v>0</v>
      </c>
      <c r="R77" s="185">
        <v>764047</v>
      </c>
      <c r="S77" s="185">
        <v>-764047</v>
      </c>
      <c r="T77" s="199"/>
      <c r="U77" s="187"/>
      <c r="V77" s="187"/>
      <c r="W77" s="187">
        <v>0</v>
      </c>
      <c r="X77" s="186" t="s">
        <v>414</v>
      </c>
      <c r="Y77" s="188">
        <v>41815</v>
      </c>
      <c r="Z77" s="187" t="s">
        <v>345</v>
      </c>
      <c r="AA77" s="186" t="s">
        <v>109</v>
      </c>
      <c r="AB77" s="187"/>
      <c r="AC77" s="186" t="s">
        <v>415</v>
      </c>
    </row>
    <row r="78" spans="1:29" x14ac:dyDescent="0.2">
      <c r="A78" s="186" t="s">
        <v>77</v>
      </c>
      <c r="B78" s="186" t="s">
        <v>78</v>
      </c>
      <c r="C78" s="186" t="s">
        <v>79</v>
      </c>
      <c r="D78" s="187">
        <v>0</v>
      </c>
      <c r="E78" s="187">
        <v>6</v>
      </c>
      <c r="F78" s="187">
        <v>23</v>
      </c>
      <c r="G78" s="186" t="s">
        <v>128</v>
      </c>
      <c r="H78" s="186" t="s">
        <v>416</v>
      </c>
      <c r="I78" s="186" t="s">
        <v>81</v>
      </c>
      <c r="J78" s="186" t="s">
        <v>82</v>
      </c>
      <c r="K78" s="186" t="s">
        <v>83</v>
      </c>
      <c r="L78" s="186" t="s">
        <v>343</v>
      </c>
      <c r="M78" s="186" t="s">
        <v>85</v>
      </c>
      <c r="N78" s="186" t="s">
        <v>132</v>
      </c>
      <c r="O78" s="186" t="s">
        <v>133</v>
      </c>
      <c r="P78" s="186" t="s">
        <v>86</v>
      </c>
      <c r="Q78" s="185">
        <v>0</v>
      </c>
      <c r="R78" s="185">
        <v>1889137</v>
      </c>
      <c r="S78" s="185">
        <v>-1889137</v>
      </c>
      <c r="T78" s="199"/>
      <c r="U78" s="187"/>
      <c r="V78" s="187"/>
      <c r="W78" s="187">
        <v>0</v>
      </c>
      <c r="X78" s="186" t="s">
        <v>417</v>
      </c>
      <c r="Y78" s="188">
        <v>41815</v>
      </c>
      <c r="Z78" s="187" t="s">
        <v>345</v>
      </c>
      <c r="AA78" s="186" t="s">
        <v>109</v>
      </c>
      <c r="AB78" s="187"/>
      <c r="AC78" s="186" t="s">
        <v>418</v>
      </c>
    </row>
    <row r="79" spans="1:29" x14ac:dyDescent="0.2">
      <c r="A79" s="186" t="s">
        <v>77</v>
      </c>
      <c r="B79" s="186" t="s">
        <v>78</v>
      </c>
      <c r="C79" s="186" t="s">
        <v>79</v>
      </c>
      <c r="D79" s="187">
        <v>0</v>
      </c>
      <c r="E79" s="187">
        <v>6</v>
      </c>
      <c r="F79" s="187">
        <v>23</v>
      </c>
      <c r="G79" s="186" t="s">
        <v>128</v>
      </c>
      <c r="H79" s="186" t="s">
        <v>419</v>
      </c>
      <c r="I79" s="186" t="s">
        <v>81</v>
      </c>
      <c r="J79" s="186" t="s">
        <v>82</v>
      </c>
      <c r="K79" s="186" t="s">
        <v>83</v>
      </c>
      <c r="L79" s="186" t="s">
        <v>343</v>
      </c>
      <c r="M79" s="186" t="s">
        <v>85</v>
      </c>
      <c r="N79" s="186" t="s">
        <v>132</v>
      </c>
      <c r="O79" s="186" t="s">
        <v>133</v>
      </c>
      <c r="P79" s="186" t="s">
        <v>86</v>
      </c>
      <c r="Q79" s="185">
        <v>0</v>
      </c>
      <c r="R79" s="185">
        <v>218250</v>
      </c>
      <c r="S79" s="185">
        <v>-218250</v>
      </c>
      <c r="T79" s="199"/>
      <c r="U79" s="187"/>
      <c r="V79" s="187"/>
      <c r="W79" s="187">
        <v>0</v>
      </c>
      <c r="X79" s="186" t="s">
        <v>420</v>
      </c>
      <c r="Y79" s="188">
        <v>41815</v>
      </c>
      <c r="Z79" s="187" t="s">
        <v>345</v>
      </c>
      <c r="AA79" s="186" t="s">
        <v>109</v>
      </c>
      <c r="AB79" s="187"/>
      <c r="AC79" s="186" t="s">
        <v>421</v>
      </c>
    </row>
    <row r="80" spans="1:29" x14ac:dyDescent="0.2">
      <c r="A80" s="186" t="s">
        <v>77</v>
      </c>
      <c r="B80" s="186" t="s">
        <v>78</v>
      </c>
      <c r="C80" s="186" t="s">
        <v>79</v>
      </c>
      <c r="D80" s="187">
        <v>0</v>
      </c>
      <c r="E80" s="187">
        <v>6</v>
      </c>
      <c r="F80" s="187">
        <v>23</v>
      </c>
      <c r="G80" s="186" t="s">
        <v>128</v>
      </c>
      <c r="H80" s="186" t="s">
        <v>422</v>
      </c>
      <c r="I80" s="186" t="s">
        <v>81</v>
      </c>
      <c r="J80" s="186" t="s">
        <v>82</v>
      </c>
      <c r="K80" s="186" t="s">
        <v>83</v>
      </c>
      <c r="L80" s="186" t="s">
        <v>343</v>
      </c>
      <c r="M80" s="186" t="s">
        <v>85</v>
      </c>
      <c r="N80" s="186" t="s">
        <v>132</v>
      </c>
      <c r="O80" s="186" t="s">
        <v>133</v>
      </c>
      <c r="P80" s="186" t="s">
        <v>86</v>
      </c>
      <c r="Q80" s="185">
        <v>0</v>
      </c>
      <c r="R80" s="185">
        <v>264883</v>
      </c>
      <c r="S80" s="185">
        <v>-264883</v>
      </c>
      <c r="T80" s="199"/>
      <c r="U80" s="187"/>
      <c r="V80" s="187"/>
      <c r="W80" s="187">
        <v>0</v>
      </c>
      <c r="X80" s="186" t="s">
        <v>423</v>
      </c>
      <c r="Y80" s="188">
        <v>41815</v>
      </c>
      <c r="Z80" s="187" t="s">
        <v>345</v>
      </c>
      <c r="AA80" s="186" t="s">
        <v>109</v>
      </c>
      <c r="AB80" s="187"/>
      <c r="AC80" s="186" t="s">
        <v>424</v>
      </c>
    </row>
    <row r="81" spans="1:29" x14ac:dyDescent="0.2">
      <c r="A81" s="186" t="s">
        <v>77</v>
      </c>
      <c r="B81" s="186" t="s">
        <v>78</v>
      </c>
      <c r="C81" s="186" t="s">
        <v>79</v>
      </c>
      <c r="D81" s="187">
        <v>0</v>
      </c>
      <c r="E81" s="187">
        <v>6</v>
      </c>
      <c r="F81" s="187">
        <v>23</v>
      </c>
      <c r="G81" s="186" t="s">
        <v>128</v>
      </c>
      <c r="H81" s="186" t="s">
        <v>425</v>
      </c>
      <c r="I81" s="186" t="s">
        <v>81</v>
      </c>
      <c r="J81" s="186" t="s">
        <v>82</v>
      </c>
      <c r="K81" s="186" t="s">
        <v>83</v>
      </c>
      <c r="L81" s="186" t="s">
        <v>343</v>
      </c>
      <c r="M81" s="186" t="s">
        <v>85</v>
      </c>
      <c r="N81" s="186" t="s">
        <v>132</v>
      </c>
      <c r="O81" s="186" t="s">
        <v>133</v>
      </c>
      <c r="P81" s="186" t="s">
        <v>86</v>
      </c>
      <c r="Q81" s="185">
        <v>0</v>
      </c>
      <c r="R81" s="185">
        <v>151881</v>
      </c>
      <c r="S81" s="185">
        <v>-151881</v>
      </c>
      <c r="T81" s="199"/>
      <c r="U81" s="187"/>
      <c r="V81" s="187"/>
      <c r="W81" s="187">
        <v>0</v>
      </c>
      <c r="X81" s="186" t="s">
        <v>426</v>
      </c>
      <c r="Y81" s="188">
        <v>41815</v>
      </c>
      <c r="Z81" s="187" t="s">
        <v>345</v>
      </c>
      <c r="AA81" s="186" t="s">
        <v>109</v>
      </c>
      <c r="AB81" s="187"/>
      <c r="AC81" s="186" t="s">
        <v>427</v>
      </c>
    </row>
    <row r="82" spans="1:29" x14ac:dyDescent="0.2">
      <c r="A82" s="186" t="s">
        <v>77</v>
      </c>
      <c r="B82" s="186" t="s">
        <v>78</v>
      </c>
      <c r="C82" s="186" t="s">
        <v>79</v>
      </c>
      <c r="D82" s="187">
        <v>0</v>
      </c>
      <c r="E82" s="187">
        <v>6</v>
      </c>
      <c r="F82" s="187">
        <v>23</v>
      </c>
      <c r="G82" s="186" t="s">
        <v>128</v>
      </c>
      <c r="H82" s="186" t="s">
        <v>428</v>
      </c>
      <c r="I82" s="186" t="s">
        <v>81</v>
      </c>
      <c r="J82" s="186" t="s">
        <v>82</v>
      </c>
      <c r="K82" s="186" t="s">
        <v>83</v>
      </c>
      <c r="L82" s="186" t="s">
        <v>343</v>
      </c>
      <c r="M82" s="186" t="s">
        <v>85</v>
      </c>
      <c r="N82" s="186" t="s">
        <v>132</v>
      </c>
      <c r="O82" s="186" t="s">
        <v>133</v>
      </c>
      <c r="P82" s="186" t="s">
        <v>86</v>
      </c>
      <c r="Q82" s="185">
        <v>0</v>
      </c>
      <c r="R82" s="185">
        <v>103086</v>
      </c>
      <c r="S82" s="185">
        <v>-103086</v>
      </c>
      <c r="T82" s="199"/>
      <c r="U82" s="187"/>
      <c r="V82" s="187"/>
      <c r="W82" s="187">
        <v>0</v>
      </c>
      <c r="X82" s="186" t="s">
        <v>429</v>
      </c>
      <c r="Y82" s="188">
        <v>41815</v>
      </c>
      <c r="Z82" s="187" t="s">
        <v>345</v>
      </c>
      <c r="AA82" s="186" t="s">
        <v>109</v>
      </c>
      <c r="AB82" s="187"/>
      <c r="AC82" s="186" t="s">
        <v>430</v>
      </c>
    </row>
    <row r="83" spans="1:29" x14ac:dyDescent="0.2">
      <c r="A83" s="186" t="s">
        <v>77</v>
      </c>
      <c r="B83" s="186" t="s">
        <v>78</v>
      </c>
      <c r="C83" s="186" t="s">
        <v>79</v>
      </c>
      <c r="D83" s="187">
        <v>0</v>
      </c>
      <c r="E83" s="187">
        <v>6</v>
      </c>
      <c r="F83" s="187">
        <v>24</v>
      </c>
      <c r="G83" s="186" t="s">
        <v>128</v>
      </c>
      <c r="H83" s="186" t="s">
        <v>431</v>
      </c>
      <c r="I83" s="186" t="s">
        <v>81</v>
      </c>
      <c r="J83" s="186" t="s">
        <v>82</v>
      </c>
      <c r="K83" s="186" t="s">
        <v>114</v>
      </c>
      <c r="L83" s="186" t="s">
        <v>115</v>
      </c>
      <c r="M83" s="186" t="s">
        <v>85</v>
      </c>
      <c r="N83" s="186" t="s">
        <v>130</v>
      </c>
      <c r="O83" s="186" t="s">
        <v>133</v>
      </c>
      <c r="P83" s="186" t="s">
        <v>86</v>
      </c>
      <c r="Q83" s="86">
        <v>0</v>
      </c>
      <c r="R83" s="86">
        <v>15339.9</v>
      </c>
      <c r="S83" s="86">
        <v>-15339.9</v>
      </c>
      <c r="T83" s="187"/>
      <c r="U83" s="187"/>
      <c r="V83" s="187"/>
      <c r="W83" s="187">
        <v>0</v>
      </c>
      <c r="X83" s="186" t="s">
        <v>432</v>
      </c>
      <c r="Y83" s="188">
        <v>41815</v>
      </c>
      <c r="Z83" s="187" t="s">
        <v>108</v>
      </c>
      <c r="AA83" s="186" t="s">
        <v>109</v>
      </c>
      <c r="AB83" s="187"/>
      <c r="AC83" s="186" t="s">
        <v>433</v>
      </c>
    </row>
    <row r="84" spans="1:29" x14ac:dyDescent="0.2">
      <c r="A84" s="186" t="s">
        <v>77</v>
      </c>
      <c r="B84" s="186" t="s">
        <v>78</v>
      </c>
      <c r="C84" s="186" t="s">
        <v>79</v>
      </c>
      <c r="D84" s="187">
        <v>0</v>
      </c>
      <c r="E84" s="187">
        <v>6</v>
      </c>
      <c r="F84" s="187">
        <v>24</v>
      </c>
      <c r="G84" s="186" t="s">
        <v>128</v>
      </c>
      <c r="H84" s="186" t="s">
        <v>434</v>
      </c>
      <c r="I84" s="186" t="s">
        <v>81</v>
      </c>
      <c r="J84" s="186" t="s">
        <v>82</v>
      </c>
      <c r="K84" s="186" t="s">
        <v>114</v>
      </c>
      <c r="L84" s="186" t="s">
        <v>115</v>
      </c>
      <c r="M84" s="186" t="s">
        <v>85</v>
      </c>
      <c r="N84" s="186" t="s">
        <v>130</v>
      </c>
      <c r="O84" s="186" t="s">
        <v>133</v>
      </c>
      <c r="P84" s="186" t="s">
        <v>86</v>
      </c>
      <c r="Q84" s="86">
        <v>0</v>
      </c>
      <c r="R84" s="86">
        <v>1340</v>
      </c>
      <c r="S84" s="86">
        <v>-1340</v>
      </c>
      <c r="T84" s="187"/>
      <c r="U84" s="187"/>
      <c r="V84" s="187"/>
      <c r="W84" s="187">
        <v>0</v>
      </c>
      <c r="X84" s="186" t="s">
        <v>435</v>
      </c>
      <c r="Y84" s="188">
        <v>41815</v>
      </c>
      <c r="Z84" s="187" t="s">
        <v>108</v>
      </c>
      <c r="AA84" s="186" t="s">
        <v>109</v>
      </c>
      <c r="AB84" s="187"/>
      <c r="AC84" s="186" t="s">
        <v>436</v>
      </c>
    </row>
    <row r="85" spans="1:29" x14ac:dyDescent="0.2">
      <c r="A85" s="186" t="s">
        <v>77</v>
      </c>
      <c r="B85" s="186" t="s">
        <v>78</v>
      </c>
      <c r="C85" s="186" t="s">
        <v>79</v>
      </c>
      <c r="D85" s="187">
        <v>0</v>
      </c>
      <c r="E85" s="187">
        <v>6</v>
      </c>
      <c r="F85" s="187">
        <v>24</v>
      </c>
      <c r="G85" s="186" t="s">
        <v>128</v>
      </c>
      <c r="H85" s="186" t="s">
        <v>437</v>
      </c>
      <c r="I85" s="186" t="s">
        <v>81</v>
      </c>
      <c r="J85" s="186" t="s">
        <v>82</v>
      </c>
      <c r="K85" s="186" t="s">
        <v>83</v>
      </c>
      <c r="L85" s="186" t="s">
        <v>245</v>
      </c>
      <c r="M85" s="186" t="s">
        <v>85</v>
      </c>
      <c r="N85" s="186" t="s">
        <v>132</v>
      </c>
      <c r="O85" s="186" t="s">
        <v>133</v>
      </c>
      <c r="P85" s="186" t="s">
        <v>86</v>
      </c>
      <c r="Q85" s="170">
        <v>273</v>
      </c>
      <c r="R85" s="170">
        <v>0</v>
      </c>
      <c r="S85" s="170">
        <v>273</v>
      </c>
      <c r="T85" s="170" t="s">
        <v>438</v>
      </c>
      <c r="U85" s="187"/>
      <c r="V85" s="187"/>
      <c r="W85" s="187">
        <v>0</v>
      </c>
      <c r="X85" s="186" t="s">
        <v>439</v>
      </c>
      <c r="Y85" s="188">
        <v>41815</v>
      </c>
      <c r="Z85" s="187" t="s">
        <v>87</v>
      </c>
      <c r="AA85" s="187"/>
      <c r="AB85" s="187"/>
      <c r="AC85" s="186" t="s">
        <v>440</v>
      </c>
    </row>
    <row r="86" spans="1:29" x14ac:dyDescent="0.2">
      <c r="A86" s="186" t="s">
        <v>77</v>
      </c>
      <c r="B86" s="186" t="s">
        <v>78</v>
      </c>
      <c r="C86" s="186" t="s">
        <v>79</v>
      </c>
      <c r="D86" s="187">
        <v>0</v>
      </c>
      <c r="E86" s="187">
        <v>6</v>
      </c>
      <c r="F86" s="187">
        <v>26</v>
      </c>
      <c r="G86" s="186" t="s">
        <v>128</v>
      </c>
      <c r="H86" s="186" t="s">
        <v>441</v>
      </c>
      <c r="I86" s="186" t="s">
        <v>81</v>
      </c>
      <c r="J86" s="186" t="s">
        <v>82</v>
      </c>
      <c r="K86" s="186" t="s">
        <v>83</v>
      </c>
      <c r="L86" s="186" t="s">
        <v>245</v>
      </c>
      <c r="M86" s="186" t="s">
        <v>85</v>
      </c>
      <c r="N86" s="186" t="s">
        <v>132</v>
      </c>
      <c r="O86" s="186" t="s">
        <v>133</v>
      </c>
      <c r="P86" s="186" t="s">
        <v>86</v>
      </c>
      <c r="Q86" s="170">
        <v>15168</v>
      </c>
      <c r="R86" s="170">
        <v>0</v>
      </c>
      <c r="S86" s="170">
        <v>15168</v>
      </c>
      <c r="T86" s="170" t="s">
        <v>442</v>
      </c>
      <c r="U86" s="187"/>
      <c r="V86" s="187"/>
      <c r="W86" s="187">
        <v>0</v>
      </c>
      <c r="X86" s="186" t="s">
        <v>443</v>
      </c>
      <c r="Y86" s="188">
        <v>41820</v>
      </c>
      <c r="Z86" s="187" t="s">
        <v>87</v>
      </c>
      <c r="AA86" s="187"/>
      <c r="AB86" s="187"/>
      <c r="AC86" s="186" t="s">
        <v>444</v>
      </c>
    </row>
    <row r="87" spans="1:29" x14ac:dyDescent="0.2">
      <c r="A87" s="208" t="s">
        <v>77</v>
      </c>
      <c r="B87" s="208" t="s">
        <v>78</v>
      </c>
      <c r="C87" s="208" t="s">
        <v>79</v>
      </c>
      <c r="D87" s="207">
        <v>0</v>
      </c>
      <c r="E87" s="207">
        <v>8</v>
      </c>
      <c r="F87" s="207">
        <v>25</v>
      </c>
      <c r="G87" s="208" t="s">
        <v>128</v>
      </c>
      <c r="H87" s="208" t="s">
        <v>80</v>
      </c>
      <c r="I87" s="208" t="s">
        <v>81</v>
      </c>
      <c r="J87" s="208" t="s">
        <v>82</v>
      </c>
      <c r="K87" s="208" t="s">
        <v>222</v>
      </c>
      <c r="L87" s="208" t="s">
        <v>223</v>
      </c>
      <c r="M87" s="208" t="s">
        <v>85</v>
      </c>
      <c r="N87" s="208" t="s">
        <v>130</v>
      </c>
      <c r="O87" s="208" t="s">
        <v>133</v>
      </c>
      <c r="P87" s="208" t="s">
        <v>86</v>
      </c>
      <c r="Q87" s="141">
        <v>0</v>
      </c>
      <c r="R87" s="141">
        <v>5372483.5700000003</v>
      </c>
      <c r="S87" s="141">
        <v>-5372483.5700000003</v>
      </c>
      <c r="U87" s="207"/>
      <c r="V87" s="207"/>
      <c r="W87" s="207">
        <v>0</v>
      </c>
      <c r="X87" s="208" t="s">
        <v>521</v>
      </c>
      <c r="Y87" s="209">
        <v>41877</v>
      </c>
      <c r="Z87" s="207" t="s">
        <v>108</v>
      </c>
      <c r="AA87" s="208" t="s">
        <v>109</v>
      </c>
      <c r="AC87" s="208" t="s">
        <v>522</v>
      </c>
    </row>
    <row r="88" spans="1:29" x14ac:dyDescent="0.2">
      <c r="A88" s="83"/>
      <c r="B88" s="83"/>
      <c r="C88" s="83"/>
      <c r="D88" s="84"/>
      <c r="E88" s="84"/>
      <c r="F88" s="84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159"/>
      <c r="R88" s="159"/>
      <c r="S88" s="159"/>
      <c r="T88" s="154"/>
      <c r="U88" s="84"/>
      <c r="V88" s="84"/>
      <c r="W88" s="84"/>
      <c r="X88" s="83"/>
      <c r="Y88" s="85"/>
      <c r="Z88" s="84"/>
      <c r="AA88" s="83"/>
      <c r="AB88" s="84"/>
      <c r="AC88" s="83"/>
    </row>
    <row r="89" spans="1:29" x14ac:dyDescent="0.2">
      <c r="Q89" s="32">
        <f>SUM(Q2:Q88)</f>
        <v>220000899.89000002</v>
      </c>
      <c r="R89" s="32">
        <f>SUM(R2:R88)</f>
        <v>207005899.89000002</v>
      </c>
      <c r="S89" s="32">
        <f>SUM(S2:S88)</f>
        <v>12995000.00000003</v>
      </c>
      <c r="T89" s="6"/>
    </row>
    <row r="90" spans="1:29" x14ac:dyDescent="0.2">
      <c r="Q90" s="2"/>
    </row>
    <row r="92" spans="1:29" x14ac:dyDescent="0.2">
      <c r="Q92" s="2">
        <v>104706.72</v>
      </c>
      <c r="T92" s="1" t="s">
        <v>179</v>
      </c>
    </row>
    <row r="93" spans="1:29" x14ac:dyDescent="0.2">
      <c r="Q93" s="2">
        <f>Q92+Q90</f>
        <v>104706.72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>
      <pane xSplit="15" ySplit="1" topLeftCell="P2" activePane="bottomRight" state="frozen"/>
      <selection activeCell="C27" sqref="C27:E28"/>
      <selection pane="topRight" activeCell="C27" sqref="C27:E28"/>
      <selection pane="bottomLeft" activeCell="C27" sqref="C27:E28"/>
      <selection pane="bottomRight" activeCell="C27" sqref="C27:E28"/>
    </sheetView>
  </sheetViews>
  <sheetFormatPr defaultRowHeight="12.75" x14ac:dyDescent="0.2"/>
  <cols>
    <col min="1" max="1" width="5" style="1" bestFit="1" customWidth="1"/>
    <col min="2" max="2" width="4.140625" style="1" bestFit="1" customWidth="1"/>
    <col min="3" max="3" width="6" style="1" bestFit="1" customWidth="1"/>
    <col min="4" max="4" width="2.140625" style="1" bestFit="1" customWidth="1"/>
    <col min="5" max="5" width="2.5703125" style="1" bestFit="1" customWidth="1"/>
    <col min="6" max="6" width="3" style="1" bestFit="1" customWidth="1"/>
    <col min="7" max="7" width="5.5703125" style="1" bestFit="1" customWidth="1"/>
    <col min="8" max="8" width="7" style="1" bestFit="1" customWidth="1"/>
    <col min="9" max="9" width="4" style="1" bestFit="1" customWidth="1"/>
    <col min="10" max="10" width="5" style="1" bestFit="1" customWidth="1"/>
    <col min="11" max="11" width="7" style="1" bestFit="1" customWidth="1"/>
    <col min="12" max="12" width="5" style="1" bestFit="1" customWidth="1"/>
    <col min="13" max="13" width="4" style="1" bestFit="1" customWidth="1"/>
    <col min="14" max="14" width="10" style="1" bestFit="1" customWidth="1"/>
    <col min="15" max="15" width="11" style="1" bestFit="1" customWidth="1"/>
    <col min="16" max="16" width="14.140625" style="1" bestFit="1" customWidth="1"/>
    <col min="17" max="17" width="16.7109375" style="1" customWidth="1"/>
    <col min="18" max="18" width="12.28515625" style="1" bestFit="1" customWidth="1"/>
    <col min="19" max="19" width="17.28515625" style="1" customWidth="1"/>
    <col min="20" max="20" width="28.28515625" style="1" bestFit="1" customWidth="1"/>
    <col min="21" max="21" width="7.5703125" style="1" bestFit="1" customWidth="1"/>
    <col min="22" max="22" width="7.28515625" style="1" bestFit="1" customWidth="1"/>
    <col min="23" max="23" width="3" style="1" bestFit="1" customWidth="1"/>
    <col min="24" max="24" width="14.42578125" style="1" bestFit="1" customWidth="1"/>
    <col min="25" max="25" width="11.85546875" style="1" bestFit="1" customWidth="1"/>
    <col min="26" max="26" width="6.85546875" style="1" bestFit="1" customWidth="1"/>
    <col min="27" max="27" width="7" style="1" bestFit="1" customWidth="1"/>
    <col min="28" max="28" width="6.28515625" style="1" bestFit="1" customWidth="1"/>
    <col min="29" max="29" width="11.7109375" style="1" bestFit="1" customWidth="1"/>
    <col min="30" max="16384" width="9.140625" style="1"/>
  </cols>
  <sheetData>
    <row r="1" spans="1:29" x14ac:dyDescent="0.2">
      <c r="A1" s="74" t="s">
        <v>49</v>
      </c>
      <c r="B1" s="74" t="s">
        <v>50</v>
      </c>
      <c r="C1" s="74" t="s">
        <v>51</v>
      </c>
      <c r="D1" s="74" t="s">
        <v>52</v>
      </c>
      <c r="E1" s="74" t="s">
        <v>53</v>
      </c>
      <c r="F1" s="74" t="s">
        <v>54</v>
      </c>
      <c r="G1" s="74" t="s">
        <v>127</v>
      </c>
      <c r="H1" s="74" t="s">
        <v>55</v>
      </c>
      <c r="I1" s="74" t="s">
        <v>56</v>
      </c>
      <c r="J1" s="74" t="s">
        <v>57</v>
      </c>
      <c r="K1" s="74" t="s">
        <v>58</v>
      </c>
      <c r="L1" s="74" t="s">
        <v>59</v>
      </c>
      <c r="M1" s="74" t="s">
        <v>60</v>
      </c>
      <c r="N1" s="74" t="s">
        <v>61</v>
      </c>
      <c r="O1" s="74" t="s">
        <v>62</v>
      </c>
      <c r="P1" s="74" t="s">
        <v>63</v>
      </c>
      <c r="Q1" s="74" t="s">
        <v>64</v>
      </c>
      <c r="R1" s="74" t="s">
        <v>65</v>
      </c>
      <c r="S1" s="74" t="s">
        <v>66</v>
      </c>
      <c r="T1" s="74" t="s">
        <v>67</v>
      </c>
      <c r="U1" s="74" t="s">
        <v>68</v>
      </c>
      <c r="V1" s="74" t="s">
        <v>69</v>
      </c>
      <c r="W1" s="74" t="s">
        <v>70</v>
      </c>
      <c r="X1" s="74" t="s">
        <v>71</v>
      </c>
      <c r="Y1" s="74" t="s">
        <v>72</v>
      </c>
      <c r="Z1" s="74" t="s">
        <v>73</v>
      </c>
      <c r="AA1" s="74" t="s">
        <v>74</v>
      </c>
      <c r="AB1" s="74" t="s">
        <v>75</v>
      </c>
      <c r="AC1" s="74" t="s">
        <v>76</v>
      </c>
    </row>
    <row r="2" spans="1:29" x14ac:dyDescent="0.2">
      <c r="A2" s="3" t="s">
        <v>77</v>
      </c>
      <c r="B2" s="3" t="s">
        <v>78</v>
      </c>
      <c r="C2" s="3" t="s">
        <v>79</v>
      </c>
      <c r="D2" s="1">
        <v>0</v>
      </c>
      <c r="E2" s="1">
        <v>6</v>
      </c>
      <c r="F2" s="1">
        <v>10</v>
      </c>
      <c r="G2" s="3" t="s">
        <v>128</v>
      </c>
      <c r="H2" s="3" t="s">
        <v>267</v>
      </c>
      <c r="I2" s="3" t="s">
        <v>13</v>
      </c>
      <c r="J2" s="3" t="s">
        <v>268</v>
      </c>
      <c r="K2" s="3" t="s">
        <v>83</v>
      </c>
      <c r="L2" s="3" t="s">
        <v>245</v>
      </c>
      <c r="M2" s="3" t="s">
        <v>85</v>
      </c>
      <c r="N2" s="3" t="s">
        <v>132</v>
      </c>
      <c r="O2" s="3" t="s">
        <v>133</v>
      </c>
      <c r="P2" s="3" t="s">
        <v>86</v>
      </c>
      <c r="Q2" s="2">
        <v>39</v>
      </c>
      <c r="R2" s="2">
        <v>0</v>
      </c>
      <c r="S2" s="2">
        <v>39</v>
      </c>
      <c r="T2" s="3" t="s">
        <v>269</v>
      </c>
      <c r="W2" s="1">
        <v>0</v>
      </c>
      <c r="X2" s="3" t="s">
        <v>270</v>
      </c>
      <c r="Y2" s="75">
        <v>41802</v>
      </c>
      <c r="Z2" s="1" t="s">
        <v>87</v>
      </c>
      <c r="AC2" s="3" t="s">
        <v>271</v>
      </c>
    </row>
    <row r="3" spans="1:29" x14ac:dyDescent="0.2">
      <c r="A3" s="3" t="s">
        <v>77</v>
      </c>
      <c r="B3" s="3" t="s">
        <v>78</v>
      </c>
      <c r="C3" s="3" t="s">
        <v>79</v>
      </c>
      <c r="D3" s="1">
        <v>0</v>
      </c>
      <c r="E3" s="1">
        <v>6</v>
      </c>
      <c r="F3" s="1">
        <v>10</v>
      </c>
      <c r="G3" s="3" t="s">
        <v>128</v>
      </c>
      <c r="H3" s="3" t="s">
        <v>272</v>
      </c>
      <c r="I3" s="3" t="s">
        <v>13</v>
      </c>
      <c r="J3" s="3" t="s">
        <v>268</v>
      </c>
      <c r="K3" s="3" t="s">
        <v>83</v>
      </c>
      <c r="L3" s="3" t="s">
        <v>245</v>
      </c>
      <c r="M3" s="3" t="s">
        <v>85</v>
      </c>
      <c r="N3" s="3" t="s">
        <v>132</v>
      </c>
      <c r="O3" s="3" t="s">
        <v>133</v>
      </c>
      <c r="P3" s="3" t="s">
        <v>86</v>
      </c>
      <c r="Q3" s="2">
        <v>430</v>
      </c>
      <c r="R3" s="2">
        <v>0</v>
      </c>
      <c r="S3" s="2">
        <v>430</v>
      </c>
      <c r="T3" s="3" t="s">
        <v>246</v>
      </c>
      <c r="W3" s="1">
        <v>0</v>
      </c>
      <c r="X3" s="3" t="s">
        <v>273</v>
      </c>
      <c r="Y3" s="75">
        <v>41802</v>
      </c>
      <c r="Z3" s="1" t="s">
        <v>87</v>
      </c>
      <c r="AC3" s="3" t="s">
        <v>274</v>
      </c>
    </row>
    <row r="4" spans="1:29" x14ac:dyDescent="0.2">
      <c r="A4" s="3" t="s">
        <v>77</v>
      </c>
      <c r="B4" s="3" t="s">
        <v>78</v>
      </c>
      <c r="C4" s="3" t="s">
        <v>79</v>
      </c>
      <c r="D4" s="1">
        <v>0</v>
      </c>
      <c r="E4" s="1">
        <v>6</v>
      </c>
      <c r="F4" s="1">
        <v>10</v>
      </c>
      <c r="G4" s="3" t="s">
        <v>128</v>
      </c>
      <c r="H4" s="3" t="s">
        <v>275</v>
      </c>
      <c r="I4" s="3" t="s">
        <v>13</v>
      </c>
      <c r="J4" s="3" t="s">
        <v>268</v>
      </c>
      <c r="K4" s="3" t="s">
        <v>83</v>
      </c>
      <c r="L4" s="3" t="s">
        <v>245</v>
      </c>
      <c r="M4" s="3" t="s">
        <v>85</v>
      </c>
      <c r="N4" s="3" t="s">
        <v>132</v>
      </c>
      <c r="O4" s="3" t="s">
        <v>133</v>
      </c>
      <c r="P4" s="3" t="s">
        <v>86</v>
      </c>
      <c r="Q4" s="2">
        <v>599</v>
      </c>
      <c r="R4" s="2">
        <v>0</v>
      </c>
      <c r="S4" s="2">
        <v>599</v>
      </c>
      <c r="T4" s="3" t="s">
        <v>276</v>
      </c>
      <c r="W4" s="1">
        <v>0</v>
      </c>
      <c r="X4" s="3" t="s">
        <v>277</v>
      </c>
      <c r="Y4" s="75">
        <v>41802</v>
      </c>
      <c r="Z4" s="1" t="s">
        <v>87</v>
      </c>
      <c r="AC4" s="3" t="s">
        <v>278</v>
      </c>
    </row>
    <row r="5" spans="1:29" x14ac:dyDescent="0.2">
      <c r="A5" s="3" t="s">
        <v>77</v>
      </c>
      <c r="B5" s="3" t="s">
        <v>78</v>
      </c>
      <c r="C5" s="3" t="s">
        <v>79</v>
      </c>
      <c r="D5" s="1">
        <v>0</v>
      </c>
      <c r="E5" s="1">
        <v>6</v>
      </c>
      <c r="F5" s="1">
        <v>11</v>
      </c>
      <c r="G5" s="3" t="s">
        <v>128</v>
      </c>
      <c r="H5" s="3" t="s">
        <v>279</v>
      </c>
      <c r="I5" s="3" t="s">
        <v>13</v>
      </c>
      <c r="J5" s="3" t="s">
        <v>268</v>
      </c>
      <c r="K5" s="3" t="s">
        <v>83</v>
      </c>
      <c r="L5" s="3" t="s">
        <v>245</v>
      </c>
      <c r="M5" s="3" t="s">
        <v>85</v>
      </c>
      <c r="N5" s="3" t="s">
        <v>132</v>
      </c>
      <c r="O5" s="3" t="s">
        <v>133</v>
      </c>
      <c r="P5" s="3" t="s">
        <v>86</v>
      </c>
      <c r="Q5" s="2">
        <v>12519</v>
      </c>
      <c r="R5" s="2">
        <v>0</v>
      </c>
      <c r="S5" s="2">
        <v>12519</v>
      </c>
      <c r="T5" s="3" t="s">
        <v>280</v>
      </c>
      <c r="W5" s="1">
        <v>0</v>
      </c>
      <c r="X5" s="3" t="s">
        <v>281</v>
      </c>
      <c r="Y5" s="75">
        <v>41803</v>
      </c>
      <c r="Z5" s="1" t="s">
        <v>87</v>
      </c>
      <c r="AC5" s="3" t="s">
        <v>282</v>
      </c>
    </row>
    <row r="6" spans="1:29" x14ac:dyDescent="0.2">
      <c r="A6" s="3" t="s">
        <v>77</v>
      </c>
      <c r="B6" s="3" t="s">
        <v>78</v>
      </c>
      <c r="C6" s="3" t="s">
        <v>79</v>
      </c>
      <c r="D6" s="1">
        <v>0</v>
      </c>
      <c r="E6" s="1">
        <v>6</v>
      </c>
      <c r="F6" s="1">
        <v>11</v>
      </c>
      <c r="G6" s="3" t="s">
        <v>128</v>
      </c>
      <c r="H6" s="3" t="s">
        <v>283</v>
      </c>
      <c r="I6" s="3" t="s">
        <v>13</v>
      </c>
      <c r="J6" s="3" t="s">
        <v>268</v>
      </c>
      <c r="K6" s="3" t="s">
        <v>83</v>
      </c>
      <c r="L6" s="3" t="s">
        <v>245</v>
      </c>
      <c r="M6" s="3" t="s">
        <v>85</v>
      </c>
      <c r="N6" s="3" t="s">
        <v>132</v>
      </c>
      <c r="O6" s="3" t="s">
        <v>133</v>
      </c>
      <c r="P6" s="3" t="s">
        <v>86</v>
      </c>
      <c r="Q6" s="2">
        <v>16820</v>
      </c>
      <c r="R6" s="2">
        <v>0</v>
      </c>
      <c r="S6" s="2">
        <v>16820</v>
      </c>
      <c r="T6" s="3" t="s">
        <v>284</v>
      </c>
      <c r="W6" s="1">
        <v>0</v>
      </c>
      <c r="X6" s="3" t="s">
        <v>285</v>
      </c>
      <c r="Y6" s="75">
        <v>41803</v>
      </c>
      <c r="Z6" s="1" t="s">
        <v>87</v>
      </c>
      <c r="AC6" s="3" t="s">
        <v>286</v>
      </c>
    </row>
    <row r="7" spans="1:29" x14ac:dyDescent="0.2">
      <c r="A7" s="3" t="s">
        <v>77</v>
      </c>
      <c r="B7" s="3" t="s">
        <v>78</v>
      </c>
      <c r="C7" s="3" t="s">
        <v>79</v>
      </c>
      <c r="D7" s="1">
        <v>0</v>
      </c>
      <c r="E7" s="1">
        <v>6</v>
      </c>
      <c r="F7" s="1">
        <v>11</v>
      </c>
      <c r="G7" s="3" t="s">
        <v>128</v>
      </c>
      <c r="H7" s="3" t="s">
        <v>287</v>
      </c>
      <c r="I7" s="3" t="s">
        <v>13</v>
      </c>
      <c r="J7" s="3" t="s">
        <v>268</v>
      </c>
      <c r="K7" s="3" t="s">
        <v>83</v>
      </c>
      <c r="L7" s="3" t="s">
        <v>245</v>
      </c>
      <c r="M7" s="3" t="s">
        <v>85</v>
      </c>
      <c r="N7" s="3" t="s">
        <v>132</v>
      </c>
      <c r="O7" s="3" t="s">
        <v>133</v>
      </c>
      <c r="P7" s="3" t="s">
        <v>86</v>
      </c>
      <c r="Q7" s="2">
        <v>62312.5</v>
      </c>
      <c r="R7" s="2">
        <v>0</v>
      </c>
      <c r="S7" s="2">
        <v>62312.5</v>
      </c>
      <c r="T7" s="3" t="s">
        <v>288</v>
      </c>
      <c r="W7" s="1">
        <v>0</v>
      </c>
      <c r="X7" s="3" t="s">
        <v>289</v>
      </c>
      <c r="Y7" s="75">
        <v>41803</v>
      </c>
      <c r="Z7" s="1" t="s">
        <v>87</v>
      </c>
      <c r="AC7" s="3" t="s">
        <v>290</v>
      </c>
    </row>
    <row r="8" spans="1:29" x14ac:dyDescent="0.2">
      <c r="A8" s="3" t="s">
        <v>77</v>
      </c>
      <c r="B8" s="3" t="s">
        <v>78</v>
      </c>
      <c r="C8" s="3" t="s">
        <v>79</v>
      </c>
      <c r="D8" s="1">
        <v>0</v>
      </c>
      <c r="E8" s="1">
        <v>6</v>
      </c>
      <c r="F8" s="1">
        <v>12</v>
      </c>
      <c r="G8" s="3" t="s">
        <v>128</v>
      </c>
      <c r="H8" s="3" t="s">
        <v>291</v>
      </c>
      <c r="I8" s="3" t="s">
        <v>13</v>
      </c>
      <c r="J8" s="3" t="s">
        <v>268</v>
      </c>
      <c r="K8" s="3" t="s">
        <v>83</v>
      </c>
      <c r="L8" s="3" t="s">
        <v>245</v>
      </c>
      <c r="M8" s="3" t="s">
        <v>85</v>
      </c>
      <c r="N8" s="3" t="s">
        <v>132</v>
      </c>
      <c r="O8" s="3" t="s">
        <v>133</v>
      </c>
      <c r="P8" s="3" t="s">
        <v>86</v>
      </c>
      <c r="Q8" s="2">
        <v>2694</v>
      </c>
      <c r="R8" s="2">
        <v>0</v>
      </c>
      <c r="S8" s="2">
        <v>2694</v>
      </c>
      <c r="T8" s="3" t="s">
        <v>292</v>
      </c>
      <c r="W8" s="1">
        <v>0</v>
      </c>
      <c r="X8" s="3" t="s">
        <v>293</v>
      </c>
      <c r="Y8" s="75">
        <v>41806</v>
      </c>
      <c r="Z8" s="1" t="s">
        <v>87</v>
      </c>
      <c r="AC8" s="3" t="s">
        <v>294</v>
      </c>
    </row>
    <row r="9" spans="1:29" x14ac:dyDescent="0.2">
      <c r="A9" s="3" t="s">
        <v>77</v>
      </c>
      <c r="B9" s="3" t="s">
        <v>78</v>
      </c>
      <c r="C9" s="3" t="s">
        <v>79</v>
      </c>
      <c r="D9" s="1">
        <v>0</v>
      </c>
      <c r="E9" s="1">
        <v>6</v>
      </c>
      <c r="F9" s="1">
        <v>12</v>
      </c>
      <c r="G9" s="3" t="s">
        <v>128</v>
      </c>
      <c r="H9" s="3" t="s">
        <v>295</v>
      </c>
      <c r="I9" s="3" t="s">
        <v>13</v>
      </c>
      <c r="J9" s="3" t="s">
        <v>268</v>
      </c>
      <c r="K9" s="3" t="s">
        <v>83</v>
      </c>
      <c r="L9" s="3" t="s">
        <v>245</v>
      </c>
      <c r="M9" s="3" t="s">
        <v>85</v>
      </c>
      <c r="N9" s="3" t="s">
        <v>132</v>
      </c>
      <c r="O9" s="3" t="s">
        <v>133</v>
      </c>
      <c r="P9" s="3" t="s">
        <v>86</v>
      </c>
      <c r="Q9" s="2">
        <v>73299.199999999997</v>
      </c>
      <c r="R9" s="2">
        <v>0</v>
      </c>
      <c r="S9" s="2">
        <v>73299.199999999997</v>
      </c>
      <c r="T9" s="3" t="s">
        <v>296</v>
      </c>
      <c r="W9" s="1">
        <v>0</v>
      </c>
      <c r="X9" s="3" t="s">
        <v>297</v>
      </c>
      <c r="Y9" s="75">
        <v>41806</v>
      </c>
      <c r="Z9" s="1" t="s">
        <v>87</v>
      </c>
      <c r="AC9" s="3" t="s">
        <v>298</v>
      </c>
    </row>
    <row r="10" spans="1:29" x14ac:dyDescent="0.2">
      <c r="A10" s="3" t="s">
        <v>77</v>
      </c>
      <c r="B10" s="3" t="s">
        <v>78</v>
      </c>
      <c r="C10" s="3" t="s">
        <v>79</v>
      </c>
      <c r="D10" s="1">
        <v>0</v>
      </c>
      <c r="E10" s="1">
        <v>6</v>
      </c>
      <c r="F10" s="1">
        <v>12</v>
      </c>
      <c r="G10" s="3" t="s">
        <v>128</v>
      </c>
      <c r="H10" s="3" t="s">
        <v>299</v>
      </c>
      <c r="I10" s="3" t="s">
        <v>13</v>
      </c>
      <c r="J10" s="3" t="s">
        <v>268</v>
      </c>
      <c r="K10" s="3" t="s">
        <v>83</v>
      </c>
      <c r="L10" s="3" t="s">
        <v>245</v>
      </c>
      <c r="M10" s="3" t="s">
        <v>85</v>
      </c>
      <c r="N10" s="3" t="s">
        <v>132</v>
      </c>
      <c r="O10" s="3" t="s">
        <v>133</v>
      </c>
      <c r="P10" s="3" t="s">
        <v>86</v>
      </c>
      <c r="Q10" s="2">
        <v>-73299.199999999997</v>
      </c>
      <c r="R10" s="2">
        <v>0</v>
      </c>
      <c r="S10" s="2">
        <v>-73299.199999999997</v>
      </c>
      <c r="W10" s="1">
        <v>0</v>
      </c>
      <c r="X10" s="3" t="s">
        <v>300</v>
      </c>
      <c r="Y10" s="75">
        <v>41806</v>
      </c>
      <c r="Z10" s="1" t="s">
        <v>87</v>
      </c>
      <c r="AC10" s="3" t="s">
        <v>301</v>
      </c>
    </row>
    <row r="11" spans="1:29" x14ac:dyDescent="0.2">
      <c r="A11" s="3" t="s">
        <v>77</v>
      </c>
      <c r="B11" s="3" t="s">
        <v>78</v>
      </c>
      <c r="C11" s="3" t="s">
        <v>79</v>
      </c>
      <c r="D11" s="1">
        <v>0</v>
      </c>
      <c r="E11" s="1">
        <v>6</v>
      </c>
      <c r="F11" s="1">
        <v>12</v>
      </c>
      <c r="G11" s="3" t="s">
        <v>128</v>
      </c>
      <c r="H11" s="3" t="s">
        <v>299</v>
      </c>
      <c r="I11" s="3" t="s">
        <v>13</v>
      </c>
      <c r="J11" s="3" t="s">
        <v>268</v>
      </c>
      <c r="K11" s="3" t="s">
        <v>83</v>
      </c>
      <c r="L11" s="3" t="s">
        <v>245</v>
      </c>
      <c r="M11" s="3" t="s">
        <v>85</v>
      </c>
      <c r="N11" s="3" t="s">
        <v>132</v>
      </c>
      <c r="O11" s="3" t="s">
        <v>133</v>
      </c>
      <c r="P11" s="3" t="s">
        <v>86</v>
      </c>
      <c r="Q11" s="2">
        <v>73299.199999999997</v>
      </c>
      <c r="R11" s="2">
        <v>0</v>
      </c>
      <c r="S11" s="2">
        <v>73299.199999999997</v>
      </c>
      <c r="T11" s="3" t="s">
        <v>302</v>
      </c>
      <c r="W11" s="1">
        <v>0</v>
      </c>
      <c r="X11" s="3" t="s">
        <v>300</v>
      </c>
      <c r="Y11" s="75">
        <v>41806</v>
      </c>
      <c r="Z11" s="1" t="s">
        <v>87</v>
      </c>
      <c r="AC11" s="3" t="s">
        <v>301</v>
      </c>
    </row>
    <row r="12" spans="1:29" x14ac:dyDescent="0.2">
      <c r="A12" s="3" t="s">
        <v>77</v>
      </c>
      <c r="B12" s="3" t="s">
        <v>78</v>
      </c>
      <c r="C12" s="3" t="s">
        <v>79</v>
      </c>
      <c r="D12" s="1">
        <v>0</v>
      </c>
      <c r="E12" s="1">
        <v>6</v>
      </c>
      <c r="F12" s="1">
        <v>12</v>
      </c>
      <c r="G12" s="3" t="s">
        <v>128</v>
      </c>
      <c r="H12" s="3" t="s">
        <v>303</v>
      </c>
      <c r="I12" s="3" t="s">
        <v>13</v>
      </c>
      <c r="J12" s="3" t="s">
        <v>268</v>
      </c>
      <c r="K12" s="3" t="s">
        <v>83</v>
      </c>
      <c r="L12" s="3" t="s">
        <v>245</v>
      </c>
      <c r="M12" s="3" t="s">
        <v>85</v>
      </c>
      <c r="N12" s="3" t="s">
        <v>132</v>
      </c>
      <c r="O12" s="3" t="s">
        <v>133</v>
      </c>
      <c r="P12" s="3" t="s">
        <v>86</v>
      </c>
      <c r="Q12" s="2">
        <v>43967</v>
      </c>
      <c r="R12" s="2">
        <v>0</v>
      </c>
      <c r="S12" s="2">
        <v>43967</v>
      </c>
      <c r="T12" s="3" t="s">
        <v>255</v>
      </c>
      <c r="W12" s="1">
        <v>0</v>
      </c>
      <c r="X12" s="3" t="s">
        <v>304</v>
      </c>
      <c r="Y12" s="75">
        <v>41806</v>
      </c>
      <c r="Z12" s="1" t="s">
        <v>87</v>
      </c>
      <c r="AC12" s="3" t="s">
        <v>305</v>
      </c>
    </row>
    <row r="13" spans="1:29" x14ac:dyDescent="0.2">
      <c r="A13" s="3" t="s">
        <v>77</v>
      </c>
      <c r="B13" s="3" t="s">
        <v>78</v>
      </c>
      <c r="C13" s="3" t="s">
        <v>79</v>
      </c>
      <c r="D13" s="1">
        <v>0</v>
      </c>
      <c r="E13" s="1">
        <v>6</v>
      </c>
      <c r="F13" s="1">
        <v>13</v>
      </c>
      <c r="G13" s="3" t="s">
        <v>128</v>
      </c>
      <c r="H13" s="3" t="s">
        <v>306</v>
      </c>
      <c r="I13" s="3" t="s">
        <v>13</v>
      </c>
      <c r="J13" s="3" t="s">
        <v>268</v>
      </c>
      <c r="K13" s="3" t="s">
        <v>83</v>
      </c>
      <c r="L13" s="3" t="s">
        <v>245</v>
      </c>
      <c r="M13" s="3" t="s">
        <v>85</v>
      </c>
      <c r="N13" s="3" t="s">
        <v>132</v>
      </c>
      <c r="O13" s="3" t="s">
        <v>133</v>
      </c>
      <c r="P13" s="3" t="s">
        <v>86</v>
      </c>
      <c r="Q13" s="2">
        <v>55152.88</v>
      </c>
      <c r="R13" s="2">
        <v>0</v>
      </c>
      <c r="S13" s="2">
        <v>55152.88</v>
      </c>
      <c r="T13" s="3" t="s">
        <v>258</v>
      </c>
      <c r="W13" s="1">
        <v>0</v>
      </c>
      <c r="X13" s="3" t="s">
        <v>307</v>
      </c>
      <c r="Y13" s="75">
        <v>41807</v>
      </c>
      <c r="Z13" s="1" t="s">
        <v>87</v>
      </c>
      <c r="AC13" s="3" t="s">
        <v>308</v>
      </c>
    </row>
    <row r="14" spans="1:29" x14ac:dyDescent="0.2">
      <c r="A14" s="3" t="s">
        <v>77</v>
      </c>
      <c r="B14" s="3" t="s">
        <v>78</v>
      </c>
      <c r="C14" s="3" t="s">
        <v>79</v>
      </c>
      <c r="D14" s="1">
        <v>0</v>
      </c>
      <c r="E14" s="1">
        <v>6</v>
      </c>
      <c r="F14" s="1">
        <v>13</v>
      </c>
      <c r="G14" s="3" t="s">
        <v>128</v>
      </c>
      <c r="H14" s="3" t="s">
        <v>309</v>
      </c>
      <c r="I14" s="3" t="s">
        <v>13</v>
      </c>
      <c r="J14" s="3" t="s">
        <v>268</v>
      </c>
      <c r="K14" s="3" t="s">
        <v>83</v>
      </c>
      <c r="L14" s="3" t="s">
        <v>245</v>
      </c>
      <c r="M14" s="3" t="s">
        <v>85</v>
      </c>
      <c r="N14" s="3" t="s">
        <v>132</v>
      </c>
      <c r="O14" s="3" t="s">
        <v>133</v>
      </c>
      <c r="P14" s="3" t="s">
        <v>86</v>
      </c>
      <c r="Q14" s="2">
        <v>65577</v>
      </c>
      <c r="R14" s="2">
        <v>0</v>
      </c>
      <c r="S14" s="2">
        <v>65577</v>
      </c>
      <c r="T14" s="3" t="s">
        <v>310</v>
      </c>
      <c r="W14" s="1">
        <v>0</v>
      </c>
      <c r="X14" s="3" t="s">
        <v>311</v>
      </c>
      <c r="Y14" s="75">
        <v>41807</v>
      </c>
      <c r="Z14" s="1" t="s">
        <v>87</v>
      </c>
      <c r="AC14" s="3" t="s">
        <v>312</v>
      </c>
    </row>
    <row r="15" spans="1:29" x14ac:dyDescent="0.2">
      <c r="A15" s="3" t="s">
        <v>77</v>
      </c>
      <c r="B15" s="3" t="s">
        <v>78</v>
      </c>
      <c r="C15" s="3" t="s">
        <v>79</v>
      </c>
      <c r="D15" s="1">
        <v>0</v>
      </c>
      <c r="E15" s="1">
        <v>6</v>
      </c>
      <c r="F15" s="1">
        <v>13</v>
      </c>
      <c r="G15" s="3" t="s">
        <v>128</v>
      </c>
      <c r="H15" s="3" t="s">
        <v>313</v>
      </c>
      <c r="I15" s="3" t="s">
        <v>13</v>
      </c>
      <c r="J15" s="3" t="s">
        <v>268</v>
      </c>
      <c r="K15" s="3" t="s">
        <v>83</v>
      </c>
      <c r="L15" s="3" t="s">
        <v>245</v>
      </c>
      <c r="M15" s="3" t="s">
        <v>85</v>
      </c>
      <c r="N15" s="3" t="s">
        <v>132</v>
      </c>
      <c r="O15" s="3" t="s">
        <v>133</v>
      </c>
      <c r="P15" s="3" t="s">
        <v>86</v>
      </c>
      <c r="Q15" s="2">
        <v>169252.03</v>
      </c>
      <c r="R15" s="2">
        <v>0</v>
      </c>
      <c r="S15" s="2">
        <v>169252.03</v>
      </c>
      <c r="T15" s="3" t="s">
        <v>261</v>
      </c>
      <c r="W15" s="1">
        <v>0</v>
      </c>
      <c r="X15" s="3" t="s">
        <v>314</v>
      </c>
      <c r="Y15" s="75">
        <v>41807</v>
      </c>
      <c r="Z15" s="1" t="s">
        <v>87</v>
      </c>
      <c r="AC15" s="3" t="s">
        <v>315</v>
      </c>
    </row>
    <row r="16" spans="1:29" x14ac:dyDescent="0.2">
      <c r="A16" s="3" t="s">
        <v>77</v>
      </c>
      <c r="B16" s="3" t="s">
        <v>78</v>
      </c>
      <c r="C16" s="3" t="s">
        <v>79</v>
      </c>
      <c r="D16" s="1">
        <v>0</v>
      </c>
      <c r="E16" s="1">
        <v>6</v>
      </c>
      <c r="F16" s="1">
        <v>13</v>
      </c>
      <c r="G16" s="3" t="s">
        <v>128</v>
      </c>
      <c r="H16" s="3" t="s">
        <v>316</v>
      </c>
      <c r="I16" s="3" t="s">
        <v>13</v>
      </c>
      <c r="J16" s="3" t="s">
        <v>268</v>
      </c>
      <c r="K16" s="3" t="s">
        <v>83</v>
      </c>
      <c r="L16" s="3" t="s">
        <v>245</v>
      </c>
      <c r="M16" s="3" t="s">
        <v>85</v>
      </c>
      <c r="N16" s="3" t="s">
        <v>132</v>
      </c>
      <c r="O16" s="3" t="s">
        <v>133</v>
      </c>
      <c r="P16" s="3" t="s">
        <v>86</v>
      </c>
      <c r="Q16" s="2">
        <v>171304.76</v>
      </c>
      <c r="R16" s="2">
        <v>0</v>
      </c>
      <c r="S16" s="2">
        <v>171304.76</v>
      </c>
      <c r="T16" s="3" t="s">
        <v>264</v>
      </c>
      <c r="W16" s="1">
        <v>0</v>
      </c>
      <c r="X16" s="3" t="s">
        <v>317</v>
      </c>
      <c r="Y16" s="75">
        <v>41807</v>
      </c>
      <c r="Z16" s="1" t="s">
        <v>87</v>
      </c>
      <c r="AC16" s="3" t="s">
        <v>318</v>
      </c>
    </row>
    <row r="17" spans="1:29" x14ac:dyDescent="0.2">
      <c r="A17" s="189" t="s">
        <v>77</v>
      </c>
      <c r="B17" s="189" t="s">
        <v>78</v>
      </c>
      <c r="C17" s="189" t="s">
        <v>79</v>
      </c>
      <c r="D17" s="190">
        <v>0</v>
      </c>
      <c r="E17" s="190">
        <v>6</v>
      </c>
      <c r="F17" s="190">
        <v>16</v>
      </c>
      <c r="G17" s="189" t="s">
        <v>128</v>
      </c>
      <c r="H17" s="189" t="s">
        <v>445</v>
      </c>
      <c r="I17" s="189" t="s">
        <v>13</v>
      </c>
      <c r="J17" s="189" t="s">
        <v>268</v>
      </c>
      <c r="K17" s="189" t="s">
        <v>83</v>
      </c>
      <c r="L17" s="189" t="s">
        <v>245</v>
      </c>
      <c r="M17" s="189" t="s">
        <v>85</v>
      </c>
      <c r="N17" s="189" t="s">
        <v>132</v>
      </c>
      <c r="O17" s="189" t="s">
        <v>133</v>
      </c>
      <c r="P17" s="189" t="s">
        <v>86</v>
      </c>
      <c r="Q17" s="2">
        <v>26733.200000000001</v>
      </c>
      <c r="R17" s="2">
        <v>0</v>
      </c>
      <c r="S17" s="2">
        <v>26733.200000000001</v>
      </c>
      <c r="T17" s="189" t="s">
        <v>446</v>
      </c>
      <c r="U17" s="190"/>
      <c r="V17" s="190"/>
      <c r="W17" s="190">
        <v>0</v>
      </c>
      <c r="X17" s="189" t="s">
        <v>447</v>
      </c>
      <c r="Y17" s="191">
        <v>41808</v>
      </c>
      <c r="Z17" s="190" t="s">
        <v>87</v>
      </c>
      <c r="AA17" s="190"/>
      <c r="AB17" s="190"/>
      <c r="AC17" s="189" t="s">
        <v>448</v>
      </c>
    </row>
    <row r="18" spans="1:29" x14ac:dyDescent="0.2">
      <c r="A18" s="189" t="s">
        <v>77</v>
      </c>
      <c r="B18" s="189" t="s">
        <v>78</v>
      </c>
      <c r="C18" s="189" t="s">
        <v>79</v>
      </c>
      <c r="D18" s="190">
        <v>0</v>
      </c>
      <c r="E18" s="190">
        <v>6</v>
      </c>
      <c r="F18" s="190">
        <v>16</v>
      </c>
      <c r="G18" s="189" t="s">
        <v>128</v>
      </c>
      <c r="H18" s="189" t="s">
        <v>449</v>
      </c>
      <c r="I18" s="189" t="s">
        <v>13</v>
      </c>
      <c r="J18" s="189" t="s">
        <v>268</v>
      </c>
      <c r="K18" s="189" t="s">
        <v>83</v>
      </c>
      <c r="L18" s="189" t="s">
        <v>245</v>
      </c>
      <c r="M18" s="189" t="s">
        <v>85</v>
      </c>
      <c r="N18" s="189" t="s">
        <v>132</v>
      </c>
      <c r="O18" s="189" t="s">
        <v>133</v>
      </c>
      <c r="P18" s="189" t="s">
        <v>86</v>
      </c>
      <c r="Q18" s="2">
        <v>106228</v>
      </c>
      <c r="R18" s="2">
        <v>0</v>
      </c>
      <c r="S18" s="2">
        <v>106228</v>
      </c>
      <c r="T18" s="189" t="s">
        <v>319</v>
      </c>
      <c r="U18" s="190"/>
      <c r="V18" s="190"/>
      <c r="W18" s="190">
        <v>0</v>
      </c>
      <c r="X18" s="189" t="s">
        <v>450</v>
      </c>
      <c r="Y18" s="191">
        <v>41808</v>
      </c>
      <c r="Z18" s="190" t="s">
        <v>87</v>
      </c>
      <c r="AA18" s="190"/>
      <c r="AB18" s="190"/>
      <c r="AC18" s="189" t="s">
        <v>451</v>
      </c>
    </row>
    <row r="19" spans="1:29" x14ac:dyDescent="0.2">
      <c r="A19" s="189" t="s">
        <v>77</v>
      </c>
      <c r="B19" s="189" t="s">
        <v>78</v>
      </c>
      <c r="C19" s="189" t="s">
        <v>79</v>
      </c>
      <c r="D19" s="190">
        <v>0</v>
      </c>
      <c r="E19" s="190">
        <v>6</v>
      </c>
      <c r="F19" s="190">
        <v>17</v>
      </c>
      <c r="G19" s="189" t="s">
        <v>128</v>
      </c>
      <c r="H19" s="189" t="s">
        <v>452</v>
      </c>
      <c r="I19" s="189" t="s">
        <v>13</v>
      </c>
      <c r="J19" s="189" t="s">
        <v>268</v>
      </c>
      <c r="K19" s="189" t="s">
        <v>83</v>
      </c>
      <c r="L19" s="189" t="s">
        <v>245</v>
      </c>
      <c r="M19" s="189" t="s">
        <v>85</v>
      </c>
      <c r="N19" s="189" t="s">
        <v>132</v>
      </c>
      <c r="O19" s="189" t="s">
        <v>133</v>
      </c>
      <c r="P19" s="189" t="s">
        <v>86</v>
      </c>
      <c r="Q19" s="2">
        <v>24145.84</v>
      </c>
      <c r="R19" s="2">
        <v>0</v>
      </c>
      <c r="S19" s="2">
        <v>24145.84</v>
      </c>
      <c r="T19" s="189" t="s">
        <v>453</v>
      </c>
      <c r="U19" s="190"/>
      <c r="V19" s="190"/>
      <c r="W19" s="190">
        <v>0</v>
      </c>
      <c r="X19" s="189" t="s">
        <v>454</v>
      </c>
      <c r="Y19" s="191">
        <v>41809</v>
      </c>
      <c r="Z19" s="190" t="s">
        <v>87</v>
      </c>
      <c r="AA19" s="190"/>
      <c r="AB19" s="190"/>
      <c r="AC19" s="189" t="s">
        <v>455</v>
      </c>
    </row>
    <row r="20" spans="1:29" x14ac:dyDescent="0.2">
      <c r="A20" s="189" t="s">
        <v>77</v>
      </c>
      <c r="B20" s="189" t="s">
        <v>78</v>
      </c>
      <c r="C20" s="189" t="s">
        <v>79</v>
      </c>
      <c r="D20" s="190">
        <v>0</v>
      </c>
      <c r="E20" s="190">
        <v>6</v>
      </c>
      <c r="F20" s="190">
        <v>17</v>
      </c>
      <c r="G20" s="189" t="s">
        <v>128</v>
      </c>
      <c r="H20" s="189" t="s">
        <v>456</v>
      </c>
      <c r="I20" s="189" t="s">
        <v>13</v>
      </c>
      <c r="J20" s="189" t="s">
        <v>268</v>
      </c>
      <c r="K20" s="189" t="s">
        <v>83</v>
      </c>
      <c r="L20" s="189" t="s">
        <v>245</v>
      </c>
      <c r="M20" s="189" t="s">
        <v>85</v>
      </c>
      <c r="N20" s="189" t="s">
        <v>132</v>
      </c>
      <c r="O20" s="189" t="s">
        <v>133</v>
      </c>
      <c r="P20" s="189" t="s">
        <v>86</v>
      </c>
      <c r="Q20" s="2">
        <v>35892.589999999997</v>
      </c>
      <c r="R20" s="2">
        <v>0</v>
      </c>
      <c r="S20" s="2">
        <v>35892.589999999997</v>
      </c>
      <c r="T20" s="189" t="s">
        <v>457</v>
      </c>
      <c r="U20" s="190"/>
      <c r="V20" s="190"/>
      <c r="W20" s="190">
        <v>0</v>
      </c>
      <c r="X20" s="189" t="s">
        <v>458</v>
      </c>
      <c r="Y20" s="191">
        <v>41809</v>
      </c>
      <c r="Z20" s="190" t="s">
        <v>87</v>
      </c>
      <c r="AA20" s="190"/>
      <c r="AB20" s="190"/>
      <c r="AC20" s="189" t="s">
        <v>459</v>
      </c>
    </row>
    <row r="21" spans="1:29" x14ac:dyDescent="0.2">
      <c r="A21" s="189" t="s">
        <v>77</v>
      </c>
      <c r="B21" s="189" t="s">
        <v>78</v>
      </c>
      <c r="C21" s="189" t="s">
        <v>79</v>
      </c>
      <c r="D21" s="190">
        <v>0</v>
      </c>
      <c r="E21" s="190">
        <v>6</v>
      </c>
      <c r="F21" s="190">
        <v>18</v>
      </c>
      <c r="G21" s="189" t="s">
        <v>128</v>
      </c>
      <c r="H21" s="189" t="s">
        <v>460</v>
      </c>
      <c r="I21" s="189" t="s">
        <v>13</v>
      </c>
      <c r="J21" s="189" t="s">
        <v>268</v>
      </c>
      <c r="K21" s="189" t="s">
        <v>83</v>
      </c>
      <c r="L21" s="189" t="s">
        <v>245</v>
      </c>
      <c r="M21" s="189" t="s">
        <v>85</v>
      </c>
      <c r="N21" s="189" t="s">
        <v>132</v>
      </c>
      <c r="O21" s="189" t="s">
        <v>133</v>
      </c>
      <c r="P21" s="189" t="s">
        <v>86</v>
      </c>
      <c r="Q21" s="2">
        <v>4824</v>
      </c>
      <c r="R21" s="2">
        <v>0</v>
      </c>
      <c r="S21" s="2">
        <v>4824</v>
      </c>
      <c r="T21" s="189" t="s">
        <v>461</v>
      </c>
      <c r="U21" s="190"/>
      <c r="V21" s="190"/>
      <c r="W21" s="190">
        <v>0</v>
      </c>
      <c r="X21" s="189" t="s">
        <v>462</v>
      </c>
      <c r="Y21" s="191">
        <v>41810</v>
      </c>
      <c r="Z21" s="190" t="s">
        <v>87</v>
      </c>
      <c r="AA21" s="190"/>
      <c r="AB21" s="190"/>
      <c r="AC21" s="189" t="s">
        <v>463</v>
      </c>
    </row>
    <row r="22" spans="1:29" x14ac:dyDescent="0.2">
      <c r="A22" s="189" t="s">
        <v>77</v>
      </c>
      <c r="B22" s="189" t="s">
        <v>78</v>
      </c>
      <c r="C22" s="189" t="s">
        <v>79</v>
      </c>
      <c r="D22" s="190">
        <v>0</v>
      </c>
      <c r="E22" s="190">
        <v>6</v>
      </c>
      <c r="F22" s="190">
        <v>19</v>
      </c>
      <c r="G22" s="189" t="s">
        <v>128</v>
      </c>
      <c r="H22" s="189" t="s">
        <v>464</v>
      </c>
      <c r="I22" s="189" t="s">
        <v>13</v>
      </c>
      <c r="J22" s="189" t="s">
        <v>268</v>
      </c>
      <c r="K22" s="189" t="s">
        <v>83</v>
      </c>
      <c r="L22" s="189" t="s">
        <v>245</v>
      </c>
      <c r="M22" s="189" t="s">
        <v>85</v>
      </c>
      <c r="N22" s="189" t="s">
        <v>132</v>
      </c>
      <c r="O22" s="189" t="s">
        <v>133</v>
      </c>
      <c r="P22" s="189" t="s">
        <v>86</v>
      </c>
      <c r="Q22" s="2">
        <v>25</v>
      </c>
      <c r="R22" s="2">
        <v>0</v>
      </c>
      <c r="S22" s="2">
        <v>25</v>
      </c>
      <c r="T22" s="189" t="s">
        <v>331</v>
      </c>
      <c r="U22" s="190"/>
      <c r="V22" s="190"/>
      <c r="W22" s="190">
        <v>0</v>
      </c>
      <c r="X22" s="189" t="s">
        <v>465</v>
      </c>
      <c r="Y22" s="191">
        <v>41810</v>
      </c>
      <c r="Z22" s="190" t="s">
        <v>87</v>
      </c>
      <c r="AA22" s="190"/>
      <c r="AB22" s="190"/>
      <c r="AC22" s="189" t="s">
        <v>466</v>
      </c>
    </row>
    <row r="23" spans="1:29" x14ac:dyDescent="0.2">
      <c r="A23" s="189" t="s">
        <v>77</v>
      </c>
      <c r="B23" s="189" t="s">
        <v>78</v>
      </c>
      <c r="C23" s="189" t="s">
        <v>79</v>
      </c>
      <c r="D23" s="190">
        <v>0</v>
      </c>
      <c r="E23" s="190">
        <v>6</v>
      </c>
      <c r="F23" s="190">
        <v>19</v>
      </c>
      <c r="G23" s="189" t="s">
        <v>128</v>
      </c>
      <c r="H23" s="189" t="s">
        <v>467</v>
      </c>
      <c r="I23" s="189" t="s">
        <v>13</v>
      </c>
      <c r="J23" s="189" t="s">
        <v>268</v>
      </c>
      <c r="K23" s="189" t="s">
        <v>83</v>
      </c>
      <c r="L23" s="189" t="s">
        <v>245</v>
      </c>
      <c r="M23" s="189" t="s">
        <v>85</v>
      </c>
      <c r="N23" s="189" t="s">
        <v>132</v>
      </c>
      <c r="O23" s="189" t="s">
        <v>133</v>
      </c>
      <c r="P23" s="189" t="s">
        <v>86</v>
      </c>
      <c r="Q23" s="2">
        <v>4107.28</v>
      </c>
      <c r="R23" s="2">
        <v>0</v>
      </c>
      <c r="S23" s="2">
        <v>4107.28</v>
      </c>
      <c r="T23" s="189" t="s">
        <v>468</v>
      </c>
      <c r="U23" s="190"/>
      <c r="V23" s="190"/>
      <c r="W23" s="190">
        <v>0</v>
      </c>
      <c r="X23" s="189" t="s">
        <v>469</v>
      </c>
      <c r="Y23" s="191">
        <v>41810</v>
      </c>
      <c r="Z23" s="190" t="s">
        <v>87</v>
      </c>
      <c r="AA23" s="190"/>
      <c r="AB23" s="190"/>
      <c r="AC23" s="189" t="s">
        <v>470</v>
      </c>
    </row>
    <row r="24" spans="1:29" x14ac:dyDescent="0.2">
      <c r="A24" s="189" t="s">
        <v>77</v>
      </c>
      <c r="B24" s="189" t="s">
        <v>78</v>
      </c>
      <c r="C24" s="189" t="s">
        <v>79</v>
      </c>
      <c r="D24" s="190">
        <v>0</v>
      </c>
      <c r="E24" s="190">
        <v>6</v>
      </c>
      <c r="F24" s="190">
        <v>20</v>
      </c>
      <c r="G24" s="189" t="s">
        <v>128</v>
      </c>
      <c r="H24" s="189" t="s">
        <v>471</v>
      </c>
      <c r="I24" s="189" t="s">
        <v>13</v>
      </c>
      <c r="J24" s="189" t="s">
        <v>268</v>
      </c>
      <c r="K24" s="189" t="s">
        <v>83</v>
      </c>
      <c r="L24" s="189" t="s">
        <v>245</v>
      </c>
      <c r="M24" s="189" t="s">
        <v>85</v>
      </c>
      <c r="N24" s="189" t="s">
        <v>132</v>
      </c>
      <c r="O24" s="189" t="s">
        <v>133</v>
      </c>
      <c r="P24" s="189" t="s">
        <v>86</v>
      </c>
      <c r="Q24" s="2">
        <v>18883.47</v>
      </c>
      <c r="R24" s="2">
        <v>0</v>
      </c>
      <c r="S24" s="2">
        <v>18883.47</v>
      </c>
      <c r="T24" s="189" t="s">
        <v>472</v>
      </c>
      <c r="U24" s="190"/>
      <c r="V24" s="190"/>
      <c r="W24" s="190">
        <v>0</v>
      </c>
      <c r="X24" s="189" t="s">
        <v>473</v>
      </c>
      <c r="Y24" s="191">
        <v>41814</v>
      </c>
      <c r="Z24" s="190" t="s">
        <v>87</v>
      </c>
      <c r="AA24" s="190"/>
      <c r="AB24" s="190"/>
      <c r="AC24" s="189" t="s">
        <v>474</v>
      </c>
    </row>
    <row r="25" spans="1:29" x14ac:dyDescent="0.2">
      <c r="A25" s="189" t="s">
        <v>77</v>
      </c>
      <c r="B25" s="189" t="s">
        <v>78</v>
      </c>
      <c r="C25" s="189" t="s">
        <v>79</v>
      </c>
      <c r="D25" s="190">
        <v>0</v>
      </c>
      <c r="E25" s="190">
        <v>6</v>
      </c>
      <c r="F25" s="190">
        <v>24</v>
      </c>
      <c r="G25" s="189" t="s">
        <v>128</v>
      </c>
      <c r="H25" s="189" t="s">
        <v>475</v>
      </c>
      <c r="I25" s="189" t="s">
        <v>13</v>
      </c>
      <c r="J25" s="189" t="s">
        <v>268</v>
      </c>
      <c r="K25" s="189" t="s">
        <v>83</v>
      </c>
      <c r="L25" s="189" t="s">
        <v>245</v>
      </c>
      <c r="M25" s="189" t="s">
        <v>85</v>
      </c>
      <c r="N25" s="189" t="s">
        <v>132</v>
      </c>
      <c r="O25" s="189" t="s">
        <v>133</v>
      </c>
      <c r="P25" s="189" t="s">
        <v>86</v>
      </c>
      <c r="Q25" s="2">
        <v>5783</v>
      </c>
      <c r="R25" s="2">
        <v>0</v>
      </c>
      <c r="S25" s="2">
        <v>5783</v>
      </c>
      <c r="T25" s="189" t="s">
        <v>476</v>
      </c>
      <c r="U25" s="190"/>
      <c r="V25" s="190"/>
      <c r="W25" s="190">
        <v>0</v>
      </c>
      <c r="X25" s="189" t="s">
        <v>477</v>
      </c>
      <c r="Y25" s="191">
        <v>41816</v>
      </c>
      <c r="Z25" s="190" t="s">
        <v>87</v>
      </c>
      <c r="AA25" s="190"/>
      <c r="AB25" s="190"/>
      <c r="AC25" s="189" t="s">
        <v>478</v>
      </c>
    </row>
    <row r="26" spans="1:29" x14ac:dyDescent="0.2">
      <c r="A26" s="189" t="s">
        <v>77</v>
      </c>
      <c r="B26" s="189" t="s">
        <v>78</v>
      </c>
      <c r="C26" s="189" t="s">
        <v>79</v>
      </c>
      <c r="D26" s="190">
        <v>0</v>
      </c>
      <c r="E26" s="190">
        <v>6</v>
      </c>
      <c r="F26" s="190">
        <v>24</v>
      </c>
      <c r="G26" s="189" t="s">
        <v>128</v>
      </c>
      <c r="H26" s="189" t="s">
        <v>479</v>
      </c>
      <c r="I26" s="189" t="s">
        <v>13</v>
      </c>
      <c r="J26" s="189" t="s">
        <v>268</v>
      </c>
      <c r="K26" s="189" t="s">
        <v>83</v>
      </c>
      <c r="L26" s="189" t="s">
        <v>245</v>
      </c>
      <c r="M26" s="189" t="s">
        <v>85</v>
      </c>
      <c r="N26" s="189" t="s">
        <v>132</v>
      </c>
      <c r="O26" s="189" t="s">
        <v>133</v>
      </c>
      <c r="P26" s="189" t="s">
        <v>86</v>
      </c>
      <c r="Q26" s="2">
        <v>9760.4</v>
      </c>
      <c r="R26" s="2">
        <v>0</v>
      </c>
      <c r="S26" s="2">
        <v>9760.4</v>
      </c>
      <c r="T26" s="189" t="s">
        <v>438</v>
      </c>
      <c r="U26" s="190"/>
      <c r="V26" s="190"/>
      <c r="W26" s="190">
        <v>0</v>
      </c>
      <c r="X26" s="189" t="s">
        <v>480</v>
      </c>
      <c r="Y26" s="191">
        <v>41816</v>
      </c>
      <c r="Z26" s="190" t="s">
        <v>87</v>
      </c>
      <c r="AA26" s="190"/>
      <c r="AB26" s="190"/>
      <c r="AC26" s="189" t="s">
        <v>481</v>
      </c>
    </row>
    <row r="27" spans="1:29" x14ac:dyDescent="0.2">
      <c r="A27" s="189" t="s">
        <v>77</v>
      </c>
      <c r="B27" s="189" t="s">
        <v>78</v>
      </c>
      <c r="C27" s="189" t="s">
        <v>79</v>
      </c>
      <c r="D27" s="190">
        <v>0</v>
      </c>
      <c r="E27" s="190">
        <v>6</v>
      </c>
      <c r="F27" s="190">
        <v>24</v>
      </c>
      <c r="G27" s="189" t="s">
        <v>128</v>
      </c>
      <c r="H27" s="189" t="s">
        <v>482</v>
      </c>
      <c r="I27" s="189" t="s">
        <v>13</v>
      </c>
      <c r="J27" s="189" t="s">
        <v>268</v>
      </c>
      <c r="K27" s="189" t="s">
        <v>83</v>
      </c>
      <c r="L27" s="189" t="s">
        <v>245</v>
      </c>
      <c r="M27" s="189" t="s">
        <v>85</v>
      </c>
      <c r="N27" s="189" t="s">
        <v>132</v>
      </c>
      <c r="O27" s="189" t="s">
        <v>133</v>
      </c>
      <c r="P27" s="189" t="s">
        <v>86</v>
      </c>
      <c r="Q27" s="2">
        <v>15339.9</v>
      </c>
      <c r="R27" s="2">
        <v>0</v>
      </c>
      <c r="S27" s="2">
        <v>15339.9</v>
      </c>
      <c r="T27" s="189" t="s">
        <v>337</v>
      </c>
      <c r="U27" s="190"/>
      <c r="V27" s="190"/>
      <c r="W27" s="190">
        <v>0</v>
      </c>
      <c r="X27" s="189" t="s">
        <v>483</v>
      </c>
      <c r="Y27" s="191">
        <v>41816</v>
      </c>
      <c r="Z27" s="190" t="s">
        <v>87</v>
      </c>
      <c r="AA27" s="190"/>
      <c r="AB27" s="190"/>
      <c r="AC27" s="189" t="s">
        <v>484</v>
      </c>
    </row>
    <row r="28" spans="1:29" x14ac:dyDescent="0.2">
      <c r="A28" s="189" t="s">
        <v>77</v>
      </c>
      <c r="B28" s="189" t="s">
        <v>78</v>
      </c>
      <c r="C28" s="189" t="s">
        <v>79</v>
      </c>
      <c r="D28" s="190">
        <v>0</v>
      </c>
      <c r="E28" s="190">
        <v>6</v>
      </c>
      <c r="F28" s="190">
        <v>25</v>
      </c>
      <c r="G28" s="189" t="s">
        <v>128</v>
      </c>
      <c r="H28" s="189" t="s">
        <v>485</v>
      </c>
      <c r="I28" s="189" t="s">
        <v>13</v>
      </c>
      <c r="J28" s="189" t="s">
        <v>268</v>
      </c>
      <c r="K28" s="189" t="s">
        <v>83</v>
      </c>
      <c r="L28" s="189" t="s">
        <v>245</v>
      </c>
      <c r="M28" s="189" t="s">
        <v>85</v>
      </c>
      <c r="N28" s="189" t="s">
        <v>132</v>
      </c>
      <c r="O28" s="189" t="s">
        <v>133</v>
      </c>
      <c r="P28" s="189" t="s">
        <v>86</v>
      </c>
      <c r="Q28" s="2">
        <v>139315.78</v>
      </c>
      <c r="R28" s="2">
        <v>0</v>
      </c>
      <c r="S28" s="2">
        <v>139315.78</v>
      </c>
      <c r="T28" s="189" t="s">
        <v>486</v>
      </c>
      <c r="U28" s="190"/>
      <c r="V28" s="190"/>
      <c r="W28" s="190">
        <v>0</v>
      </c>
      <c r="X28" s="189" t="s">
        <v>487</v>
      </c>
      <c r="Y28" s="191">
        <v>41816</v>
      </c>
      <c r="Z28" s="190" t="s">
        <v>87</v>
      </c>
      <c r="AA28" s="190"/>
      <c r="AB28" s="190"/>
      <c r="AC28" s="189" t="s">
        <v>488</v>
      </c>
    </row>
    <row r="29" spans="1:29" x14ac:dyDescent="0.2">
      <c r="A29" s="189" t="s">
        <v>77</v>
      </c>
      <c r="B29" s="189" t="s">
        <v>78</v>
      </c>
      <c r="C29" s="189" t="s">
        <v>79</v>
      </c>
      <c r="D29" s="190">
        <v>0</v>
      </c>
      <c r="E29" s="190">
        <v>6</v>
      </c>
      <c r="F29" s="190">
        <v>26</v>
      </c>
      <c r="G29" s="189" t="s">
        <v>128</v>
      </c>
      <c r="H29" s="189" t="s">
        <v>489</v>
      </c>
      <c r="I29" s="189" t="s">
        <v>13</v>
      </c>
      <c r="J29" s="189" t="s">
        <v>268</v>
      </c>
      <c r="K29" s="189" t="s">
        <v>83</v>
      </c>
      <c r="L29" s="189" t="s">
        <v>245</v>
      </c>
      <c r="M29" s="189" t="s">
        <v>85</v>
      </c>
      <c r="N29" s="189" t="s">
        <v>132</v>
      </c>
      <c r="O29" s="189" t="s">
        <v>133</v>
      </c>
      <c r="P29" s="189" t="s">
        <v>86</v>
      </c>
      <c r="Q29" s="2">
        <v>6766</v>
      </c>
      <c r="R29" s="2">
        <v>0</v>
      </c>
      <c r="S29" s="2">
        <v>6766</v>
      </c>
      <c r="T29" s="189" t="s">
        <v>442</v>
      </c>
      <c r="U29" s="190"/>
      <c r="V29" s="190"/>
      <c r="W29" s="190">
        <v>0</v>
      </c>
      <c r="X29" s="189" t="s">
        <v>490</v>
      </c>
      <c r="Y29" s="191">
        <v>41820</v>
      </c>
      <c r="Z29" s="190" t="s">
        <v>87</v>
      </c>
      <c r="AA29" s="190"/>
      <c r="AB29" s="190"/>
      <c r="AC29" s="189" t="s">
        <v>491</v>
      </c>
    </row>
    <row r="30" spans="1:29" x14ac:dyDescent="0.2">
      <c r="Q30" s="2"/>
      <c r="R30" s="2"/>
      <c r="S30" s="2"/>
    </row>
    <row r="31" spans="1:29" x14ac:dyDescent="0.2">
      <c r="Q31" s="2">
        <f>SUM(Q2:Q30)</f>
        <v>1071770.8299999998</v>
      </c>
      <c r="R31" s="2">
        <f>SUM(R2:R30)</f>
        <v>0</v>
      </c>
      <c r="S31" s="2">
        <f>SUM(S2:S30)</f>
        <v>1071770.8299999998</v>
      </c>
    </row>
    <row r="32" spans="1:29" x14ac:dyDescent="0.2">
      <c r="Q32" s="2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workbookViewId="0">
      <pane xSplit="16" ySplit="1" topLeftCell="Q44" activePane="bottomRight" state="frozen"/>
      <selection activeCell="C27" sqref="C27:E28"/>
      <selection pane="topRight" activeCell="C27" sqref="C27:E28"/>
      <selection pane="bottomLeft" activeCell="C27" sqref="C27:E28"/>
      <selection pane="bottomRight" activeCell="C27" sqref="C27:E28"/>
    </sheetView>
  </sheetViews>
  <sheetFormatPr defaultRowHeight="12.75" x14ac:dyDescent="0.2"/>
  <cols>
    <col min="1" max="1" width="5" style="1" bestFit="1" customWidth="1"/>
    <col min="2" max="2" width="4.140625" style="1" bestFit="1" customWidth="1"/>
    <col min="3" max="3" width="6" style="1" bestFit="1" customWidth="1"/>
    <col min="4" max="4" width="2.140625" style="1" bestFit="1" customWidth="1"/>
    <col min="5" max="5" width="2.5703125" style="1" bestFit="1" customWidth="1"/>
    <col min="6" max="6" width="3" style="1" bestFit="1" customWidth="1"/>
    <col min="7" max="7" width="5.5703125" style="1" bestFit="1" customWidth="1"/>
    <col min="8" max="8" width="7" style="1" bestFit="1" customWidth="1"/>
    <col min="9" max="9" width="4" style="1" bestFit="1" customWidth="1"/>
    <col min="10" max="10" width="5" style="1" bestFit="1" customWidth="1"/>
    <col min="11" max="11" width="7" style="1" bestFit="1" customWidth="1"/>
    <col min="12" max="12" width="5" style="1" bestFit="1" customWidth="1"/>
    <col min="13" max="13" width="4" style="1" bestFit="1" customWidth="1"/>
    <col min="14" max="14" width="10" style="1" bestFit="1" customWidth="1"/>
    <col min="15" max="15" width="11" style="1" bestFit="1" customWidth="1"/>
    <col min="16" max="16" width="14.140625" style="1" bestFit="1" customWidth="1"/>
    <col min="17" max="18" width="13.42578125" style="1" bestFit="1" customWidth="1"/>
    <col min="19" max="19" width="14" style="1" bestFit="1" customWidth="1"/>
    <col min="20" max="20" width="10" style="1" bestFit="1" customWidth="1"/>
    <col min="21" max="21" width="7.5703125" style="1" bestFit="1" customWidth="1"/>
    <col min="22" max="22" width="7.28515625" style="1" bestFit="1" customWidth="1"/>
    <col min="23" max="23" width="3" style="1" bestFit="1" customWidth="1"/>
    <col min="24" max="24" width="14.42578125" style="1" bestFit="1" customWidth="1"/>
    <col min="25" max="25" width="11.85546875" style="1" bestFit="1" customWidth="1"/>
    <col min="26" max="26" width="6.85546875" style="1" bestFit="1" customWidth="1"/>
    <col min="27" max="27" width="9" style="1" bestFit="1" customWidth="1"/>
    <col min="28" max="28" width="6.28515625" style="1" bestFit="1" customWidth="1"/>
    <col min="29" max="29" width="11.7109375" style="1" bestFit="1" customWidth="1"/>
    <col min="30" max="16384" width="9.140625" style="1"/>
  </cols>
  <sheetData>
    <row r="1" spans="1:29" x14ac:dyDescent="0.2">
      <c r="A1" s="78" t="s">
        <v>49</v>
      </c>
      <c r="B1" s="78" t="s">
        <v>50</v>
      </c>
      <c r="C1" s="78" t="s">
        <v>51</v>
      </c>
      <c r="D1" s="78" t="s">
        <v>52</v>
      </c>
      <c r="E1" s="78" t="s">
        <v>53</v>
      </c>
      <c r="F1" s="78" t="s">
        <v>54</v>
      </c>
      <c r="G1" s="78" t="s">
        <v>127</v>
      </c>
      <c r="H1" s="78" t="s">
        <v>55</v>
      </c>
      <c r="I1" s="78" t="s">
        <v>56</v>
      </c>
      <c r="J1" s="78" t="s">
        <v>57</v>
      </c>
      <c r="K1" s="78" t="s">
        <v>58</v>
      </c>
      <c r="L1" s="78" t="s">
        <v>59</v>
      </c>
      <c r="M1" s="78" t="s">
        <v>60</v>
      </c>
      <c r="N1" s="78" t="s">
        <v>61</v>
      </c>
      <c r="O1" s="78" t="s">
        <v>62</v>
      </c>
      <c r="P1" s="78" t="s">
        <v>63</v>
      </c>
      <c r="Q1" s="78" t="s">
        <v>64</v>
      </c>
      <c r="R1" s="78" t="s">
        <v>65</v>
      </c>
      <c r="S1" s="78" t="s">
        <v>66</v>
      </c>
      <c r="T1" s="78" t="s">
        <v>67</v>
      </c>
      <c r="U1" s="78" t="s">
        <v>68</v>
      </c>
      <c r="V1" s="78" t="s">
        <v>69</v>
      </c>
      <c r="W1" s="78" t="s">
        <v>70</v>
      </c>
      <c r="X1" s="78" t="s">
        <v>71</v>
      </c>
      <c r="Y1" s="78" t="s">
        <v>72</v>
      </c>
      <c r="Z1" s="78" t="s">
        <v>73</v>
      </c>
      <c r="AA1" s="78" t="s">
        <v>74</v>
      </c>
      <c r="AB1" s="78" t="s">
        <v>75</v>
      </c>
      <c r="AC1" s="78" t="s">
        <v>76</v>
      </c>
    </row>
    <row r="2" spans="1:29" x14ac:dyDescent="0.2">
      <c r="A2" s="79" t="s">
        <v>77</v>
      </c>
      <c r="B2" s="79" t="s">
        <v>78</v>
      </c>
      <c r="C2" s="79" t="s">
        <v>79</v>
      </c>
      <c r="D2" s="80">
        <v>1</v>
      </c>
      <c r="E2" s="80">
        <v>1</v>
      </c>
      <c r="F2" s="80">
        <v>1</v>
      </c>
      <c r="G2" s="79" t="s">
        <v>128</v>
      </c>
      <c r="H2" s="79" t="s">
        <v>176</v>
      </c>
      <c r="I2" s="79" t="s">
        <v>119</v>
      </c>
      <c r="J2" s="79" t="s">
        <v>82</v>
      </c>
      <c r="K2" s="79" t="s">
        <v>112</v>
      </c>
      <c r="L2" s="79" t="s">
        <v>120</v>
      </c>
      <c r="M2" s="79" t="s">
        <v>85</v>
      </c>
      <c r="N2" s="79" t="s">
        <v>130</v>
      </c>
      <c r="O2" s="79" t="s">
        <v>131</v>
      </c>
      <c r="P2" s="79" t="s">
        <v>86</v>
      </c>
      <c r="Q2" s="82">
        <v>0</v>
      </c>
      <c r="R2" s="82">
        <v>12995000</v>
      </c>
      <c r="S2" s="82">
        <v>-12995000</v>
      </c>
      <c r="T2" s="80"/>
      <c r="U2" s="80"/>
      <c r="V2" s="80"/>
      <c r="W2" s="80">
        <v>0</v>
      </c>
      <c r="X2" s="80"/>
      <c r="Y2" s="81">
        <v>41703</v>
      </c>
      <c r="Z2" s="80" t="s">
        <v>121</v>
      </c>
      <c r="AA2" s="80"/>
      <c r="AB2" s="80"/>
      <c r="AC2" s="80"/>
    </row>
    <row r="3" spans="1:29" x14ac:dyDescent="0.2">
      <c r="A3" s="79" t="s">
        <v>77</v>
      </c>
      <c r="B3" s="79" t="s">
        <v>78</v>
      </c>
      <c r="C3" s="79" t="s">
        <v>79</v>
      </c>
      <c r="D3" s="80">
        <v>0</v>
      </c>
      <c r="E3" s="80">
        <v>1</v>
      </c>
      <c r="F3" s="80">
        <v>8</v>
      </c>
      <c r="G3" s="79" t="s">
        <v>128</v>
      </c>
      <c r="H3" s="79" t="s">
        <v>80</v>
      </c>
      <c r="I3" s="79" t="s">
        <v>119</v>
      </c>
      <c r="J3" s="79" t="s">
        <v>122</v>
      </c>
      <c r="K3" s="79" t="s">
        <v>112</v>
      </c>
      <c r="L3" s="79" t="s">
        <v>120</v>
      </c>
      <c r="M3" s="79" t="s">
        <v>85</v>
      </c>
      <c r="N3" s="79" t="s">
        <v>130</v>
      </c>
      <c r="O3" s="79" t="s">
        <v>131</v>
      </c>
      <c r="P3" s="79" t="s">
        <v>86</v>
      </c>
      <c r="Q3" s="82">
        <v>0</v>
      </c>
      <c r="R3" s="82">
        <v>456</v>
      </c>
      <c r="S3" s="82">
        <v>-456</v>
      </c>
      <c r="T3" s="80"/>
      <c r="U3" s="80"/>
      <c r="V3" s="80"/>
      <c r="W3" s="80">
        <v>0</v>
      </c>
      <c r="X3" s="79" t="s">
        <v>135</v>
      </c>
      <c r="Y3" s="81">
        <v>41676</v>
      </c>
      <c r="Z3" s="80" t="s">
        <v>87</v>
      </c>
      <c r="AA3" s="80"/>
      <c r="AB3" s="80"/>
      <c r="AC3" s="80"/>
    </row>
    <row r="4" spans="1:29" x14ac:dyDescent="0.2">
      <c r="A4" s="79" t="s">
        <v>77</v>
      </c>
      <c r="B4" s="79" t="s">
        <v>78</v>
      </c>
      <c r="C4" s="79" t="s">
        <v>79</v>
      </c>
      <c r="D4" s="80">
        <v>0</v>
      </c>
      <c r="E4" s="80">
        <v>1</v>
      </c>
      <c r="F4" s="80">
        <v>10</v>
      </c>
      <c r="G4" s="79" t="s">
        <v>128</v>
      </c>
      <c r="H4" s="79" t="s">
        <v>88</v>
      </c>
      <c r="I4" s="79" t="s">
        <v>119</v>
      </c>
      <c r="J4" s="79" t="s">
        <v>122</v>
      </c>
      <c r="K4" s="79" t="s">
        <v>112</v>
      </c>
      <c r="L4" s="79" t="s">
        <v>120</v>
      </c>
      <c r="M4" s="79" t="s">
        <v>85</v>
      </c>
      <c r="N4" s="79" t="s">
        <v>130</v>
      </c>
      <c r="O4" s="79" t="s">
        <v>131</v>
      </c>
      <c r="P4" s="79" t="s">
        <v>86</v>
      </c>
      <c r="Q4" s="82">
        <v>0</v>
      </c>
      <c r="R4" s="82">
        <v>100</v>
      </c>
      <c r="S4" s="82">
        <v>-100</v>
      </c>
      <c r="T4" s="80"/>
      <c r="U4" s="80"/>
      <c r="V4" s="80"/>
      <c r="W4" s="80">
        <v>0</v>
      </c>
      <c r="X4" s="79" t="s">
        <v>136</v>
      </c>
      <c r="Y4" s="81">
        <v>41676</v>
      </c>
      <c r="Z4" s="80" t="s">
        <v>87</v>
      </c>
      <c r="AA4" s="80"/>
      <c r="AB4" s="80"/>
      <c r="AC4" s="80"/>
    </row>
    <row r="5" spans="1:29" x14ac:dyDescent="0.2">
      <c r="A5" s="79" t="s">
        <v>77</v>
      </c>
      <c r="B5" s="79" t="s">
        <v>78</v>
      </c>
      <c r="C5" s="79" t="s">
        <v>79</v>
      </c>
      <c r="D5" s="80">
        <v>0</v>
      </c>
      <c r="E5" s="80">
        <v>1</v>
      </c>
      <c r="F5" s="80">
        <v>10</v>
      </c>
      <c r="G5" s="79" t="s">
        <v>128</v>
      </c>
      <c r="H5" s="79" t="s">
        <v>89</v>
      </c>
      <c r="I5" s="79" t="s">
        <v>119</v>
      </c>
      <c r="J5" s="79" t="s">
        <v>122</v>
      </c>
      <c r="K5" s="79" t="s">
        <v>112</v>
      </c>
      <c r="L5" s="79" t="s">
        <v>120</v>
      </c>
      <c r="M5" s="79" t="s">
        <v>85</v>
      </c>
      <c r="N5" s="79" t="s">
        <v>130</v>
      </c>
      <c r="O5" s="79" t="s">
        <v>131</v>
      </c>
      <c r="P5" s="79" t="s">
        <v>86</v>
      </c>
      <c r="Q5" s="82">
        <v>0</v>
      </c>
      <c r="R5" s="82">
        <v>20000</v>
      </c>
      <c r="S5" s="82">
        <v>-20000</v>
      </c>
      <c r="T5" s="80"/>
      <c r="U5" s="80"/>
      <c r="V5" s="80"/>
      <c r="W5" s="80">
        <v>0</v>
      </c>
      <c r="X5" s="79" t="s">
        <v>138</v>
      </c>
      <c r="Y5" s="81">
        <v>41676</v>
      </c>
      <c r="Z5" s="80" t="s">
        <v>87</v>
      </c>
      <c r="AA5" s="80"/>
      <c r="AB5" s="80"/>
      <c r="AC5" s="80"/>
    </row>
    <row r="6" spans="1:29" x14ac:dyDescent="0.2">
      <c r="A6" s="79" t="s">
        <v>77</v>
      </c>
      <c r="B6" s="79" t="s">
        <v>78</v>
      </c>
      <c r="C6" s="79" t="s">
        <v>79</v>
      </c>
      <c r="D6" s="80">
        <v>0</v>
      </c>
      <c r="E6" s="80">
        <v>1</v>
      </c>
      <c r="F6" s="80">
        <v>13</v>
      </c>
      <c r="G6" s="79" t="s">
        <v>128</v>
      </c>
      <c r="H6" s="79" t="s">
        <v>91</v>
      </c>
      <c r="I6" s="79" t="s">
        <v>119</v>
      </c>
      <c r="J6" s="79" t="s">
        <v>122</v>
      </c>
      <c r="K6" s="79" t="s">
        <v>112</v>
      </c>
      <c r="L6" s="79" t="s">
        <v>120</v>
      </c>
      <c r="M6" s="79" t="s">
        <v>85</v>
      </c>
      <c r="N6" s="79" t="s">
        <v>130</v>
      </c>
      <c r="O6" s="79" t="s">
        <v>131</v>
      </c>
      <c r="P6" s="79" t="s">
        <v>86</v>
      </c>
      <c r="Q6" s="82">
        <v>0</v>
      </c>
      <c r="R6" s="82">
        <v>15700</v>
      </c>
      <c r="S6" s="82">
        <v>-15700</v>
      </c>
      <c r="T6" s="80"/>
      <c r="U6" s="80"/>
      <c r="V6" s="80"/>
      <c r="W6" s="80">
        <v>0</v>
      </c>
      <c r="X6" s="79" t="s">
        <v>140</v>
      </c>
      <c r="Y6" s="81">
        <v>41676</v>
      </c>
      <c r="Z6" s="80" t="s">
        <v>87</v>
      </c>
      <c r="AA6" s="80"/>
      <c r="AB6" s="80"/>
      <c r="AC6" s="80"/>
    </row>
    <row r="7" spans="1:29" x14ac:dyDescent="0.2">
      <c r="A7" s="79" t="s">
        <v>77</v>
      </c>
      <c r="B7" s="79" t="s">
        <v>78</v>
      </c>
      <c r="C7" s="79" t="s">
        <v>79</v>
      </c>
      <c r="D7" s="80">
        <v>0</v>
      </c>
      <c r="E7" s="80">
        <v>1</v>
      </c>
      <c r="F7" s="80">
        <v>14</v>
      </c>
      <c r="G7" s="79" t="s">
        <v>128</v>
      </c>
      <c r="H7" s="79" t="s">
        <v>92</v>
      </c>
      <c r="I7" s="79" t="s">
        <v>119</v>
      </c>
      <c r="J7" s="79" t="s">
        <v>122</v>
      </c>
      <c r="K7" s="79" t="s">
        <v>112</v>
      </c>
      <c r="L7" s="79" t="s">
        <v>120</v>
      </c>
      <c r="M7" s="79" t="s">
        <v>85</v>
      </c>
      <c r="N7" s="79" t="s">
        <v>130</v>
      </c>
      <c r="O7" s="79" t="s">
        <v>131</v>
      </c>
      <c r="P7" s="79" t="s">
        <v>86</v>
      </c>
      <c r="Q7" s="82">
        <v>0</v>
      </c>
      <c r="R7" s="82">
        <v>21484</v>
      </c>
      <c r="S7" s="82">
        <v>-21484</v>
      </c>
      <c r="T7" s="80"/>
      <c r="U7" s="80"/>
      <c r="V7" s="80"/>
      <c r="W7" s="80">
        <v>0</v>
      </c>
      <c r="X7" s="79" t="s">
        <v>142</v>
      </c>
      <c r="Y7" s="81">
        <v>41676</v>
      </c>
      <c r="Z7" s="80" t="s">
        <v>87</v>
      </c>
      <c r="AA7" s="80"/>
      <c r="AB7" s="80"/>
      <c r="AC7" s="80"/>
    </row>
    <row r="8" spans="1:29" x14ac:dyDescent="0.2">
      <c r="A8" s="79" t="s">
        <v>77</v>
      </c>
      <c r="B8" s="79" t="s">
        <v>78</v>
      </c>
      <c r="C8" s="79" t="s">
        <v>79</v>
      </c>
      <c r="D8" s="80">
        <v>0</v>
      </c>
      <c r="E8" s="80">
        <v>1</v>
      </c>
      <c r="F8" s="80">
        <v>15</v>
      </c>
      <c r="G8" s="79" t="s">
        <v>128</v>
      </c>
      <c r="H8" s="79" t="s">
        <v>93</v>
      </c>
      <c r="I8" s="79" t="s">
        <v>119</v>
      </c>
      <c r="J8" s="79" t="s">
        <v>122</v>
      </c>
      <c r="K8" s="79" t="s">
        <v>112</v>
      </c>
      <c r="L8" s="79" t="s">
        <v>120</v>
      </c>
      <c r="M8" s="79" t="s">
        <v>85</v>
      </c>
      <c r="N8" s="79" t="s">
        <v>130</v>
      </c>
      <c r="O8" s="79" t="s">
        <v>131</v>
      </c>
      <c r="P8" s="79" t="s">
        <v>86</v>
      </c>
      <c r="Q8" s="82">
        <v>0</v>
      </c>
      <c r="R8" s="82">
        <v>10000</v>
      </c>
      <c r="S8" s="82">
        <v>-10000</v>
      </c>
      <c r="T8" s="80"/>
      <c r="U8" s="80"/>
      <c r="V8" s="80"/>
      <c r="W8" s="80">
        <v>0</v>
      </c>
      <c r="X8" s="79" t="s">
        <v>144</v>
      </c>
      <c r="Y8" s="81">
        <v>41676</v>
      </c>
      <c r="Z8" s="80" t="s">
        <v>87</v>
      </c>
      <c r="AA8" s="80"/>
      <c r="AB8" s="80"/>
      <c r="AC8" s="80"/>
    </row>
    <row r="9" spans="1:29" x14ac:dyDescent="0.2">
      <c r="A9" s="79" t="s">
        <v>77</v>
      </c>
      <c r="B9" s="79" t="s">
        <v>78</v>
      </c>
      <c r="C9" s="79" t="s">
        <v>79</v>
      </c>
      <c r="D9" s="80">
        <v>0</v>
      </c>
      <c r="E9" s="80">
        <v>1</v>
      </c>
      <c r="F9" s="80">
        <v>15</v>
      </c>
      <c r="G9" s="79" t="s">
        <v>128</v>
      </c>
      <c r="H9" s="79" t="s">
        <v>94</v>
      </c>
      <c r="I9" s="79" t="s">
        <v>119</v>
      </c>
      <c r="J9" s="79" t="s">
        <v>122</v>
      </c>
      <c r="K9" s="79" t="s">
        <v>112</v>
      </c>
      <c r="L9" s="79" t="s">
        <v>120</v>
      </c>
      <c r="M9" s="79" t="s">
        <v>85</v>
      </c>
      <c r="N9" s="79" t="s">
        <v>130</v>
      </c>
      <c r="O9" s="79" t="s">
        <v>131</v>
      </c>
      <c r="P9" s="79" t="s">
        <v>86</v>
      </c>
      <c r="Q9" s="82">
        <v>0</v>
      </c>
      <c r="R9" s="82">
        <v>22100</v>
      </c>
      <c r="S9" s="82">
        <v>-22100</v>
      </c>
      <c r="T9" s="80"/>
      <c r="U9" s="80"/>
      <c r="V9" s="80"/>
      <c r="W9" s="80">
        <v>0</v>
      </c>
      <c r="X9" s="79" t="s">
        <v>145</v>
      </c>
      <c r="Y9" s="81">
        <v>41676</v>
      </c>
      <c r="Z9" s="80" t="s">
        <v>87</v>
      </c>
      <c r="AA9" s="80"/>
      <c r="AB9" s="80"/>
      <c r="AC9" s="80"/>
    </row>
    <row r="10" spans="1:29" x14ac:dyDescent="0.2">
      <c r="A10" s="79" t="s">
        <v>77</v>
      </c>
      <c r="B10" s="79" t="s">
        <v>78</v>
      </c>
      <c r="C10" s="79" t="s">
        <v>79</v>
      </c>
      <c r="D10" s="80">
        <v>0</v>
      </c>
      <c r="E10" s="80">
        <v>1</v>
      </c>
      <c r="F10" s="80">
        <v>15</v>
      </c>
      <c r="G10" s="79" t="s">
        <v>128</v>
      </c>
      <c r="H10" s="79" t="s">
        <v>95</v>
      </c>
      <c r="I10" s="79" t="s">
        <v>119</v>
      </c>
      <c r="J10" s="79" t="s">
        <v>122</v>
      </c>
      <c r="K10" s="79" t="s">
        <v>112</v>
      </c>
      <c r="L10" s="79" t="s">
        <v>120</v>
      </c>
      <c r="M10" s="79" t="s">
        <v>85</v>
      </c>
      <c r="N10" s="79" t="s">
        <v>130</v>
      </c>
      <c r="O10" s="79" t="s">
        <v>131</v>
      </c>
      <c r="P10" s="79" t="s">
        <v>86</v>
      </c>
      <c r="Q10" s="82">
        <v>0</v>
      </c>
      <c r="R10" s="82">
        <v>30000</v>
      </c>
      <c r="S10" s="82">
        <v>-30000</v>
      </c>
      <c r="T10" s="80"/>
      <c r="U10" s="80"/>
      <c r="V10" s="80"/>
      <c r="W10" s="80">
        <v>0</v>
      </c>
      <c r="X10" s="79" t="s">
        <v>147</v>
      </c>
      <c r="Y10" s="81">
        <v>41676</v>
      </c>
      <c r="Z10" s="80" t="s">
        <v>87</v>
      </c>
      <c r="AA10" s="80"/>
      <c r="AB10" s="80"/>
      <c r="AC10" s="80"/>
    </row>
    <row r="11" spans="1:29" x14ac:dyDescent="0.2">
      <c r="A11" s="79" t="s">
        <v>77</v>
      </c>
      <c r="B11" s="79" t="s">
        <v>78</v>
      </c>
      <c r="C11" s="79" t="s">
        <v>79</v>
      </c>
      <c r="D11" s="80">
        <v>0</v>
      </c>
      <c r="E11" s="80">
        <v>1</v>
      </c>
      <c r="F11" s="80">
        <v>23</v>
      </c>
      <c r="G11" s="79" t="s">
        <v>128</v>
      </c>
      <c r="H11" s="79" t="s">
        <v>97</v>
      </c>
      <c r="I11" s="79" t="s">
        <v>119</v>
      </c>
      <c r="J11" s="79" t="s">
        <v>122</v>
      </c>
      <c r="K11" s="79" t="s">
        <v>112</v>
      </c>
      <c r="L11" s="79" t="s">
        <v>120</v>
      </c>
      <c r="M11" s="79" t="s">
        <v>85</v>
      </c>
      <c r="N11" s="79" t="s">
        <v>130</v>
      </c>
      <c r="O11" s="79" t="s">
        <v>131</v>
      </c>
      <c r="P11" s="79" t="s">
        <v>86</v>
      </c>
      <c r="Q11" s="82">
        <v>0</v>
      </c>
      <c r="R11" s="82">
        <v>16609</v>
      </c>
      <c r="S11" s="82">
        <v>-16609</v>
      </c>
      <c r="T11" s="80"/>
      <c r="U11" s="80"/>
      <c r="V11" s="80"/>
      <c r="W11" s="80">
        <v>0</v>
      </c>
      <c r="X11" s="79" t="s">
        <v>149</v>
      </c>
      <c r="Y11" s="81">
        <v>41676</v>
      </c>
      <c r="Z11" s="80" t="s">
        <v>87</v>
      </c>
      <c r="AA11" s="80"/>
      <c r="AB11" s="80"/>
      <c r="AC11" s="80"/>
    </row>
    <row r="12" spans="1:29" x14ac:dyDescent="0.2">
      <c r="A12" s="79" t="s">
        <v>77</v>
      </c>
      <c r="B12" s="79" t="s">
        <v>78</v>
      </c>
      <c r="C12" s="79" t="s">
        <v>79</v>
      </c>
      <c r="D12" s="80">
        <v>0</v>
      </c>
      <c r="E12" s="80">
        <v>1</v>
      </c>
      <c r="F12" s="80">
        <v>23</v>
      </c>
      <c r="G12" s="79" t="s">
        <v>128</v>
      </c>
      <c r="H12" s="79" t="s">
        <v>98</v>
      </c>
      <c r="I12" s="79" t="s">
        <v>119</v>
      </c>
      <c r="J12" s="79" t="s">
        <v>122</v>
      </c>
      <c r="K12" s="79" t="s">
        <v>112</v>
      </c>
      <c r="L12" s="79" t="s">
        <v>120</v>
      </c>
      <c r="M12" s="79" t="s">
        <v>85</v>
      </c>
      <c r="N12" s="79" t="s">
        <v>130</v>
      </c>
      <c r="O12" s="79" t="s">
        <v>131</v>
      </c>
      <c r="P12" s="79" t="s">
        <v>86</v>
      </c>
      <c r="Q12" s="82">
        <v>0</v>
      </c>
      <c r="R12" s="82">
        <v>7181.6</v>
      </c>
      <c r="S12" s="82">
        <v>-7181.6</v>
      </c>
      <c r="T12" s="80"/>
      <c r="U12" s="80"/>
      <c r="V12" s="80"/>
      <c r="W12" s="80">
        <v>0</v>
      </c>
      <c r="X12" s="79" t="s">
        <v>151</v>
      </c>
      <c r="Y12" s="81">
        <v>41676</v>
      </c>
      <c r="Z12" s="80" t="s">
        <v>87</v>
      </c>
      <c r="AA12" s="80"/>
      <c r="AB12" s="80"/>
      <c r="AC12" s="80"/>
    </row>
    <row r="13" spans="1:29" x14ac:dyDescent="0.2">
      <c r="A13" s="79" t="s">
        <v>77</v>
      </c>
      <c r="B13" s="79" t="s">
        <v>78</v>
      </c>
      <c r="C13" s="79" t="s">
        <v>79</v>
      </c>
      <c r="D13" s="80">
        <v>0</v>
      </c>
      <c r="E13" s="80">
        <v>1</v>
      </c>
      <c r="F13" s="80">
        <v>28</v>
      </c>
      <c r="G13" s="79" t="s">
        <v>128</v>
      </c>
      <c r="H13" s="79" t="s">
        <v>113</v>
      </c>
      <c r="I13" s="79" t="s">
        <v>119</v>
      </c>
      <c r="J13" s="79" t="s">
        <v>122</v>
      </c>
      <c r="K13" s="79" t="s">
        <v>112</v>
      </c>
      <c r="L13" s="79" t="s">
        <v>120</v>
      </c>
      <c r="M13" s="79" t="s">
        <v>85</v>
      </c>
      <c r="N13" s="79" t="s">
        <v>130</v>
      </c>
      <c r="O13" s="79" t="s">
        <v>131</v>
      </c>
      <c r="P13" s="79" t="s">
        <v>86</v>
      </c>
      <c r="Q13" s="82">
        <v>0</v>
      </c>
      <c r="R13" s="82">
        <v>52</v>
      </c>
      <c r="S13" s="82">
        <v>-52</v>
      </c>
      <c r="T13" s="80"/>
      <c r="U13" s="80"/>
      <c r="V13" s="80"/>
      <c r="W13" s="80">
        <v>0</v>
      </c>
      <c r="X13" s="79" t="s">
        <v>152</v>
      </c>
      <c r="Y13" s="81">
        <v>41676</v>
      </c>
      <c r="Z13" s="80" t="s">
        <v>87</v>
      </c>
      <c r="AA13" s="80"/>
      <c r="AB13" s="80"/>
      <c r="AC13" s="80"/>
    </row>
    <row r="14" spans="1:29" x14ac:dyDescent="0.2">
      <c r="A14" s="79" t="s">
        <v>77</v>
      </c>
      <c r="B14" s="79" t="s">
        <v>78</v>
      </c>
      <c r="C14" s="79" t="s">
        <v>79</v>
      </c>
      <c r="D14" s="80">
        <v>0</v>
      </c>
      <c r="E14" s="80">
        <v>1</v>
      </c>
      <c r="F14" s="80">
        <v>28</v>
      </c>
      <c r="G14" s="79" t="s">
        <v>128</v>
      </c>
      <c r="H14" s="79" t="s">
        <v>116</v>
      </c>
      <c r="I14" s="79" t="s">
        <v>119</v>
      </c>
      <c r="J14" s="79" t="s">
        <v>122</v>
      </c>
      <c r="K14" s="79" t="s">
        <v>112</v>
      </c>
      <c r="L14" s="79" t="s">
        <v>120</v>
      </c>
      <c r="M14" s="79" t="s">
        <v>85</v>
      </c>
      <c r="N14" s="79" t="s">
        <v>130</v>
      </c>
      <c r="O14" s="79" t="s">
        <v>131</v>
      </c>
      <c r="P14" s="79" t="s">
        <v>86</v>
      </c>
      <c r="Q14" s="82">
        <v>0</v>
      </c>
      <c r="R14" s="82">
        <v>2719</v>
      </c>
      <c r="S14" s="82">
        <v>-2719</v>
      </c>
      <c r="T14" s="80"/>
      <c r="U14" s="80"/>
      <c r="V14" s="80"/>
      <c r="W14" s="80">
        <v>0</v>
      </c>
      <c r="X14" s="79" t="s">
        <v>153</v>
      </c>
      <c r="Y14" s="81">
        <v>41676</v>
      </c>
      <c r="Z14" s="80" t="s">
        <v>87</v>
      </c>
      <c r="AA14" s="80"/>
      <c r="AB14" s="80"/>
      <c r="AC14" s="80"/>
    </row>
    <row r="15" spans="1:29" x14ac:dyDescent="0.2">
      <c r="A15" s="79" t="s">
        <v>77</v>
      </c>
      <c r="B15" s="79" t="s">
        <v>78</v>
      </c>
      <c r="C15" s="79" t="s">
        <v>79</v>
      </c>
      <c r="D15" s="80">
        <v>0</v>
      </c>
      <c r="E15" s="80">
        <v>1</v>
      </c>
      <c r="F15" s="80">
        <v>28</v>
      </c>
      <c r="G15" s="79" t="s">
        <v>128</v>
      </c>
      <c r="H15" s="79" t="s">
        <v>117</v>
      </c>
      <c r="I15" s="79" t="s">
        <v>119</v>
      </c>
      <c r="J15" s="79" t="s">
        <v>122</v>
      </c>
      <c r="K15" s="79" t="s">
        <v>112</v>
      </c>
      <c r="L15" s="79" t="s">
        <v>120</v>
      </c>
      <c r="M15" s="79" t="s">
        <v>85</v>
      </c>
      <c r="N15" s="79" t="s">
        <v>130</v>
      </c>
      <c r="O15" s="79" t="s">
        <v>131</v>
      </c>
      <c r="P15" s="79" t="s">
        <v>86</v>
      </c>
      <c r="Q15" s="82">
        <v>0</v>
      </c>
      <c r="R15" s="82">
        <v>3504.4</v>
      </c>
      <c r="S15" s="82">
        <v>-3504.4</v>
      </c>
      <c r="T15" s="80"/>
      <c r="U15" s="80"/>
      <c r="V15" s="80"/>
      <c r="W15" s="80">
        <v>0</v>
      </c>
      <c r="X15" s="79" t="s">
        <v>155</v>
      </c>
      <c r="Y15" s="81">
        <v>41676</v>
      </c>
      <c r="Z15" s="80" t="s">
        <v>87</v>
      </c>
      <c r="AA15" s="80"/>
      <c r="AB15" s="80"/>
      <c r="AC15" s="80"/>
    </row>
    <row r="16" spans="1:29" x14ac:dyDescent="0.2">
      <c r="A16" s="79" t="s">
        <v>77</v>
      </c>
      <c r="B16" s="79" t="s">
        <v>78</v>
      </c>
      <c r="C16" s="79" t="s">
        <v>79</v>
      </c>
      <c r="D16" s="80">
        <v>0</v>
      </c>
      <c r="E16" s="80">
        <v>1</v>
      </c>
      <c r="F16" s="80">
        <v>29</v>
      </c>
      <c r="G16" s="79" t="s">
        <v>128</v>
      </c>
      <c r="H16" s="79" t="s">
        <v>123</v>
      </c>
      <c r="I16" s="79" t="s">
        <v>119</v>
      </c>
      <c r="J16" s="79" t="s">
        <v>122</v>
      </c>
      <c r="K16" s="79" t="s">
        <v>112</v>
      </c>
      <c r="L16" s="79" t="s">
        <v>120</v>
      </c>
      <c r="M16" s="79" t="s">
        <v>85</v>
      </c>
      <c r="N16" s="79" t="s">
        <v>130</v>
      </c>
      <c r="O16" s="79" t="s">
        <v>131</v>
      </c>
      <c r="P16" s="79" t="s">
        <v>86</v>
      </c>
      <c r="Q16" s="82">
        <v>0</v>
      </c>
      <c r="R16" s="82">
        <v>9737</v>
      </c>
      <c r="S16" s="82">
        <v>-9737</v>
      </c>
      <c r="T16" s="80"/>
      <c r="U16" s="80"/>
      <c r="V16" s="80"/>
      <c r="W16" s="80">
        <v>0</v>
      </c>
      <c r="X16" s="79" t="s">
        <v>156</v>
      </c>
      <c r="Y16" s="81">
        <v>41676</v>
      </c>
      <c r="Z16" s="80" t="s">
        <v>87</v>
      </c>
      <c r="AA16" s="80"/>
      <c r="AB16" s="80"/>
      <c r="AC16" s="80"/>
    </row>
    <row r="17" spans="1:29" x14ac:dyDescent="0.2">
      <c r="A17" s="79" t="s">
        <v>77</v>
      </c>
      <c r="B17" s="79" t="s">
        <v>78</v>
      </c>
      <c r="C17" s="79" t="s">
        <v>79</v>
      </c>
      <c r="D17" s="80">
        <v>0</v>
      </c>
      <c r="E17" s="80">
        <v>1</v>
      </c>
      <c r="F17" s="80">
        <v>31</v>
      </c>
      <c r="G17" s="79" t="s">
        <v>128</v>
      </c>
      <c r="H17" s="79" t="s">
        <v>118</v>
      </c>
      <c r="I17" s="79" t="s">
        <v>119</v>
      </c>
      <c r="J17" s="79" t="s">
        <v>122</v>
      </c>
      <c r="K17" s="79" t="s">
        <v>112</v>
      </c>
      <c r="L17" s="79" t="s">
        <v>120</v>
      </c>
      <c r="M17" s="79" t="s">
        <v>85</v>
      </c>
      <c r="N17" s="79" t="s">
        <v>130</v>
      </c>
      <c r="O17" s="79" t="s">
        <v>131</v>
      </c>
      <c r="P17" s="79" t="s">
        <v>86</v>
      </c>
      <c r="Q17" s="82">
        <v>0</v>
      </c>
      <c r="R17" s="82">
        <v>12597</v>
      </c>
      <c r="S17" s="82">
        <v>-12597</v>
      </c>
      <c r="T17" s="80"/>
      <c r="U17" s="80"/>
      <c r="V17" s="80"/>
      <c r="W17" s="80">
        <v>0</v>
      </c>
      <c r="X17" s="79" t="s">
        <v>157</v>
      </c>
      <c r="Y17" s="81">
        <v>41676</v>
      </c>
      <c r="Z17" s="80" t="s">
        <v>87</v>
      </c>
      <c r="AA17" s="80"/>
    </row>
    <row r="18" spans="1:29" x14ac:dyDescent="0.2">
      <c r="A18" s="79" t="s">
        <v>77</v>
      </c>
      <c r="B18" s="79" t="s">
        <v>78</v>
      </c>
      <c r="C18" s="79" t="s">
        <v>79</v>
      </c>
      <c r="D18" s="80">
        <v>0</v>
      </c>
      <c r="E18" s="80">
        <v>1</v>
      </c>
      <c r="F18" s="80">
        <v>31</v>
      </c>
      <c r="G18" s="79" t="s">
        <v>128</v>
      </c>
      <c r="H18" s="79" t="s">
        <v>124</v>
      </c>
      <c r="I18" s="79" t="s">
        <v>119</v>
      </c>
      <c r="J18" s="79" t="s">
        <v>122</v>
      </c>
      <c r="K18" s="79" t="s">
        <v>112</v>
      </c>
      <c r="L18" s="79" t="s">
        <v>120</v>
      </c>
      <c r="M18" s="79" t="s">
        <v>85</v>
      </c>
      <c r="N18" s="79" t="s">
        <v>130</v>
      </c>
      <c r="O18" s="79" t="s">
        <v>131</v>
      </c>
      <c r="P18" s="79" t="s">
        <v>86</v>
      </c>
      <c r="Q18" s="82">
        <v>0</v>
      </c>
      <c r="R18" s="82">
        <v>51368.74</v>
      </c>
      <c r="S18" s="82">
        <v>-51368.74</v>
      </c>
      <c r="T18" s="80"/>
      <c r="U18" s="80"/>
      <c r="V18" s="80"/>
      <c r="W18" s="80">
        <v>0</v>
      </c>
      <c r="X18" s="79" t="s">
        <v>158</v>
      </c>
      <c r="Y18" s="81">
        <v>41676</v>
      </c>
      <c r="Z18" s="80" t="s">
        <v>87</v>
      </c>
      <c r="AA18" s="80"/>
    </row>
    <row r="19" spans="1:29" x14ac:dyDescent="0.2">
      <c r="A19" s="79" t="s">
        <v>77</v>
      </c>
      <c r="B19" s="79" t="s">
        <v>78</v>
      </c>
      <c r="C19" s="79" t="s">
        <v>79</v>
      </c>
      <c r="D19" s="80">
        <v>0</v>
      </c>
      <c r="E19" s="80">
        <v>2</v>
      </c>
      <c r="F19" s="80">
        <v>7</v>
      </c>
      <c r="G19" s="79" t="s">
        <v>128</v>
      </c>
      <c r="H19" s="79" t="s">
        <v>80</v>
      </c>
      <c r="I19" s="79" t="s">
        <v>119</v>
      </c>
      <c r="J19" s="79" t="s">
        <v>122</v>
      </c>
      <c r="K19" s="79" t="s">
        <v>112</v>
      </c>
      <c r="L19" s="79" t="s">
        <v>120</v>
      </c>
      <c r="M19" s="79" t="s">
        <v>85</v>
      </c>
      <c r="N19" s="79" t="s">
        <v>130</v>
      </c>
      <c r="O19" s="79" t="s">
        <v>131</v>
      </c>
      <c r="P19" s="79" t="s">
        <v>86</v>
      </c>
      <c r="Q19" s="82">
        <v>0</v>
      </c>
      <c r="R19" s="82">
        <v>15861</v>
      </c>
      <c r="S19" s="82">
        <v>-15861</v>
      </c>
      <c r="T19" s="80"/>
      <c r="U19" s="80"/>
      <c r="V19" s="80"/>
      <c r="W19" s="80">
        <v>0</v>
      </c>
      <c r="X19" s="79" t="s">
        <v>160</v>
      </c>
      <c r="Y19" s="81">
        <v>41683</v>
      </c>
      <c r="Z19" s="80" t="s">
        <v>87</v>
      </c>
      <c r="AA19" s="80"/>
    </row>
    <row r="20" spans="1:29" x14ac:dyDescent="0.2">
      <c r="A20" s="79" t="s">
        <v>77</v>
      </c>
      <c r="B20" s="79" t="s">
        <v>78</v>
      </c>
      <c r="C20" s="79" t="s">
        <v>79</v>
      </c>
      <c r="D20" s="80">
        <v>0</v>
      </c>
      <c r="E20" s="80">
        <v>2</v>
      </c>
      <c r="F20" s="80">
        <v>12</v>
      </c>
      <c r="G20" s="79" t="s">
        <v>128</v>
      </c>
      <c r="H20" s="79" t="s">
        <v>88</v>
      </c>
      <c r="I20" s="79" t="s">
        <v>119</v>
      </c>
      <c r="J20" s="79" t="s">
        <v>122</v>
      </c>
      <c r="K20" s="79" t="s">
        <v>112</v>
      </c>
      <c r="L20" s="79" t="s">
        <v>120</v>
      </c>
      <c r="M20" s="79" t="s">
        <v>85</v>
      </c>
      <c r="N20" s="79" t="s">
        <v>130</v>
      </c>
      <c r="O20" s="79" t="s">
        <v>131</v>
      </c>
      <c r="P20" s="79" t="s">
        <v>86</v>
      </c>
      <c r="Q20" s="82">
        <v>0</v>
      </c>
      <c r="R20" s="82">
        <v>42234</v>
      </c>
      <c r="S20" s="82">
        <v>-42234</v>
      </c>
      <c r="T20" s="80"/>
      <c r="U20" s="80"/>
      <c r="V20" s="80"/>
      <c r="W20" s="80">
        <v>0</v>
      </c>
      <c r="X20" s="79" t="s">
        <v>161</v>
      </c>
      <c r="Y20" s="81">
        <v>41683</v>
      </c>
      <c r="Z20" s="80" t="s">
        <v>87</v>
      </c>
      <c r="AA20" s="80"/>
    </row>
    <row r="21" spans="1:29" x14ac:dyDescent="0.2">
      <c r="A21" s="79" t="s">
        <v>77</v>
      </c>
      <c r="B21" s="79" t="s">
        <v>78</v>
      </c>
      <c r="C21" s="79" t="s">
        <v>79</v>
      </c>
      <c r="D21" s="80">
        <v>0</v>
      </c>
      <c r="E21" s="80">
        <v>2</v>
      </c>
      <c r="F21" s="80">
        <v>18</v>
      </c>
      <c r="G21" s="79" t="s">
        <v>128</v>
      </c>
      <c r="H21" s="79" t="s">
        <v>89</v>
      </c>
      <c r="I21" s="79" t="s">
        <v>119</v>
      </c>
      <c r="J21" s="79" t="s">
        <v>122</v>
      </c>
      <c r="K21" s="79" t="s">
        <v>112</v>
      </c>
      <c r="L21" s="79" t="s">
        <v>120</v>
      </c>
      <c r="M21" s="79" t="s">
        <v>85</v>
      </c>
      <c r="N21" s="79" t="s">
        <v>130</v>
      </c>
      <c r="O21" s="79" t="s">
        <v>131</v>
      </c>
      <c r="P21" s="79" t="s">
        <v>86</v>
      </c>
      <c r="Q21" s="82">
        <v>0</v>
      </c>
      <c r="R21" s="82">
        <v>10838.5</v>
      </c>
      <c r="S21" s="82">
        <v>-10838.5</v>
      </c>
      <c r="T21" s="80"/>
      <c r="U21" s="80"/>
      <c r="V21" s="80"/>
      <c r="W21" s="80">
        <v>0</v>
      </c>
      <c r="X21" s="79" t="s">
        <v>163</v>
      </c>
      <c r="Y21" s="81">
        <v>41689</v>
      </c>
      <c r="Z21" s="80" t="s">
        <v>87</v>
      </c>
      <c r="AA21" s="80"/>
    </row>
    <row r="22" spans="1:29" x14ac:dyDescent="0.2">
      <c r="A22" s="79" t="s">
        <v>77</v>
      </c>
      <c r="B22" s="79" t="s">
        <v>78</v>
      </c>
      <c r="C22" s="79" t="s">
        <v>79</v>
      </c>
      <c r="D22" s="80">
        <v>0</v>
      </c>
      <c r="E22" s="80">
        <v>2</v>
      </c>
      <c r="F22" s="80">
        <v>18</v>
      </c>
      <c r="G22" s="79" t="s">
        <v>128</v>
      </c>
      <c r="H22" s="79" t="s">
        <v>91</v>
      </c>
      <c r="I22" s="79" t="s">
        <v>119</v>
      </c>
      <c r="J22" s="79" t="s">
        <v>122</v>
      </c>
      <c r="K22" s="79" t="s">
        <v>112</v>
      </c>
      <c r="L22" s="79" t="s">
        <v>120</v>
      </c>
      <c r="M22" s="79" t="s">
        <v>85</v>
      </c>
      <c r="N22" s="79" t="s">
        <v>130</v>
      </c>
      <c r="O22" s="79" t="s">
        <v>131</v>
      </c>
      <c r="P22" s="79" t="s">
        <v>86</v>
      </c>
      <c r="Q22" s="82">
        <v>0</v>
      </c>
      <c r="R22" s="82">
        <v>20000</v>
      </c>
      <c r="S22" s="82">
        <v>-20000</v>
      </c>
      <c r="T22" s="80"/>
      <c r="U22" s="80"/>
      <c r="V22" s="80"/>
      <c r="W22" s="80">
        <v>0</v>
      </c>
      <c r="X22" s="79" t="s">
        <v>165</v>
      </c>
      <c r="Y22" s="81">
        <v>41689</v>
      </c>
      <c r="Z22" s="80" t="s">
        <v>87</v>
      </c>
      <c r="AA22" s="80"/>
    </row>
    <row r="23" spans="1:29" x14ac:dyDescent="0.2">
      <c r="A23" s="79" t="s">
        <v>77</v>
      </c>
      <c r="B23" s="79" t="s">
        <v>78</v>
      </c>
      <c r="C23" s="79" t="s">
        <v>79</v>
      </c>
      <c r="D23" s="80">
        <v>0</v>
      </c>
      <c r="E23" s="80">
        <v>3</v>
      </c>
      <c r="F23" s="80">
        <v>11</v>
      </c>
      <c r="G23" s="79" t="s">
        <v>128</v>
      </c>
      <c r="H23" s="79" t="s">
        <v>80</v>
      </c>
      <c r="I23" s="79" t="s">
        <v>119</v>
      </c>
      <c r="J23" s="79" t="s">
        <v>122</v>
      </c>
      <c r="K23" s="79" t="s">
        <v>112</v>
      </c>
      <c r="L23" s="79" t="s">
        <v>120</v>
      </c>
      <c r="M23" s="79" t="s">
        <v>85</v>
      </c>
      <c r="N23" s="79" t="s">
        <v>130</v>
      </c>
      <c r="O23" s="79" t="s">
        <v>131</v>
      </c>
      <c r="P23" s="79" t="s">
        <v>86</v>
      </c>
      <c r="Q23" s="82">
        <v>0</v>
      </c>
      <c r="R23" s="82">
        <v>568</v>
      </c>
      <c r="S23" s="82">
        <v>-568</v>
      </c>
      <c r="T23" s="80"/>
      <c r="U23" s="80"/>
      <c r="V23" s="80"/>
      <c r="W23" s="80">
        <v>0</v>
      </c>
      <c r="X23" s="79" t="s">
        <v>167</v>
      </c>
      <c r="Y23" s="81">
        <v>41710</v>
      </c>
      <c r="Z23" s="80" t="s">
        <v>87</v>
      </c>
      <c r="AA23" s="80"/>
    </row>
    <row r="24" spans="1:29" x14ac:dyDescent="0.2">
      <c r="A24" s="79" t="s">
        <v>77</v>
      </c>
      <c r="B24" s="79" t="s">
        <v>78</v>
      </c>
      <c r="C24" s="79" t="s">
        <v>79</v>
      </c>
      <c r="D24" s="80">
        <v>0</v>
      </c>
      <c r="E24" s="80">
        <v>3</v>
      </c>
      <c r="F24" s="80">
        <v>24</v>
      </c>
      <c r="G24" s="79" t="s">
        <v>128</v>
      </c>
      <c r="H24" s="79" t="s">
        <v>88</v>
      </c>
      <c r="I24" s="79" t="s">
        <v>119</v>
      </c>
      <c r="J24" s="79" t="s">
        <v>122</v>
      </c>
      <c r="K24" s="79" t="s">
        <v>112</v>
      </c>
      <c r="L24" s="79" t="s">
        <v>120</v>
      </c>
      <c r="M24" s="79" t="s">
        <v>85</v>
      </c>
      <c r="N24" s="79" t="s">
        <v>130</v>
      </c>
      <c r="O24" s="79" t="s">
        <v>131</v>
      </c>
      <c r="P24" s="79" t="s">
        <v>86</v>
      </c>
      <c r="Q24" s="82">
        <v>0</v>
      </c>
      <c r="R24" s="82">
        <v>20000</v>
      </c>
      <c r="S24" s="82">
        <v>-20000</v>
      </c>
      <c r="T24" s="80"/>
      <c r="U24" s="80"/>
      <c r="V24" s="80"/>
      <c r="W24" s="80">
        <v>0</v>
      </c>
      <c r="X24" s="79" t="s">
        <v>169</v>
      </c>
      <c r="Y24" s="81">
        <v>41724</v>
      </c>
      <c r="Z24" s="80" t="s">
        <v>87</v>
      </c>
      <c r="AA24" s="80"/>
    </row>
    <row r="25" spans="1:29" x14ac:dyDescent="0.2">
      <c r="A25" s="79" t="s">
        <v>77</v>
      </c>
      <c r="B25" s="79" t="s">
        <v>78</v>
      </c>
      <c r="C25" s="79" t="s">
        <v>79</v>
      </c>
      <c r="D25" s="80">
        <v>0</v>
      </c>
      <c r="E25" s="80">
        <v>3</v>
      </c>
      <c r="F25" s="80">
        <v>31</v>
      </c>
      <c r="G25" s="79" t="s">
        <v>128</v>
      </c>
      <c r="H25" s="79" t="s">
        <v>89</v>
      </c>
      <c r="I25" s="79" t="s">
        <v>119</v>
      </c>
      <c r="J25" s="79" t="s">
        <v>122</v>
      </c>
      <c r="K25" s="79" t="s">
        <v>112</v>
      </c>
      <c r="L25" s="79" t="s">
        <v>120</v>
      </c>
      <c r="M25" s="79" t="s">
        <v>85</v>
      </c>
      <c r="N25" s="79" t="s">
        <v>130</v>
      </c>
      <c r="O25" s="79" t="s">
        <v>131</v>
      </c>
      <c r="P25" s="79" t="s">
        <v>86</v>
      </c>
      <c r="Q25" s="82">
        <v>20000</v>
      </c>
      <c r="R25" s="82">
        <v>0</v>
      </c>
      <c r="S25" s="82">
        <v>20000</v>
      </c>
      <c r="T25" s="80"/>
      <c r="U25" s="80"/>
      <c r="V25" s="80"/>
      <c r="W25" s="80">
        <v>0</v>
      </c>
      <c r="X25" s="79" t="s">
        <v>170</v>
      </c>
      <c r="Y25" s="81">
        <v>41730</v>
      </c>
      <c r="Z25" s="80" t="s">
        <v>108</v>
      </c>
      <c r="AA25" s="79" t="s">
        <v>109</v>
      </c>
    </row>
    <row r="26" spans="1:29" x14ac:dyDescent="0.2">
      <c r="A26" s="179" t="s">
        <v>77</v>
      </c>
      <c r="B26" s="179" t="s">
        <v>78</v>
      </c>
      <c r="C26" s="179" t="s">
        <v>79</v>
      </c>
      <c r="D26" s="180">
        <v>0</v>
      </c>
      <c r="E26" s="180">
        <v>5</v>
      </c>
      <c r="F26" s="180">
        <v>27</v>
      </c>
      <c r="G26" s="179" t="s">
        <v>128</v>
      </c>
      <c r="H26" s="179" t="s">
        <v>88</v>
      </c>
      <c r="I26" s="179" t="s">
        <v>119</v>
      </c>
      <c r="J26" s="179" t="s">
        <v>254</v>
      </c>
      <c r="K26" s="179" t="s">
        <v>112</v>
      </c>
      <c r="L26" s="179" t="s">
        <v>120</v>
      </c>
      <c r="M26" s="179" t="s">
        <v>85</v>
      </c>
      <c r="N26" s="179" t="s">
        <v>130</v>
      </c>
      <c r="O26" s="179" t="s">
        <v>131</v>
      </c>
      <c r="P26" s="179" t="s">
        <v>86</v>
      </c>
      <c r="Q26" s="162">
        <v>2638539.4700000002</v>
      </c>
      <c r="R26" s="162">
        <v>0</v>
      </c>
      <c r="S26" s="162">
        <v>2638539.4700000002</v>
      </c>
      <c r="T26" s="180"/>
      <c r="U26" s="180"/>
      <c r="V26" s="180"/>
      <c r="W26" s="180">
        <v>0</v>
      </c>
      <c r="X26" s="179" t="s">
        <v>224</v>
      </c>
      <c r="Y26" s="181">
        <v>41788</v>
      </c>
      <c r="Z26" s="180" t="s">
        <v>108</v>
      </c>
      <c r="AA26" s="179" t="s">
        <v>109</v>
      </c>
      <c r="AB26" s="180"/>
      <c r="AC26" s="179" t="s">
        <v>225</v>
      </c>
    </row>
    <row r="27" spans="1:29" x14ac:dyDescent="0.2">
      <c r="A27" s="179" t="s">
        <v>77</v>
      </c>
      <c r="B27" s="179" t="s">
        <v>78</v>
      </c>
      <c r="C27" s="179" t="s">
        <v>79</v>
      </c>
      <c r="D27" s="180">
        <v>0</v>
      </c>
      <c r="E27" s="180">
        <v>5</v>
      </c>
      <c r="F27" s="180">
        <v>27</v>
      </c>
      <c r="G27" s="179" t="s">
        <v>128</v>
      </c>
      <c r="H27" s="179" t="s">
        <v>89</v>
      </c>
      <c r="I27" s="179" t="s">
        <v>119</v>
      </c>
      <c r="J27" s="179" t="s">
        <v>254</v>
      </c>
      <c r="K27" s="179" t="s">
        <v>112</v>
      </c>
      <c r="L27" s="179" t="s">
        <v>120</v>
      </c>
      <c r="M27" s="179" t="s">
        <v>85</v>
      </c>
      <c r="N27" s="179" t="s">
        <v>130</v>
      </c>
      <c r="O27" s="179" t="s">
        <v>131</v>
      </c>
      <c r="P27" s="179" t="s">
        <v>86</v>
      </c>
      <c r="Q27" s="165">
        <v>1847678.67</v>
      </c>
      <c r="R27" s="165">
        <v>0</v>
      </c>
      <c r="S27" s="165">
        <v>1847678.67</v>
      </c>
      <c r="T27" s="180"/>
      <c r="U27" s="180"/>
      <c r="V27" s="180"/>
      <c r="W27" s="180">
        <v>0</v>
      </c>
      <c r="X27" s="179" t="s">
        <v>226</v>
      </c>
      <c r="Y27" s="181">
        <v>41788</v>
      </c>
      <c r="Z27" s="180" t="s">
        <v>108</v>
      </c>
      <c r="AA27" s="179" t="s">
        <v>109</v>
      </c>
      <c r="AB27" s="180"/>
      <c r="AC27" s="179" t="s">
        <v>227</v>
      </c>
    </row>
    <row r="28" spans="1:29" x14ac:dyDescent="0.2">
      <c r="A28" s="179" t="s">
        <v>77</v>
      </c>
      <c r="B28" s="179" t="s">
        <v>78</v>
      </c>
      <c r="C28" s="179" t="s">
        <v>79</v>
      </c>
      <c r="D28" s="180">
        <v>0</v>
      </c>
      <c r="E28" s="180">
        <v>5</v>
      </c>
      <c r="F28" s="180">
        <v>27</v>
      </c>
      <c r="G28" s="179" t="s">
        <v>128</v>
      </c>
      <c r="H28" s="179" t="s">
        <v>91</v>
      </c>
      <c r="I28" s="179" t="s">
        <v>119</v>
      </c>
      <c r="J28" s="179" t="s">
        <v>254</v>
      </c>
      <c r="K28" s="179" t="s">
        <v>112</v>
      </c>
      <c r="L28" s="179" t="s">
        <v>120</v>
      </c>
      <c r="M28" s="179" t="s">
        <v>85</v>
      </c>
      <c r="N28" s="179" t="s">
        <v>130</v>
      </c>
      <c r="O28" s="179" t="s">
        <v>131</v>
      </c>
      <c r="P28" s="179" t="s">
        <v>86</v>
      </c>
      <c r="Q28" s="162">
        <v>555787.91</v>
      </c>
      <c r="R28" s="162">
        <v>0</v>
      </c>
      <c r="S28" s="162">
        <v>555787.91</v>
      </c>
      <c r="T28" s="180"/>
      <c r="U28" s="180"/>
      <c r="V28" s="180"/>
      <c r="W28" s="180">
        <v>0</v>
      </c>
      <c r="X28" s="179" t="s">
        <v>228</v>
      </c>
      <c r="Y28" s="181">
        <v>41788</v>
      </c>
      <c r="Z28" s="180" t="s">
        <v>108</v>
      </c>
      <c r="AA28" s="179" t="s">
        <v>109</v>
      </c>
      <c r="AB28" s="180"/>
      <c r="AC28" s="179" t="s">
        <v>229</v>
      </c>
    </row>
    <row r="29" spans="1:29" x14ac:dyDescent="0.2">
      <c r="A29" s="179" t="s">
        <v>77</v>
      </c>
      <c r="B29" s="179" t="s">
        <v>78</v>
      </c>
      <c r="C29" s="179" t="s">
        <v>79</v>
      </c>
      <c r="D29" s="180">
        <v>0</v>
      </c>
      <c r="E29" s="180">
        <v>5</v>
      </c>
      <c r="F29" s="180">
        <v>27</v>
      </c>
      <c r="G29" s="179" t="s">
        <v>128</v>
      </c>
      <c r="H29" s="179" t="s">
        <v>92</v>
      </c>
      <c r="I29" s="179" t="s">
        <v>119</v>
      </c>
      <c r="J29" s="179" t="s">
        <v>254</v>
      </c>
      <c r="K29" s="179" t="s">
        <v>112</v>
      </c>
      <c r="L29" s="179" t="s">
        <v>120</v>
      </c>
      <c r="M29" s="179" t="s">
        <v>85</v>
      </c>
      <c r="N29" s="179" t="s">
        <v>130</v>
      </c>
      <c r="O29" s="179" t="s">
        <v>131</v>
      </c>
      <c r="P29" s="179" t="s">
        <v>86</v>
      </c>
      <c r="Q29" s="170">
        <v>208233.46</v>
      </c>
      <c r="R29" s="170">
        <v>0</v>
      </c>
      <c r="S29" s="170">
        <v>208233.46</v>
      </c>
      <c r="T29" s="180"/>
      <c r="U29" s="180"/>
      <c r="V29" s="180"/>
      <c r="W29" s="180">
        <v>0</v>
      </c>
      <c r="X29" s="179" t="s">
        <v>230</v>
      </c>
      <c r="Y29" s="181">
        <v>41788</v>
      </c>
      <c r="Z29" s="180" t="s">
        <v>108</v>
      </c>
      <c r="AA29" s="179" t="s">
        <v>109</v>
      </c>
      <c r="AB29" s="180"/>
      <c r="AC29" s="179" t="s">
        <v>231</v>
      </c>
    </row>
    <row r="30" spans="1:29" x14ac:dyDescent="0.2">
      <c r="A30" s="179" t="s">
        <v>77</v>
      </c>
      <c r="B30" s="179" t="s">
        <v>78</v>
      </c>
      <c r="C30" s="179" t="s">
        <v>79</v>
      </c>
      <c r="D30" s="180">
        <v>0</v>
      </c>
      <c r="E30" s="180">
        <v>5</v>
      </c>
      <c r="F30" s="180">
        <v>27</v>
      </c>
      <c r="G30" s="179" t="s">
        <v>128</v>
      </c>
      <c r="H30" s="179" t="s">
        <v>93</v>
      </c>
      <c r="I30" s="179" t="s">
        <v>119</v>
      </c>
      <c r="J30" s="179" t="s">
        <v>122</v>
      </c>
      <c r="K30" s="179" t="s">
        <v>112</v>
      </c>
      <c r="L30" s="179" t="s">
        <v>120</v>
      </c>
      <c r="M30" s="179" t="s">
        <v>85</v>
      </c>
      <c r="N30" s="179" t="s">
        <v>130</v>
      </c>
      <c r="O30" s="179" t="s">
        <v>131</v>
      </c>
      <c r="P30" s="179" t="s">
        <v>86</v>
      </c>
      <c r="Q30" s="172">
        <v>0</v>
      </c>
      <c r="R30" s="172">
        <v>104706.72</v>
      </c>
      <c r="S30" s="172">
        <v>-104706.72</v>
      </c>
      <c r="T30" s="180"/>
      <c r="U30" s="180"/>
      <c r="V30" s="180"/>
      <c r="W30" s="180">
        <v>0</v>
      </c>
      <c r="X30" s="179" t="s">
        <v>233</v>
      </c>
      <c r="Y30" s="181">
        <v>41788</v>
      </c>
      <c r="Z30" s="180" t="s">
        <v>87</v>
      </c>
      <c r="AA30" s="180"/>
      <c r="AB30" s="180"/>
      <c r="AC30" s="179" t="s">
        <v>234</v>
      </c>
    </row>
    <row r="31" spans="1:29" x14ac:dyDescent="0.2">
      <c r="A31" s="179" t="s">
        <v>77</v>
      </c>
      <c r="B31" s="179" t="s">
        <v>78</v>
      </c>
      <c r="C31" s="179" t="s">
        <v>79</v>
      </c>
      <c r="D31" s="180">
        <v>0</v>
      </c>
      <c r="E31" s="180">
        <v>5</v>
      </c>
      <c r="F31" s="180">
        <v>27</v>
      </c>
      <c r="G31" s="179" t="s">
        <v>128</v>
      </c>
      <c r="H31" s="179" t="s">
        <v>94</v>
      </c>
      <c r="I31" s="179" t="s">
        <v>119</v>
      </c>
      <c r="J31" s="179" t="s">
        <v>122</v>
      </c>
      <c r="K31" s="179" t="s">
        <v>112</v>
      </c>
      <c r="L31" s="179" t="s">
        <v>120</v>
      </c>
      <c r="M31" s="179" t="s">
        <v>85</v>
      </c>
      <c r="N31" s="179" t="s">
        <v>130</v>
      </c>
      <c r="O31" s="179" t="s">
        <v>131</v>
      </c>
      <c r="P31" s="179" t="s">
        <v>86</v>
      </c>
      <c r="Q31" s="178">
        <v>0</v>
      </c>
      <c r="R31" s="178">
        <v>1071770.83</v>
      </c>
      <c r="S31" s="178">
        <v>-1071770.83</v>
      </c>
      <c r="T31" s="180"/>
      <c r="U31" s="180"/>
      <c r="V31" s="180"/>
      <c r="W31" s="180">
        <v>0</v>
      </c>
      <c r="X31" s="179" t="s">
        <v>235</v>
      </c>
      <c r="Y31" s="181">
        <v>41788</v>
      </c>
      <c r="Z31" s="180" t="s">
        <v>87</v>
      </c>
      <c r="AA31" s="180"/>
      <c r="AB31" s="180"/>
      <c r="AC31" s="179" t="s">
        <v>236</v>
      </c>
    </row>
    <row r="32" spans="1:29" x14ac:dyDescent="0.2">
      <c r="A32" s="179" t="s">
        <v>77</v>
      </c>
      <c r="B32" s="179" t="s">
        <v>78</v>
      </c>
      <c r="C32" s="179" t="s">
        <v>79</v>
      </c>
      <c r="D32" s="180">
        <v>0</v>
      </c>
      <c r="E32" s="180">
        <v>5</v>
      </c>
      <c r="F32" s="180">
        <v>27</v>
      </c>
      <c r="G32" s="179" t="s">
        <v>128</v>
      </c>
      <c r="H32" s="179" t="s">
        <v>95</v>
      </c>
      <c r="I32" s="179" t="s">
        <v>119</v>
      </c>
      <c r="J32" s="179" t="s">
        <v>122</v>
      </c>
      <c r="K32" s="179" t="s">
        <v>112</v>
      </c>
      <c r="L32" s="179" t="s">
        <v>120</v>
      </c>
      <c r="M32" s="179" t="s">
        <v>85</v>
      </c>
      <c r="N32" s="179" t="s">
        <v>130</v>
      </c>
      <c r="O32" s="179" t="s">
        <v>131</v>
      </c>
      <c r="P32" s="179" t="s">
        <v>86</v>
      </c>
      <c r="Q32" s="165">
        <v>0</v>
      </c>
      <c r="R32" s="165">
        <v>50000000</v>
      </c>
      <c r="S32" s="165">
        <v>-50000000</v>
      </c>
      <c r="T32" s="180"/>
      <c r="U32" s="180"/>
      <c r="V32" s="180"/>
      <c r="W32" s="180">
        <v>0</v>
      </c>
      <c r="X32" s="179" t="s">
        <v>237</v>
      </c>
      <c r="Y32" s="181">
        <v>41788</v>
      </c>
      <c r="Z32" s="180" t="s">
        <v>87</v>
      </c>
      <c r="AA32" s="180"/>
      <c r="AB32" s="180"/>
      <c r="AC32" s="179" t="s">
        <v>238</v>
      </c>
    </row>
    <row r="33" spans="1:29" x14ac:dyDescent="0.2">
      <c r="A33" s="179" t="s">
        <v>77</v>
      </c>
      <c r="B33" s="179" t="s">
        <v>78</v>
      </c>
      <c r="C33" s="179" t="s">
        <v>79</v>
      </c>
      <c r="D33" s="180">
        <v>0</v>
      </c>
      <c r="E33" s="180">
        <v>5</v>
      </c>
      <c r="F33" s="180">
        <v>27</v>
      </c>
      <c r="G33" s="179" t="s">
        <v>128</v>
      </c>
      <c r="H33" s="179" t="s">
        <v>97</v>
      </c>
      <c r="I33" s="179" t="s">
        <v>119</v>
      </c>
      <c r="J33" s="179" t="s">
        <v>122</v>
      </c>
      <c r="K33" s="179" t="s">
        <v>112</v>
      </c>
      <c r="L33" s="179" t="s">
        <v>120</v>
      </c>
      <c r="M33" s="179" t="s">
        <v>85</v>
      </c>
      <c r="N33" s="179" t="s">
        <v>130</v>
      </c>
      <c r="O33" s="179" t="s">
        <v>131</v>
      </c>
      <c r="P33" s="179" t="s">
        <v>86</v>
      </c>
      <c r="Q33" s="165">
        <v>0</v>
      </c>
      <c r="R33" s="165">
        <v>88491664.579999998</v>
      </c>
      <c r="S33" s="165">
        <v>-88491664.579999998</v>
      </c>
      <c r="T33" s="180"/>
      <c r="U33" s="180"/>
      <c r="V33" s="180"/>
      <c r="W33" s="180">
        <v>0</v>
      </c>
      <c r="X33" s="179" t="s">
        <v>239</v>
      </c>
      <c r="Y33" s="181">
        <v>41788</v>
      </c>
      <c r="Z33" s="180" t="s">
        <v>87</v>
      </c>
      <c r="AA33" s="180"/>
      <c r="AB33" s="180"/>
      <c r="AC33" s="179" t="s">
        <v>240</v>
      </c>
    </row>
    <row r="34" spans="1:29" x14ac:dyDescent="0.2">
      <c r="A34" s="179" t="s">
        <v>77</v>
      </c>
      <c r="B34" s="179" t="s">
        <v>78</v>
      </c>
      <c r="C34" s="179" t="s">
        <v>79</v>
      </c>
      <c r="D34" s="180">
        <v>0</v>
      </c>
      <c r="E34" s="180">
        <v>5</v>
      </c>
      <c r="F34" s="180">
        <v>28</v>
      </c>
      <c r="G34" s="179" t="s">
        <v>128</v>
      </c>
      <c r="H34" s="179" t="s">
        <v>98</v>
      </c>
      <c r="I34" s="179" t="s">
        <v>119</v>
      </c>
      <c r="J34" s="179" t="s">
        <v>254</v>
      </c>
      <c r="K34" s="179" t="s">
        <v>112</v>
      </c>
      <c r="L34" s="179" t="s">
        <v>120</v>
      </c>
      <c r="M34" s="179" t="s">
        <v>85</v>
      </c>
      <c r="N34" s="179" t="s">
        <v>130</v>
      </c>
      <c r="O34" s="179" t="s">
        <v>131</v>
      </c>
      <c r="P34" s="179" t="s">
        <v>86</v>
      </c>
      <c r="Q34" s="162">
        <v>83917953.189999998</v>
      </c>
      <c r="R34" s="162">
        <v>0</v>
      </c>
      <c r="S34" s="162">
        <v>83917953.189999998</v>
      </c>
      <c r="T34" s="180"/>
      <c r="U34" s="180"/>
      <c r="V34" s="180"/>
      <c r="W34" s="180">
        <v>0</v>
      </c>
      <c r="X34" s="179" t="s">
        <v>241</v>
      </c>
      <c r="Y34" s="181">
        <v>41789</v>
      </c>
      <c r="Z34" s="180" t="s">
        <v>108</v>
      </c>
      <c r="AA34" s="179" t="s">
        <v>109</v>
      </c>
      <c r="AB34" s="180"/>
      <c r="AC34" s="179" t="s">
        <v>242</v>
      </c>
    </row>
    <row r="35" spans="1:29" x14ac:dyDescent="0.2">
      <c r="A35" s="179" t="s">
        <v>77</v>
      </c>
      <c r="B35" s="179" t="s">
        <v>78</v>
      </c>
      <c r="C35" s="179" t="s">
        <v>79</v>
      </c>
      <c r="D35" s="180">
        <v>0</v>
      </c>
      <c r="E35" s="180">
        <v>5</v>
      </c>
      <c r="F35" s="180">
        <v>28</v>
      </c>
      <c r="G35" s="179" t="s">
        <v>128</v>
      </c>
      <c r="H35" s="179" t="s">
        <v>113</v>
      </c>
      <c r="I35" s="179" t="s">
        <v>119</v>
      </c>
      <c r="J35" s="179" t="s">
        <v>122</v>
      </c>
      <c r="K35" s="179" t="s">
        <v>112</v>
      </c>
      <c r="L35" s="179" t="s">
        <v>120</v>
      </c>
      <c r="M35" s="179" t="s">
        <v>85</v>
      </c>
      <c r="N35" s="179" t="s">
        <v>130</v>
      </c>
      <c r="O35" s="179" t="s">
        <v>131</v>
      </c>
      <c r="P35" s="179" t="s">
        <v>86</v>
      </c>
      <c r="Q35" s="176">
        <v>0</v>
      </c>
      <c r="R35" s="176">
        <v>64251139</v>
      </c>
      <c r="S35" s="176">
        <v>-64251139</v>
      </c>
      <c r="T35" s="180"/>
      <c r="U35" s="180"/>
      <c r="V35" s="180"/>
      <c r="W35" s="180">
        <v>0</v>
      </c>
      <c r="X35" s="179" t="s">
        <v>243</v>
      </c>
      <c r="Y35" s="181">
        <v>41789</v>
      </c>
      <c r="Z35" s="180" t="s">
        <v>87</v>
      </c>
      <c r="AA35" s="180"/>
      <c r="AB35" s="180"/>
      <c r="AC35" s="179" t="s">
        <v>244</v>
      </c>
    </row>
    <row r="36" spans="1:29" x14ac:dyDescent="0.2">
      <c r="A36" s="195" t="s">
        <v>77</v>
      </c>
      <c r="B36" s="195" t="s">
        <v>78</v>
      </c>
      <c r="C36" s="195" t="s">
        <v>79</v>
      </c>
      <c r="D36" s="196">
        <v>0</v>
      </c>
      <c r="E36" s="196">
        <v>6</v>
      </c>
      <c r="F36" s="196">
        <v>5</v>
      </c>
      <c r="G36" s="195" t="s">
        <v>128</v>
      </c>
      <c r="H36" s="195" t="s">
        <v>123</v>
      </c>
      <c r="I36" s="195" t="s">
        <v>119</v>
      </c>
      <c r="J36" s="195" t="s">
        <v>122</v>
      </c>
      <c r="K36" s="195" t="s">
        <v>112</v>
      </c>
      <c r="L36" s="195" t="s">
        <v>120</v>
      </c>
      <c r="M36" s="195" t="s">
        <v>85</v>
      </c>
      <c r="N36" s="195" t="s">
        <v>130</v>
      </c>
      <c r="O36" s="195" t="s">
        <v>131</v>
      </c>
      <c r="P36" s="195" t="s">
        <v>86</v>
      </c>
      <c r="Q36" s="200">
        <v>22131173</v>
      </c>
      <c r="R36" s="200">
        <v>0</v>
      </c>
      <c r="S36" s="200">
        <v>22131173</v>
      </c>
      <c r="T36" s="196"/>
      <c r="U36" s="196"/>
      <c r="V36" s="196"/>
      <c r="W36" s="196">
        <v>0</v>
      </c>
      <c r="X36" s="195" t="s">
        <v>344</v>
      </c>
      <c r="Y36" s="197">
        <v>41815</v>
      </c>
      <c r="Z36" s="196" t="s">
        <v>345</v>
      </c>
      <c r="AA36" s="195" t="s">
        <v>109</v>
      </c>
      <c r="AB36" s="196"/>
      <c r="AC36" s="195" t="s">
        <v>346</v>
      </c>
    </row>
    <row r="37" spans="1:29" x14ac:dyDescent="0.2">
      <c r="A37" s="195" t="s">
        <v>77</v>
      </c>
      <c r="B37" s="195" t="s">
        <v>78</v>
      </c>
      <c r="C37" s="195" t="s">
        <v>79</v>
      </c>
      <c r="D37" s="196">
        <v>0</v>
      </c>
      <c r="E37" s="196">
        <v>6</v>
      </c>
      <c r="F37" s="196">
        <v>5</v>
      </c>
      <c r="G37" s="195" t="s">
        <v>128</v>
      </c>
      <c r="H37" s="195" t="s">
        <v>124</v>
      </c>
      <c r="I37" s="195" t="s">
        <v>119</v>
      </c>
      <c r="J37" s="195" t="s">
        <v>122</v>
      </c>
      <c r="K37" s="195" t="s">
        <v>112</v>
      </c>
      <c r="L37" s="195" t="s">
        <v>120</v>
      </c>
      <c r="M37" s="195" t="s">
        <v>85</v>
      </c>
      <c r="N37" s="195" t="s">
        <v>130</v>
      </c>
      <c r="O37" s="195" t="s">
        <v>131</v>
      </c>
      <c r="P37" s="195" t="s">
        <v>86</v>
      </c>
      <c r="Q37" s="200">
        <v>1778345</v>
      </c>
      <c r="R37" s="200">
        <v>0</v>
      </c>
      <c r="S37" s="200">
        <v>1778345</v>
      </c>
      <c r="T37" s="196"/>
      <c r="U37" s="196"/>
      <c r="V37" s="196"/>
      <c r="W37" s="196">
        <v>0</v>
      </c>
      <c r="X37" s="195" t="s">
        <v>348</v>
      </c>
      <c r="Y37" s="197">
        <v>41815</v>
      </c>
      <c r="Z37" s="196" t="s">
        <v>345</v>
      </c>
      <c r="AA37" s="195" t="s">
        <v>109</v>
      </c>
      <c r="AB37" s="196"/>
      <c r="AC37" s="195" t="s">
        <v>349</v>
      </c>
    </row>
    <row r="38" spans="1:29" x14ac:dyDescent="0.2">
      <c r="A38" s="195" t="s">
        <v>77</v>
      </c>
      <c r="B38" s="195" t="s">
        <v>78</v>
      </c>
      <c r="C38" s="195" t="s">
        <v>79</v>
      </c>
      <c r="D38" s="196">
        <v>0</v>
      </c>
      <c r="E38" s="196">
        <v>6</v>
      </c>
      <c r="F38" s="196">
        <v>5</v>
      </c>
      <c r="G38" s="195" t="s">
        <v>128</v>
      </c>
      <c r="H38" s="195" t="s">
        <v>492</v>
      </c>
      <c r="I38" s="195" t="s">
        <v>119</v>
      </c>
      <c r="J38" s="195" t="s">
        <v>122</v>
      </c>
      <c r="K38" s="195" t="s">
        <v>112</v>
      </c>
      <c r="L38" s="195" t="s">
        <v>120</v>
      </c>
      <c r="M38" s="195" t="s">
        <v>85</v>
      </c>
      <c r="N38" s="195" t="s">
        <v>130</v>
      </c>
      <c r="O38" s="195" t="s">
        <v>131</v>
      </c>
      <c r="P38" s="195" t="s">
        <v>86</v>
      </c>
      <c r="Q38" s="200">
        <v>5276199</v>
      </c>
      <c r="R38" s="200">
        <v>0</v>
      </c>
      <c r="S38" s="200">
        <v>5276199</v>
      </c>
      <c r="T38" s="196"/>
      <c r="U38" s="196"/>
      <c r="V38" s="196"/>
      <c r="W38" s="196">
        <v>0</v>
      </c>
      <c r="X38" s="195" t="s">
        <v>351</v>
      </c>
      <c r="Y38" s="197">
        <v>41815</v>
      </c>
      <c r="Z38" s="196" t="s">
        <v>345</v>
      </c>
      <c r="AA38" s="195" t="s">
        <v>109</v>
      </c>
      <c r="AB38" s="196"/>
      <c r="AC38" s="195" t="s">
        <v>352</v>
      </c>
    </row>
    <row r="39" spans="1:29" x14ac:dyDescent="0.2">
      <c r="A39" s="195" t="s">
        <v>77</v>
      </c>
      <c r="B39" s="195" t="s">
        <v>78</v>
      </c>
      <c r="C39" s="195" t="s">
        <v>79</v>
      </c>
      <c r="D39" s="196">
        <v>0</v>
      </c>
      <c r="E39" s="196">
        <v>6</v>
      </c>
      <c r="F39" s="196">
        <v>5</v>
      </c>
      <c r="G39" s="195" t="s">
        <v>128</v>
      </c>
      <c r="H39" s="195" t="s">
        <v>493</v>
      </c>
      <c r="I39" s="195" t="s">
        <v>119</v>
      </c>
      <c r="J39" s="195" t="s">
        <v>122</v>
      </c>
      <c r="K39" s="195" t="s">
        <v>112</v>
      </c>
      <c r="L39" s="195" t="s">
        <v>120</v>
      </c>
      <c r="M39" s="195" t="s">
        <v>85</v>
      </c>
      <c r="N39" s="195" t="s">
        <v>130</v>
      </c>
      <c r="O39" s="195" t="s">
        <v>131</v>
      </c>
      <c r="P39" s="195" t="s">
        <v>86</v>
      </c>
      <c r="Q39" s="200">
        <v>9621185</v>
      </c>
      <c r="R39" s="200">
        <v>0</v>
      </c>
      <c r="S39" s="200">
        <v>9621185</v>
      </c>
      <c r="T39" s="196"/>
      <c r="U39" s="196"/>
      <c r="V39" s="196"/>
      <c r="W39" s="196">
        <v>0</v>
      </c>
      <c r="X39" s="195" t="s">
        <v>354</v>
      </c>
      <c r="Y39" s="197">
        <v>41815</v>
      </c>
      <c r="Z39" s="196" t="s">
        <v>345</v>
      </c>
      <c r="AA39" s="195" t="s">
        <v>109</v>
      </c>
      <c r="AB39" s="196"/>
      <c r="AC39" s="195" t="s">
        <v>355</v>
      </c>
    </row>
    <row r="40" spans="1:29" x14ac:dyDescent="0.2">
      <c r="A40" s="195" t="s">
        <v>77</v>
      </c>
      <c r="B40" s="195" t="s">
        <v>78</v>
      </c>
      <c r="C40" s="195" t="s">
        <v>79</v>
      </c>
      <c r="D40" s="196">
        <v>0</v>
      </c>
      <c r="E40" s="196">
        <v>6</v>
      </c>
      <c r="F40" s="196">
        <v>5</v>
      </c>
      <c r="G40" s="195" t="s">
        <v>128</v>
      </c>
      <c r="H40" s="195" t="s">
        <v>494</v>
      </c>
      <c r="I40" s="195" t="s">
        <v>119</v>
      </c>
      <c r="J40" s="195" t="s">
        <v>122</v>
      </c>
      <c r="K40" s="195" t="s">
        <v>112</v>
      </c>
      <c r="L40" s="195" t="s">
        <v>120</v>
      </c>
      <c r="M40" s="195" t="s">
        <v>85</v>
      </c>
      <c r="N40" s="195" t="s">
        <v>130</v>
      </c>
      <c r="O40" s="195" t="s">
        <v>131</v>
      </c>
      <c r="P40" s="195" t="s">
        <v>86</v>
      </c>
      <c r="Q40" s="200">
        <v>1524851</v>
      </c>
      <c r="R40" s="200">
        <v>0</v>
      </c>
      <c r="S40" s="200">
        <v>1524851</v>
      </c>
      <c r="T40" s="196"/>
      <c r="U40" s="196"/>
      <c r="V40" s="196"/>
      <c r="W40" s="196">
        <v>0</v>
      </c>
      <c r="X40" s="195" t="s">
        <v>357</v>
      </c>
      <c r="Y40" s="197">
        <v>41815</v>
      </c>
      <c r="Z40" s="196" t="s">
        <v>345</v>
      </c>
      <c r="AA40" s="195" t="s">
        <v>109</v>
      </c>
      <c r="AB40" s="196"/>
      <c r="AC40" s="195" t="s">
        <v>358</v>
      </c>
    </row>
    <row r="41" spans="1:29" x14ac:dyDescent="0.2">
      <c r="A41" s="195" t="s">
        <v>77</v>
      </c>
      <c r="B41" s="195" t="s">
        <v>78</v>
      </c>
      <c r="C41" s="195" t="s">
        <v>79</v>
      </c>
      <c r="D41" s="196">
        <v>0</v>
      </c>
      <c r="E41" s="196">
        <v>6</v>
      </c>
      <c r="F41" s="196">
        <v>5</v>
      </c>
      <c r="G41" s="195" t="s">
        <v>128</v>
      </c>
      <c r="H41" s="195" t="s">
        <v>495</v>
      </c>
      <c r="I41" s="195" t="s">
        <v>119</v>
      </c>
      <c r="J41" s="195" t="s">
        <v>122</v>
      </c>
      <c r="K41" s="195" t="s">
        <v>112</v>
      </c>
      <c r="L41" s="195" t="s">
        <v>120</v>
      </c>
      <c r="M41" s="195" t="s">
        <v>85</v>
      </c>
      <c r="N41" s="195" t="s">
        <v>130</v>
      </c>
      <c r="O41" s="195" t="s">
        <v>131</v>
      </c>
      <c r="P41" s="195" t="s">
        <v>86</v>
      </c>
      <c r="Q41" s="200">
        <v>463743</v>
      </c>
      <c r="R41" s="200">
        <v>0</v>
      </c>
      <c r="S41" s="200">
        <v>463743</v>
      </c>
      <c r="T41" s="196"/>
      <c r="U41" s="196"/>
      <c r="V41" s="196"/>
      <c r="W41" s="196">
        <v>0</v>
      </c>
      <c r="X41" s="195" t="s">
        <v>360</v>
      </c>
      <c r="Y41" s="197">
        <v>41815</v>
      </c>
      <c r="Z41" s="196" t="s">
        <v>345</v>
      </c>
      <c r="AA41" s="195" t="s">
        <v>109</v>
      </c>
      <c r="AB41" s="196"/>
      <c r="AC41" s="195" t="s">
        <v>361</v>
      </c>
    </row>
    <row r="42" spans="1:29" x14ac:dyDescent="0.2">
      <c r="A42" s="195" t="s">
        <v>77</v>
      </c>
      <c r="B42" s="195" t="s">
        <v>78</v>
      </c>
      <c r="C42" s="195" t="s">
        <v>79</v>
      </c>
      <c r="D42" s="196">
        <v>0</v>
      </c>
      <c r="E42" s="196">
        <v>6</v>
      </c>
      <c r="F42" s="196">
        <v>5</v>
      </c>
      <c r="G42" s="195" t="s">
        <v>128</v>
      </c>
      <c r="H42" s="195" t="s">
        <v>496</v>
      </c>
      <c r="I42" s="195" t="s">
        <v>119</v>
      </c>
      <c r="J42" s="195" t="s">
        <v>122</v>
      </c>
      <c r="K42" s="195" t="s">
        <v>112</v>
      </c>
      <c r="L42" s="195" t="s">
        <v>120</v>
      </c>
      <c r="M42" s="195" t="s">
        <v>85</v>
      </c>
      <c r="N42" s="195" t="s">
        <v>130</v>
      </c>
      <c r="O42" s="195" t="s">
        <v>131</v>
      </c>
      <c r="P42" s="195" t="s">
        <v>86</v>
      </c>
      <c r="Q42" s="200">
        <v>2354108</v>
      </c>
      <c r="R42" s="200">
        <v>0</v>
      </c>
      <c r="S42" s="200">
        <v>2354108</v>
      </c>
      <c r="T42" s="196"/>
      <c r="U42" s="196"/>
      <c r="V42" s="196"/>
      <c r="W42" s="196">
        <v>0</v>
      </c>
      <c r="X42" s="195" t="s">
        <v>363</v>
      </c>
      <c r="Y42" s="197">
        <v>41815</v>
      </c>
      <c r="Z42" s="196" t="s">
        <v>345</v>
      </c>
      <c r="AA42" s="195" t="s">
        <v>109</v>
      </c>
      <c r="AB42" s="196"/>
      <c r="AC42" s="195" t="s">
        <v>364</v>
      </c>
    </row>
    <row r="43" spans="1:29" x14ac:dyDescent="0.2">
      <c r="A43" s="195" t="s">
        <v>77</v>
      </c>
      <c r="B43" s="195" t="s">
        <v>78</v>
      </c>
      <c r="C43" s="195" t="s">
        <v>79</v>
      </c>
      <c r="D43" s="196">
        <v>0</v>
      </c>
      <c r="E43" s="196">
        <v>6</v>
      </c>
      <c r="F43" s="196">
        <v>5</v>
      </c>
      <c r="G43" s="195" t="s">
        <v>128</v>
      </c>
      <c r="H43" s="195" t="s">
        <v>497</v>
      </c>
      <c r="I43" s="195" t="s">
        <v>119</v>
      </c>
      <c r="J43" s="195" t="s">
        <v>122</v>
      </c>
      <c r="K43" s="195" t="s">
        <v>112</v>
      </c>
      <c r="L43" s="195" t="s">
        <v>120</v>
      </c>
      <c r="M43" s="195" t="s">
        <v>85</v>
      </c>
      <c r="N43" s="195" t="s">
        <v>130</v>
      </c>
      <c r="O43" s="195" t="s">
        <v>131</v>
      </c>
      <c r="P43" s="195" t="s">
        <v>86</v>
      </c>
      <c r="Q43" s="200">
        <v>4562375</v>
      </c>
      <c r="R43" s="200">
        <v>0</v>
      </c>
      <c r="S43" s="200">
        <v>4562375</v>
      </c>
      <c r="T43" s="196"/>
      <c r="U43" s="196"/>
      <c r="V43" s="196"/>
      <c r="W43" s="196">
        <v>0</v>
      </c>
      <c r="X43" s="195" t="s">
        <v>366</v>
      </c>
      <c r="Y43" s="197">
        <v>41815</v>
      </c>
      <c r="Z43" s="196" t="s">
        <v>345</v>
      </c>
      <c r="AA43" s="195" t="s">
        <v>109</v>
      </c>
      <c r="AB43" s="196"/>
      <c r="AC43" s="195" t="s">
        <v>367</v>
      </c>
    </row>
    <row r="44" spans="1:29" x14ac:dyDescent="0.2">
      <c r="A44" s="195" t="s">
        <v>77</v>
      </c>
      <c r="B44" s="195" t="s">
        <v>78</v>
      </c>
      <c r="C44" s="195" t="s">
        <v>79</v>
      </c>
      <c r="D44" s="196">
        <v>0</v>
      </c>
      <c r="E44" s="196">
        <v>6</v>
      </c>
      <c r="F44" s="196">
        <v>5</v>
      </c>
      <c r="G44" s="195" t="s">
        <v>128</v>
      </c>
      <c r="H44" s="195" t="s">
        <v>498</v>
      </c>
      <c r="I44" s="195" t="s">
        <v>119</v>
      </c>
      <c r="J44" s="195" t="s">
        <v>122</v>
      </c>
      <c r="K44" s="195" t="s">
        <v>112</v>
      </c>
      <c r="L44" s="195" t="s">
        <v>120</v>
      </c>
      <c r="M44" s="195" t="s">
        <v>85</v>
      </c>
      <c r="N44" s="195" t="s">
        <v>130</v>
      </c>
      <c r="O44" s="195" t="s">
        <v>131</v>
      </c>
      <c r="P44" s="195" t="s">
        <v>86</v>
      </c>
      <c r="Q44" s="200">
        <v>443477</v>
      </c>
      <c r="R44" s="200">
        <v>0</v>
      </c>
      <c r="S44" s="200">
        <v>443477</v>
      </c>
      <c r="T44" s="196"/>
      <c r="U44" s="196"/>
      <c r="V44" s="196"/>
      <c r="W44" s="196">
        <v>0</v>
      </c>
      <c r="X44" s="195" t="s">
        <v>369</v>
      </c>
      <c r="Y44" s="197">
        <v>41815</v>
      </c>
      <c r="Z44" s="196" t="s">
        <v>345</v>
      </c>
      <c r="AA44" s="195" t="s">
        <v>109</v>
      </c>
      <c r="AB44" s="196"/>
      <c r="AC44" s="195" t="s">
        <v>370</v>
      </c>
    </row>
    <row r="45" spans="1:29" x14ac:dyDescent="0.2">
      <c r="A45" s="195" t="s">
        <v>77</v>
      </c>
      <c r="B45" s="195" t="s">
        <v>78</v>
      </c>
      <c r="C45" s="195" t="s">
        <v>79</v>
      </c>
      <c r="D45" s="196">
        <v>0</v>
      </c>
      <c r="E45" s="196">
        <v>6</v>
      </c>
      <c r="F45" s="196">
        <v>5</v>
      </c>
      <c r="G45" s="195" t="s">
        <v>128</v>
      </c>
      <c r="H45" s="195" t="s">
        <v>499</v>
      </c>
      <c r="I45" s="195" t="s">
        <v>119</v>
      </c>
      <c r="J45" s="195" t="s">
        <v>122</v>
      </c>
      <c r="K45" s="195" t="s">
        <v>112</v>
      </c>
      <c r="L45" s="195" t="s">
        <v>120</v>
      </c>
      <c r="M45" s="195" t="s">
        <v>85</v>
      </c>
      <c r="N45" s="195" t="s">
        <v>130</v>
      </c>
      <c r="O45" s="195" t="s">
        <v>131</v>
      </c>
      <c r="P45" s="195" t="s">
        <v>86</v>
      </c>
      <c r="Q45" s="200">
        <v>1055601</v>
      </c>
      <c r="R45" s="200">
        <v>0</v>
      </c>
      <c r="S45" s="200">
        <v>1055601</v>
      </c>
      <c r="T45" s="196"/>
      <c r="U45" s="196"/>
      <c r="V45" s="196"/>
      <c r="W45" s="196">
        <v>0</v>
      </c>
      <c r="X45" s="195" t="s">
        <v>372</v>
      </c>
      <c r="Y45" s="197">
        <v>41815</v>
      </c>
      <c r="Z45" s="196" t="s">
        <v>345</v>
      </c>
      <c r="AA45" s="195" t="s">
        <v>109</v>
      </c>
      <c r="AB45" s="196"/>
      <c r="AC45" s="195" t="s">
        <v>373</v>
      </c>
    </row>
    <row r="46" spans="1:29" x14ac:dyDescent="0.2">
      <c r="A46" s="195" t="s">
        <v>77</v>
      </c>
      <c r="B46" s="195" t="s">
        <v>78</v>
      </c>
      <c r="C46" s="195" t="s">
        <v>79</v>
      </c>
      <c r="D46" s="196">
        <v>0</v>
      </c>
      <c r="E46" s="196">
        <v>6</v>
      </c>
      <c r="F46" s="196">
        <v>5</v>
      </c>
      <c r="G46" s="195" t="s">
        <v>128</v>
      </c>
      <c r="H46" s="195" t="s">
        <v>500</v>
      </c>
      <c r="I46" s="195" t="s">
        <v>119</v>
      </c>
      <c r="J46" s="195" t="s">
        <v>122</v>
      </c>
      <c r="K46" s="195" t="s">
        <v>112</v>
      </c>
      <c r="L46" s="195" t="s">
        <v>120</v>
      </c>
      <c r="M46" s="195" t="s">
        <v>85</v>
      </c>
      <c r="N46" s="195" t="s">
        <v>130</v>
      </c>
      <c r="O46" s="195" t="s">
        <v>131</v>
      </c>
      <c r="P46" s="195" t="s">
        <v>86</v>
      </c>
      <c r="Q46" s="200">
        <v>544162</v>
      </c>
      <c r="R46" s="200">
        <v>0</v>
      </c>
      <c r="S46" s="200">
        <v>544162</v>
      </c>
      <c r="T46" s="196"/>
      <c r="U46" s="196"/>
      <c r="V46" s="196"/>
      <c r="W46" s="196">
        <v>0</v>
      </c>
      <c r="X46" s="195" t="s">
        <v>375</v>
      </c>
      <c r="Y46" s="197">
        <v>41815</v>
      </c>
      <c r="Z46" s="196" t="s">
        <v>345</v>
      </c>
      <c r="AA46" s="195" t="s">
        <v>109</v>
      </c>
      <c r="AB46" s="196"/>
      <c r="AC46" s="195" t="s">
        <v>376</v>
      </c>
    </row>
    <row r="47" spans="1:29" x14ac:dyDescent="0.2">
      <c r="A47" s="195" t="s">
        <v>77</v>
      </c>
      <c r="B47" s="195" t="s">
        <v>78</v>
      </c>
      <c r="C47" s="195" t="s">
        <v>79</v>
      </c>
      <c r="D47" s="196">
        <v>0</v>
      </c>
      <c r="E47" s="196">
        <v>6</v>
      </c>
      <c r="F47" s="196">
        <v>5</v>
      </c>
      <c r="G47" s="195" t="s">
        <v>128</v>
      </c>
      <c r="H47" s="195" t="s">
        <v>501</v>
      </c>
      <c r="I47" s="195" t="s">
        <v>119</v>
      </c>
      <c r="J47" s="195" t="s">
        <v>122</v>
      </c>
      <c r="K47" s="195" t="s">
        <v>112</v>
      </c>
      <c r="L47" s="195" t="s">
        <v>120</v>
      </c>
      <c r="M47" s="195" t="s">
        <v>85</v>
      </c>
      <c r="N47" s="195" t="s">
        <v>130</v>
      </c>
      <c r="O47" s="195" t="s">
        <v>131</v>
      </c>
      <c r="P47" s="195" t="s">
        <v>86</v>
      </c>
      <c r="Q47" s="200">
        <v>769061</v>
      </c>
      <c r="R47" s="200">
        <v>0</v>
      </c>
      <c r="S47" s="200">
        <v>769061</v>
      </c>
      <c r="T47" s="196"/>
      <c r="U47" s="196"/>
      <c r="V47" s="196"/>
      <c r="W47" s="196">
        <v>0</v>
      </c>
      <c r="X47" s="195" t="s">
        <v>378</v>
      </c>
      <c r="Y47" s="197">
        <v>41815</v>
      </c>
      <c r="Z47" s="196" t="s">
        <v>345</v>
      </c>
      <c r="AA47" s="195" t="s">
        <v>109</v>
      </c>
      <c r="AB47" s="196"/>
      <c r="AC47" s="195" t="s">
        <v>379</v>
      </c>
    </row>
    <row r="48" spans="1:29" x14ac:dyDescent="0.2">
      <c r="A48" s="195" t="s">
        <v>77</v>
      </c>
      <c r="B48" s="195" t="s">
        <v>78</v>
      </c>
      <c r="C48" s="195" t="s">
        <v>79</v>
      </c>
      <c r="D48" s="196">
        <v>0</v>
      </c>
      <c r="E48" s="196">
        <v>6</v>
      </c>
      <c r="F48" s="196">
        <v>5</v>
      </c>
      <c r="G48" s="195" t="s">
        <v>128</v>
      </c>
      <c r="H48" s="195" t="s">
        <v>502</v>
      </c>
      <c r="I48" s="195" t="s">
        <v>119</v>
      </c>
      <c r="J48" s="195" t="s">
        <v>122</v>
      </c>
      <c r="K48" s="195" t="s">
        <v>112</v>
      </c>
      <c r="L48" s="195" t="s">
        <v>120</v>
      </c>
      <c r="M48" s="195" t="s">
        <v>85</v>
      </c>
      <c r="N48" s="195" t="s">
        <v>130</v>
      </c>
      <c r="O48" s="195" t="s">
        <v>131</v>
      </c>
      <c r="P48" s="195" t="s">
        <v>86</v>
      </c>
      <c r="Q48" s="200">
        <v>25800458</v>
      </c>
      <c r="R48" s="200">
        <v>0</v>
      </c>
      <c r="S48" s="200">
        <v>25800458</v>
      </c>
      <c r="T48" s="196"/>
      <c r="U48" s="196"/>
      <c r="V48" s="196"/>
      <c r="W48" s="196">
        <v>0</v>
      </c>
      <c r="X48" s="195" t="s">
        <v>381</v>
      </c>
      <c r="Y48" s="197">
        <v>41815</v>
      </c>
      <c r="Z48" s="196" t="s">
        <v>345</v>
      </c>
      <c r="AA48" s="195" t="s">
        <v>109</v>
      </c>
      <c r="AB48" s="196"/>
      <c r="AC48" s="195" t="s">
        <v>382</v>
      </c>
    </row>
    <row r="49" spans="1:29" x14ac:dyDescent="0.2">
      <c r="A49" s="195" t="s">
        <v>77</v>
      </c>
      <c r="B49" s="195" t="s">
        <v>78</v>
      </c>
      <c r="C49" s="195" t="s">
        <v>79</v>
      </c>
      <c r="D49" s="196">
        <v>0</v>
      </c>
      <c r="E49" s="196">
        <v>6</v>
      </c>
      <c r="F49" s="196">
        <v>5</v>
      </c>
      <c r="G49" s="195" t="s">
        <v>128</v>
      </c>
      <c r="H49" s="195" t="s">
        <v>503</v>
      </c>
      <c r="I49" s="195" t="s">
        <v>119</v>
      </c>
      <c r="J49" s="195" t="s">
        <v>122</v>
      </c>
      <c r="K49" s="195" t="s">
        <v>112</v>
      </c>
      <c r="L49" s="195" t="s">
        <v>120</v>
      </c>
      <c r="M49" s="195" t="s">
        <v>85</v>
      </c>
      <c r="N49" s="195" t="s">
        <v>130</v>
      </c>
      <c r="O49" s="195" t="s">
        <v>131</v>
      </c>
      <c r="P49" s="195" t="s">
        <v>86</v>
      </c>
      <c r="Q49" s="200">
        <v>1372489</v>
      </c>
      <c r="R49" s="200">
        <v>0</v>
      </c>
      <c r="S49" s="200">
        <v>1372489</v>
      </c>
      <c r="T49" s="196"/>
      <c r="U49" s="196"/>
      <c r="V49" s="196"/>
      <c r="W49" s="196">
        <v>0</v>
      </c>
      <c r="X49" s="195" t="s">
        <v>384</v>
      </c>
      <c r="Y49" s="197">
        <v>41815</v>
      </c>
      <c r="Z49" s="196" t="s">
        <v>345</v>
      </c>
      <c r="AA49" s="195" t="s">
        <v>109</v>
      </c>
      <c r="AB49" s="196"/>
      <c r="AC49" s="195" t="s">
        <v>385</v>
      </c>
    </row>
    <row r="50" spans="1:29" x14ac:dyDescent="0.2">
      <c r="A50" s="195" t="s">
        <v>77</v>
      </c>
      <c r="B50" s="195" t="s">
        <v>78</v>
      </c>
      <c r="C50" s="195" t="s">
        <v>79</v>
      </c>
      <c r="D50" s="196">
        <v>0</v>
      </c>
      <c r="E50" s="196">
        <v>6</v>
      </c>
      <c r="F50" s="196">
        <v>5</v>
      </c>
      <c r="G50" s="195" t="s">
        <v>128</v>
      </c>
      <c r="H50" s="195" t="s">
        <v>504</v>
      </c>
      <c r="I50" s="195" t="s">
        <v>119</v>
      </c>
      <c r="J50" s="195" t="s">
        <v>122</v>
      </c>
      <c r="K50" s="195" t="s">
        <v>112</v>
      </c>
      <c r="L50" s="195" t="s">
        <v>120</v>
      </c>
      <c r="M50" s="195" t="s">
        <v>85</v>
      </c>
      <c r="N50" s="195" t="s">
        <v>130</v>
      </c>
      <c r="O50" s="195" t="s">
        <v>131</v>
      </c>
      <c r="P50" s="195" t="s">
        <v>86</v>
      </c>
      <c r="Q50" s="200">
        <v>4769359</v>
      </c>
      <c r="R50" s="200">
        <v>0</v>
      </c>
      <c r="S50" s="200">
        <v>4769359</v>
      </c>
      <c r="T50" s="196"/>
      <c r="U50" s="196"/>
      <c r="V50" s="196"/>
      <c r="W50" s="196">
        <v>0</v>
      </c>
      <c r="X50" s="195" t="s">
        <v>387</v>
      </c>
      <c r="Y50" s="197">
        <v>41815</v>
      </c>
      <c r="Z50" s="196" t="s">
        <v>345</v>
      </c>
      <c r="AA50" s="195" t="s">
        <v>109</v>
      </c>
      <c r="AB50" s="196"/>
      <c r="AC50" s="195" t="s">
        <v>388</v>
      </c>
    </row>
    <row r="51" spans="1:29" x14ac:dyDescent="0.2">
      <c r="A51" s="195" t="s">
        <v>77</v>
      </c>
      <c r="B51" s="195" t="s">
        <v>78</v>
      </c>
      <c r="C51" s="195" t="s">
        <v>79</v>
      </c>
      <c r="D51" s="196">
        <v>0</v>
      </c>
      <c r="E51" s="196">
        <v>6</v>
      </c>
      <c r="F51" s="196">
        <v>5</v>
      </c>
      <c r="G51" s="195" t="s">
        <v>128</v>
      </c>
      <c r="H51" s="195" t="s">
        <v>505</v>
      </c>
      <c r="I51" s="195" t="s">
        <v>119</v>
      </c>
      <c r="J51" s="195" t="s">
        <v>122</v>
      </c>
      <c r="K51" s="195" t="s">
        <v>112</v>
      </c>
      <c r="L51" s="195" t="s">
        <v>120</v>
      </c>
      <c r="M51" s="195" t="s">
        <v>85</v>
      </c>
      <c r="N51" s="195" t="s">
        <v>130</v>
      </c>
      <c r="O51" s="195" t="s">
        <v>131</v>
      </c>
      <c r="P51" s="195" t="s">
        <v>86</v>
      </c>
      <c r="Q51" s="200">
        <v>2592234</v>
      </c>
      <c r="R51" s="200">
        <v>0</v>
      </c>
      <c r="S51" s="200">
        <v>2592234</v>
      </c>
      <c r="T51" s="196"/>
      <c r="U51" s="196"/>
      <c r="V51" s="196"/>
      <c r="W51" s="196">
        <v>0</v>
      </c>
      <c r="X51" s="195" t="s">
        <v>390</v>
      </c>
      <c r="Y51" s="197">
        <v>41815</v>
      </c>
      <c r="Z51" s="196" t="s">
        <v>345</v>
      </c>
      <c r="AA51" s="195" t="s">
        <v>109</v>
      </c>
      <c r="AB51" s="196"/>
      <c r="AC51" s="195" t="s">
        <v>391</v>
      </c>
    </row>
    <row r="52" spans="1:29" x14ac:dyDescent="0.2">
      <c r="A52" s="195" t="s">
        <v>77</v>
      </c>
      <c r="B52" s="195" t="s">
        <v>78</v>
      </c>
      <c r="C52" s="195" t="s">
        <v>79</v>
      </c>
      <c r="D52" s="196">
        <v>0</v>
      </c>
      <c r="E52" s="196">
        <v>6</v>
      </c>
      <c r="F52" s="196">
        <v>5</v>
      </c>
      <c r="G52" s="195" t="s">
        <v>128</v>
      </c>
      <c r="H52" s="195" t="s">
        <v>506</v>
      </c>
      <c r="I52" s="195" t="s">
        <v>119</v>
      </c>
      <c r="J52" s="195" t="s">
        <v>122</v>
      </c>
      <c r="K52" s="195" t="s">
        <v>112</v>
      </c>
      <c r="L52" s="195" t="s">
        <v>120</v>
      </c>
      <c r="M52" s="195" t="s">
        <v>85</v>
      </c>
      <c r="N52" s="195" t="s">
        <v>130</v>
      </c>
      <c r="O52" s="195" t="s">
        <v>131</v>
      </c>
      <c r="P52" s="195" t="s">
        <v>86</v>
      </c>
      <c r="Q52" s="200">
        <v>2172527</v>
      </c>
      <c r="R52" s="200">
        <v>0</v>
      </c>
      <c r="S52" s="200">
        <v>2172527</v>
      </c>
      <c r="T52" s="196"/>
      <c r="U52" s="196"/>
      <c r="V52" s="196"/>
      <c r="W52" s="196">
        <v>0</v>
      </c>
      <c r="X52" s="195" t="s">
        <v>393</v>
      </c>
      <c r="Y52" s="197">
        <v>41815</v>
      </c>
      <c r="Z52" s="196" t="s">
        <v>345</v>
      </c>
      <c r="AA52" s="195" t="s">
        <v>109</v>
      </c>
      <c r="AB52" s="196"/>
      <c r="AC52" s="195" t="s">
        <v>394</v>
      </c>
    </row>
    <row r="53" spans="1:29" x14ac:dyDescent="0.2">
      <c r="A53" s="195" t="s">
        <v>77</v>
      </c>
      <c r="B53" s="195" t="s">
        <v>78</v>
      </c>
      <c r="C53" s="195" t="s">
        <v>79</v>
      </c>
      <c r="D53" s="196">
        <v>0</v>
      </c>
      <c r="E53" s="196">
        <v>6</v>
      </c>
      <c r="F53" s="196">
        <v>5</v>
      </c>
      <c r="G53" s="195" t="s">
        <v>128</v>
      </c>
      <c r="H53" s="195" t="s">
        <v>507</v>
      </c>
      <c r="I53" s="195" t="s">
        <v>119</v>
      </c>
      <c r="J53" s="195" t="s">
        <v>122</v>
      </c>
      <c r="K53" s="195" t="s">
        <v>112</v>
      </c>
      <c r="L53" s="195" t="s">
        <v>120</v>
      </c>
      <c r="M53" s="195" t="s">
        <v>85</v>
      </c>
      <c r="N53" s="195" t="s">
        <v>130</v>
      </c>
      <c r="O53" s="195" t="s">
        <v>131</v>
      </c>
      <c r="P53" s="195" t="s">
        <v>86</v>
      </c>
      <c r="Q53" s="200">
        <v>1173883</v>
      </c>
      <c r="R53" s="200">
        <v>0</v>
      </c>
      <c r="S53" s="200">
        <v>1173883</v>
      </c>
      <c r="T53" s="196"/>
      <c r="U53" s="196"/>
      <c r="V53" s="196"/>
      <c r="W53" s="196">
        <v>0</v>
      </c>
      <c r="X53" s="195" t="s">
        <v>396</v>
      </c>
      <c r="Y53" s="197">
        <v>41815</v>
      </c>
      <c r="Z53" s="196" t="s">
        <v>345</v>
      </c>
      <c r="AA53" s="195" t="s">
        <v>109</v>
      </c>
      <c r="AB53" s="196"/>
      <c r="AC53" s="195" t="s">
        <v>397</v>
      </c>
    </row>
    <row r="54" spans="1:29" x14ac:dyDescent="0.2">
      <c r="A54" s="195" t="s">
        <v>77</v>
      </c>
      <c r="B54" s="195" t="s">
        <v>78</v>
      </c>
      <c r="C54" s="195" t="s">
        <v>79</v>
      </c>
      <c r="D54" s="196">
        <v>0</v>
      </c>
      <c r="E54" s="196">
        <v>6</v>
      </c>
      <c r="F54" s="196">
        <v>5</v>
      </c>
      <c r="G54" s="195" t="s">
        <v>128</v>
      </c>
      <c r="H54" s="195" t="s">
        <v>508</v>
      </c>
      <c r="I54" s="195" t="s">
        <v>119</v>
      </c>
      <c r="J54" s="195" t="s">
        <v>122</v>
      </c>
      <c r="K54" s="195" t="s">
        <v>112</v>
      </c>
      <c r="L54" s="195" t="s">
        <v>120</v>
      </c>
      <c r="M54" s="195" t="s">
        <v>85</v>
      </c>
      <c r="N54" s="195" t="s">
        <v>130</v>
      </c>
      <c r="O54" s="195" t="s">
        <v>131</v>
      </c>
      <c r="P54" s="195" t="s">
        <v>86</v>
      </c>
      <c r="Q54" s="200">
        <v>3426032</v>
      </c>
      <c r="R54" s="200">
        <v>0</v>
      </c>
      <c r="S54" s="200">
        <v>3426032</v>
      </c>
      <c r="T54" s="196"/>
      <c r="U54" s="196"/>
      <c r="V54" s="196"/>
      <c r="W54" s="196">
        <v>0</v>
      </c>
      <c r="X54" s="195" t="s">
        <v>399</v>
      </c>
      <c r="Y54" s="197">
        <v>41815</v>
      </c>
      <c r="Z54" s="196" t="s">
        <v>345</v>
      </c>
      <c r="AA54" s="195" t="s">
        <v>109</v>
      </c>
      <c r="AB54" s="196"/>
      <c r="AC54" s="195" t="s">
        <v>400</v>
      </c>
    </row>
    <row r="55" spans="1:29" x14ac:dyDescent="0.2">
      <c r="A55" s="195" t="s">
        <v>77</v>
      </c>
      <c r="B55" s="195" t="s">
        <v>78</v>
      </c>
      <c r="C55" s="195" t="s">
        <v>79</v>
      </c>
      <c r="D55" s="196">
        <v>0</v>
      </c>
      <c r="E55" s="196">
        <v>6</v>
      </c>
      <c r="F55" s="196">
        <v>5</v>
      </c>
      <c r="G55" s="195" t="s">
        <v>128</v>
      </c>
      <c r="H55" s="195" t="s">
        <v>509</v>
      </c>
      <c r="I55" s="195" t="s">
        <v>119</v>
      </c>
      <c r="J55" s="195" t="s">
        <v>122</v>
      </c>
      <c r="K55" s="195" t="s">
        <v>112</v>
      </c>
      <c r="L55" s="195" t="s">
        <v>120</v>
      </c>
      <c r="M55" s="195" t="s">
        <v>85</v>
      </c>
      <c r="N55" s="195" t="s">
        <v>130</v>
      </c>
      <c r="O55" s="195" t="s">
        <v>131</v>
      </c>
      <c r="P55" s="195" t="s">
        <v>86</v>
      </c>
      <c r="Q55" s="200">
        <v>2450096</v>
      </c>
      <c r="R55" s="200">
        <v>0</v>
      </c>
      <c r="S55" s="200">
        <v>2450096</v>
      </c>
      <c r="T55" s="196"/>
      <c r="U55" s="196"/>
      <c r="V55" s="196"/>
      <c r="W55" s="196">
        <v>0</v>
      </c>
      <c r="X55" s="195" t="s">
        <v>402</v>
      </c>
      <c r="Y55" s="197">
        <v>41815</v>
      </c>
      <c r="Z55" s="196" t="s">
        <v>345</v>
      </c>
      <c r="AA55" s="195" t="s">
        <v>109</v>
      </c>
      <c r="AB55" s="196"/>
      <c r="AC55" s="195" t="s">
        <v>403</v>
      </c>
    </row>
    <row r="56" spans="1:29" x14ac:dyDescent="0.2">
      <c r="A56" s="195" t="s">
        <v>77</v>
      </c>
      <c r="B56" s="195" t="s">
        <v>78</v>
      </c>
      <c r="C56" s="195" t="s">
        <v>79</v>
      </c>
      <c r="D56" s="196">
        <v>0</v>
      </c>
      <c r="E56" s="196">
        <v>6</v>
      </c>
      <c r="F56" s="196">
        <v>5</v>
      </c>
      <c r="G56" s="195" t="s">
        <v>128</v>
      </c>
      <c r="H56" s="195" t="s">
        <v>510</v>
      </c>
      <c r="I56" s="195" t="s">
        <v>119</v>
      </c>
      <c r="J56" s="195" t="s">
        <v>122</v>
      </c>
      <c r="K56" s="195" t="s">
        <v>112</v>
      </c>
      <c r="L56" s="195" t="s">
        <v>120</v>
      </c>
      <c r="M56" s="195" t="s">
        <v>85</v>
      </c>
      <c r="N56" s="195" t="s">
        <v>130</v>
      </c>
      <c r="O56" s="195" t="s">
        <v>131</v>
      </c>
      <c r="P56" s="195" t="s">
        <v>86</v>
      </c>
      <c r="Q56" s="200">
        <v>1218779</v>
      </c>
      <c r="R56" s="200">
        <v>0</v>
      </c>
      <c r="S56" s="200">
        <v>1218779</v>
      </c>
      <c r="T56" s="196"/>
      <c r="U56" s="196"/>
      <c r="V56" s="196"/>
      <c r="W56" s="196">
        <v>0</v>
      </c>
      <c r="X56" s="195" t="s">
        <v>405</v>
      </c>
      <c r="Y56" s="197">
        <v>41815</v>
      </c>
      <c r="Z56" s="196" t="s">
        <v>345</v>
      </c>
      <c r="AA56" s="195" t="s">
        <v>109</v>
      </c>
      <c r="AB56" s="196"/>
      <c r="AC56" s="195" t="s">
        <v>406</v>
      </c>
    </row>
    <row r="57" spans="1:29" x14ac:dyDescent="0.2">
      <c r="A57" s="195" t="s">
        <v>77</v>
      </c>
      <c r="B57" s="195" t="s">
        <v>78</v>
      </c>
      <c r="C57" s="195" t="s">
        <v>79</v>
      </c>
      <c r="D57" s="196">
        <v>0</v>
      </c>
      <c r="E57" s="196">
        <v>6</v>
      </c>
      <c r="F57" s="196">
        <v>5</v>
      </c>
      <c r="G57" s="195" t="s">
        <v>128</v>
      </c>
      <c r="H57" s="195" t="s">
        <v>511</v>
      </c>
      <c r="I57" s="195" t="s">
        <v>119</v>
      </c>
      <c r="J57" s="195" t="s">
        <v>122</v>
      </c>
      <c r="K57" s="195" t="s">
        <v>112</v>
      </c>
      <c r="L57" s="195" t="s">
        <v>120</v>
      </c>
      <c r="M57" s="195" t="s">
        <v>85</v>
      </c>
      <c r="N57" s="195" t="s">
        <v>130</v>
      </c>
      <c r="O57" s="195" t="s">
        <v>131</v>
      </c>
      <c r="P57" s="195" t="s">
        <v>86</v>
      </c>
      <c r="Q57" s="200">
        <v>689533</v>
      </c>
      <c r="R57" s="200">
        <v>0</v>
      </c>
      <c r="S57" s="200">
        <v>689533</v>
      </c>
      <c r="T57" s="196"/>
      <c r="U57" s="196"/>
      <c r="V57" s="196"/>
      <c r="W57" s="196">
        <v>0</v>
      </c>
      <c r="X57" s="195" t="s">
        <v>408</v>
      </c>
      <c r="Y57" s="197">
        <v>41815</v>
      </c>
      <c r="Z57" s="196" t="s">
        <v>345</v>
      </c>
      <c r="AA57" s="195" t="s">
        <v>109</v>
      </c>
      <c r="AB57" s="196"/>
      <c r="AC57" s="195" t="s">
        <v>409</v>
      </c>
    </row>
    <row r="58" spans="1:29" x14ac:dyDescent="0.2">
      <c r="A58" s="195" t="s">
        <v>77</v>
      </c>
      <c r="B58" s="195" t="s">
        <v>78</v>
      </c>
      <c r="C58" s="195" t="s">
        <v>79</v>
      </c>
      <c r="D58" s="196">
        <v>0</v>
      </c>
      <c r="E58" s="196">
        <v>6</v>
      </c>
      <c r="F58" s="196">
        <v>5</v>
      </c>
      <c r="G58" s="195" t="s">
        <v>128</v>
      </c>
      <c r="H58" s="195" t="s">
        <v>512</v>
      </c>
      <c r="I58" s="195" t="s">
        <v>119</v>
      </c>
      <c r="J58" s="195" t="s">
        <v>122</v>
      </c>
      <c r="K58" s="195" t="s">
        <v>112</v>
      </c>
      <c r="L58" s="195" t="s">
        <v>120</v>
      </c>
      <c r="M58" s="195" t="s">
        <v>85</v>
      </c>
      <c r="N58" s="195" t="s">
        <v>130</v>
      </c>
      <c r="O58" s="195" t="s">
        <v>131</v>
      </c>
      <c r="P58" s="195" t="s">
        <v>86</v>
      </c>
      <c r="Q58" s="200">
        <v>12710968</v>
      </c>
      <c r="R58" s="200">
        <v>0</v>
      </c>
      <c r="S58" s="200">
        <v>12710968</v>
      </c>
      <c r="T58" s="196"/>
      <c r="U58" s="196"/>
      <c r="V58" s="196"/>
      <c r="W58" s="196">
        <v>0</v>
      </c>
      <c r="X58" s="195" t="s">
        <v>411</v>
      </c>
      <c r="Y58" s="197">
        <v>41815</v>
      </c>
      <c r="Z58" s="196" t="s">
        <v>345</v>
      </c>
      <c r="AA58" s="195" t="s">
        <v>109</v>
      </c>
      <c r="AB58" s="196"/>
      <c r="AC58" s="195" t="s">
        <v>412</v>
      </c>
    </row>
    <row r="59" spans="1:29" x14ac:dyDescent="0.2">
      <c r="A59" s="195" t="s">
        <v>77</v>
      </c>
      <c r="B59" s="195" t="s">
        <v>78</v>
      </c>
      <c r="C59" s="195" t="s">
        <v>79</v>
      </c>
      <c r="D59" s="196">
        <v>0</v>
      </c>
      <c r="E59" s="196">
        <v>6</v>
      </c>
      <c r="F59" s="196">
        <v>5</v>
      </c>
      <c r="G59" s="195" t="s">
        <v>128</v>
      </c>
      <c r="H59" s="195" t="s">
        <v>513</v>
      </c>
      <c r="I59" s="195" t="s">
        <v>119</v>
      </c>
      <c r="J59" s="195" t="s">
        <v>122</v>
      </c>
      <c r="K59" s="195" t="s">
        <v>112</v>
      </c>
      <c r="L59" s="195" t="s">
        <v>120</v>
      </c>
      <c r="M59" s="195" t="s">
        <v>85</v>
      </c>
      <c r="N59" s="195" t="s">
        <v>130</v>
      </c>
      <c r="O59" s="195" t="s">
        <v>131</v>
      </c>
      <c r="P59" s="195" t="s">
        <v>86</v>
      </c>
      <c r="Q59" s="200">
        <v>764047</v>
      </c>
      <c r="R59" s="200">
        <v>0</v>
      </c>
      <c r="S59" s="200">
        <v>764047</v>
      </c>
      <c r="T59" s="196"/>
      <c r="U59" s="196"/>
      <c r="V59" s="196"/>
      <c r="W59" s="196">
        <v>0</v>
      </c>
      <c r="X59" s="195" t="s">
        <v>414</v>
      </c>
      <c r="Y59" s="197">
        <v>41815</v>
      </c>
      <c r="Z59" s="196" t="s">
        <v>345</v>
      </c>
      <c r="AA59" s="195" t="s">
        <v>109</v>
      </c>
      <c r="AB59" s="196"/>
      <c r="AC59" s="195" t="s">
        <v>415</v>
      </c>
    </row>
    <row r="60" spans="1:29" x14ac:dyDescent="0.2">
      <c r="A60" s="195" t="s">
        <v>77</v>
      </c>
      <c r="B60" s="195" t="s">
        <v>78</v>
      </c>
      <c r="C60" s="195" t="s">
        <v>79</v>
      </c>
      <c r="D60" s="196">
        <v>0</v>
      </c>
      <c r="E60" s="196">
        <v>6</v>
      </c>
      <c r="F60" s="196">
        <v>5</v>
      </c>
      <c r="G60" s="195" t="s">
        <v>128</v>
      </c>
      <c r="H60" s="195" t="s">
        <v>514</v>
      </c>
      <c r="I60" s="195" t="s">
        <v>119</v>
      </c>
      <c r="J60" s="195" t="s">
        <v>122</v>
      </c>
      <c r="K60" s="195" t="s">
        <v>112</v>
      </c>
      <c r="L60" s="195" t="s">
        <v>120</v>
      </c>
      <c r="M60" s="195" t="s">
        <v>85</v>
      </c>
      <c r="N60" s="195" t="s">
        <v>130</v>
      </c>
      <c r="O60" s="195" t="s">
        <v>131</v>
      </c>
      <c r="P60" s="195" t="s">
        <v>86</v>
      </c>
      <c r="Q60" s="200">
        <v>1889137</v>
      </c>
      <c r="R60" s="200">
        <v>0</v>
      </c>
      <c r="S60" s="200">
        <v>1889137</v>
      </c>
      <c r="T60" s="196"/>
      <c r="U60" s="196"/>
      <c r="V60" s="196"/>
      <c r="W60" s="196">
        <v>0</v>
      </c>
      <c r="X60" s="195" t="s">
        <v>417</v>
      </c>
      <c r="Y60" s="197">
        <v>41815</v>
      </c>
      <c r="Z60" s="196" t="s">
        <v>345</v>
      </c>
      <c r="AA60" s="195" t="s">
        <v>109</v>
      </c>
      <c r="AB60" s="196"/>
      <c r="AC60" s="195" t="s">
        <v>418</v>
      </c>
    </row>
    <row r="61" spans="1:29" x14ac:dyDescent="0.2">
      <c r="A61" s="195" t="s">
        <v>77</v>
      </c>
      <c r="B61" s="195" t="s">
        <v>78</v>
      </c>
      <c r="C61" s="195" t="s">
        <v>79</v>
      </c>
      <c r="D61" s="196">
        <v>0</v>
      </c>
      <c r="E61" s="196">
        <v>6</v>
      </c>
      <c r="F61" s="196">
        <v>5</v>
      </c>
      <c r="G61" s="195" t="s">
        <v>128</v>
      </c>
      <c r="H61" s="195" t="s">
        <v>515</v>
      </c>
      <c r="I61" s="195" t="s">
        <v>119</v>
      </c>
      <c r="J61" s="195" t="s">
        <v>122</v>
      </c>
      <c r="K61" s="195" t="s">
        <v>112</v>
      </c>
      <c r="L61" s="195" t="s">
        <v>120</v>
      </c>
      <c r="M61" s="195" t="s">
        <v>85</v>
      </c>
      <c r="N61" s="195" t="s">
        <v>130</v>
      </c>
      <c r="O61" s="195" t="s">
        <v>131</v>
      </c>
      <c r="P61" s="195" t="s">
        <v>86</v>
      </c>
      <c r="Q61" s="200">
        <v>218250</v>
      </c>
      <c r="R61" s="200">
        <v>0</v>
      </c>
      <c r="S61" s="200">
        <v>218250</v>
      </c>
      <c r="T61" s="196"/>
      <c r="U61" s="196"/>
      <c r="V61" s="196"/>
      <c r="W61" s="196">
        <v>0</v>
      </c>
      <c r="X61" s="195" t="s">
        <v>420</v>
      </c>
      <c r="Y61" s="197">
        <v>41815</v>
      </c>
      <c r="Z61" s="196" t="s">
        <v>345</v>
      </c>
      <c r="AA61" s="195" t="s">
        <v>109</v>
      </c>
      <c r="AB61" s="196"/>
      <c r="AC61" s="195" t="s">
        <v>421</v>
      </c>
    </row>
    <row r="62" spans="1:29" x14ac:dyDescent="0.2">
      <c r="A62" s="195" t="s">
        <v>77</v>
      </c>
      <c r="B62" s="195" t="s">
        <v>78</v>
      </c>
      <c r="C62" s="195" t="s">
        <v>79</v>
      </c>
      <c r="D62" s="196">
        <v>0</v>
      </c>
      <c r="E62" s="196">
        <v>6</v>
      </c>
      <c r="F62" s="196">
        <v>5</v>
      </c>
      <c r="G62" s="195" t="s">
        <v>128</v>
      </c>
      <c r="H62" s="195" t="s">
        <v>516</v>
      </c>
      <c r="I62" s="195" t="s">
        <v>119</v>
      </c>
      <c r="J62" s="195" t="s">
        <v>122</v>
      </c>
      <c r="K62" s="195" t="s">
        <v>112</v>
      </c>
      <c r="L62" s="195" t="s">
        <v>120</v>
      </c>
      <c r="M62" s="195" t="s">
        <v>85</v>
      </c>
      <c r="N62" s="195" t="s">
        <v>130</v>
      </c>
      <c r="O62" s="195" t="s">
        <v>131</v>
      </c>
      <c r="P62" s="195" t="s">
        <v>86</v>
      </c>
      <c r="Q62" s="200">
        <v>264883</v>
      </c>
      <c r="R62" s="200">
        <v>0</v>
      </c>
      <c r="S62" s="200">
        <v>264883</v>
      </c>
      <c r="T62" s="196"/>
      <c r="U62" s="196"/>
      <c r="V62" s="196"/>
      <c r="W62" s="196">
        <v>0</v>
      </c>
      <c r="X62" s="195" t="s">
        <v>423</v>
      </c>
      <c r="Y62" s="197">
        <v>41815</v>
      </c>
      <c r="Z62" s="196" t="s">
        <v>345</v>
      </c>
      <c r="AA62" s="195" t="s">
        <v>109</v>
      </c>
      <c r="AB62" s="196"/>
      <c r="AC62" s="195" t="s">
        <v>424</v>
      </c>
    </row>
    <row r="63" spans="1:29" x14ac:dyDescent="0.2">
      <c r="A63" s="195" t="s">
        <v>77</v>
      </c>
      <c r="B63" s="195" t="s">
        <v>78</v>
      </c>
      <c r="C63" s="195" t="s">
        <v>79</v>
      </c>
      <c r="D63" s="196">
        <v>0</v>
      </c>
      <c r="E63" s="196">
        <v>6</v>
      </c>
      <c r="F63" s="196">
        <v>5</v>
      </c>
      <c r="G63" s="195" t="s">
        <v>128</v>
      </c>
      <c r="H63" s="195" t="s">
        <v>517</v>
      </c>
      <c r="I63" s="195" t="s">
        <v>119</v>
      </c>
      <c r="J63" s="195" t="s">
        <v>122</v>
      </c>
      <c r="K63" s="195" t="s">
        <v>112</v>
      </c>
      <c r="L63" s="195" t="s">
        <v>120</v>
      </c>
      <c r="M63" s="195" t="s">
        <v>85</v>
      </c>
      <c r="N63" s="195" t="s">
        <v>130</v>
      </c>
      <c r="O63" s="195" t="s">
        <v>131</v>
      </c>
      <c r="P63" s="195" t="s">
        <v>86</v>
      </c>
      <c r="Q63" s="200">
        <v>151881</v>
      </c>
      <c r="R63" s="200">
        <v>0</v>
      </c>
      <c r="S63" s="200">
        <v>151881</v>
      </c>
      <c r="T63" s="196"/>
      <c r="U63" s="196"/>
      <c r="V63" s="196"/>
      <c r="W63" s="196">
        <v>0</v>
      </c>
      <c r="X63" s="195" t="s">
        <v>426</v>
      </c>
      <c r="Y63" s="197">
        <v>41815</v>
      </c>
      <c r="Z63" s="196" t="s">
        <v>345</v>
      </c>
      <c r="AA63" s="195" t="s">
        <v>109</v>
      </c>
      <c r="AB63" s="196"/>
      <c r="AC63" s="195" t="s">
        <v>427</v>
      </c>
    </row>
    <row r="64" spans="1:29" x14ac:dyDescent="0.2">
      <c r="A64" s="195" t="s">
        <v>77</v>
      </c>
      <c r="B64" s="195" t="s">
        <v>78</v>
      </c>
      <c r="C64" s="195" t="s">
        <v>79</v>
      </c>
      <c r="D64" s="196">
        <v>0</v>
      </c>
      <c r="E64" s="196">
        <v>6</v>
      </c>
      <c r="F64" s="196">
        <v>5</v>
      </c>
      <c r="G64" s="195" t="s">
        <v>128</v>
      </c>
      <c r="H64" s="195" t="s">
        <v>518</v>
      </c>
      <c r="I64" s="195" t="s">
        <v>119</v>
      </c>
      <c r="J64" s="195" t="s">
        <v>122</v>
      </c>
      <c r="K64" s="195" t="s">
        <v>112</v>
      </c>
      <c r="L64" s="195" t="s">
        <v>120</v>
      </c>
      <c r="M64" s="195" t="s">
        <v>85</v>
      </c>
      <c r="N64" s="195" t="s">
        <v>130</v>
      </c>
      <c r="O64" s="195" t="s">
        <v>131</v>
      </c>
      <c r="P64" s="195" t="s">
        <v>86</v>
      </c>
      <c r="Q64" s="200">
        <v>103086</v>
      </c>
      <c r="R64" s="200">
        <v>0</v>
      </c>
      <c r="S64" s="200">
        <v>103086</v>
      </c>
      <c r="T64" s="196"/>
      <c r="U64" s="196"/>
      <c r="V64" s="196"/>
      <c r="W64" s="196">
        <v>0</v>
      </c>
      <c r="X64" s="195" t="s">
        <v>429</v>
      </c>
      <c r="Y64" s="197">
        <v>41815</v>
      </c>
      <c r="Z64" s="196" t="s">
        <v>345</v>
      </c>
      <c r="AA64" s="195" t="s">
        <v>109</v>
      </c>
      <c r="AB64" s="196"/>
      <c r="AC64" s="195" t="s">
        <v>430</v>
      </c>
    </row>
    <row r="65" spans="1:29" x14ac:dyDescent="0.2">
      <c r="A65" s="179" t="s">
        <v>77</v>
      </c>
      <c r="B65" s="179" t="s">
        <v>78</v>
      </c>
      <c r="C65" s="179" t="s">
        <v>79</v>
      </c>
      <c r="D65" s="180">
        <v>0</v>
      </c>
      <c r="E65" s="180">
        <v>6</v>
      </c>
      <c r="F65" s="180">
        <v>10</v>
      </c>
      <c r="G65" s="179" t="s">
        <v>128</v>
      </c>
      <c r="H65" s="179" t="s">
        <v>80</v>
      </c>
      <c r="I65" s="179" t="s">
        <v>119</v>
      </c>
      <c r="J65" s="179" t="s">
        <v>122</v>
      </c>
      <c r="K65" s="179" t="s">
        <v>112</v>
      </c>
      <c r="L65" s="179" t="s">
        <v>120</v>
      </c>
      <c r="M65" s="179" t="s">
        <v>85</v>
      </c>
      <c r="N65" s="179" t="s">
        <v>130</v>
      </c>
      <c r="O65" s="179" t="s">
        <v>131</v>
      </c>
      <c r="P65" s="179" t="s">
        <v>86</v>
      </c>
      <c r="Q65" s="201">
        <v>0</v>
      </c>
      <c r="R65" s="201">
        <v>42113</v>
      </c>
      <c r="S65" s="201">
        <v>-42113</v>
      </c>
      <c r="T65" s="180"/>
      <c r="U65" s="180"/>
      <c r="V65" s="180"/>
      <c r="W65" s="180">
        <v>0</v>
      </c>
      <c r="X65" s="179" t="s">
        <v>247</v>
      </c>
      <c r="Y65" s="181">
        <v>41802</v>
      </c>
      <c r="Z65" s="180" t="s">
        <v>87</v>
      </c>
      <c r="AA65" s="180"/>
      <c r="AB65" s="180"/>
      <c r="AC65" s="179" t="s">
        <v>248</v>
      </c>
    </row>
    <row r="66" spans="1:29" x14ac:dyDescent="0.2">
      <c r="A66" s="192" t="s">
        <v>77</v>
      </c>
      <c r="B66" s="192" t="s">
        <v>78</v>
      </c>
      <c r="C66" s="192" t="s">
        <v>79</v>
      </c>
      <c r="D66" s="193">
        <v>0</v>
      </c>
      <c r="E66" s="193">
        <v>6</v>
      </c>
      <c r="F66" s="193">
        <v>12</v>
      </c>
      <c r="G66" s="192" t="s">
        <v>128</v>
      </c>
      <c r="H66" s="192" t="s">
        <v>88</v>
      </c>
      <c r="I66" s="192" t="s">
        <v>119</v>
      </c>
      <c r="J66" s="192" t="s">
        <v>122</v>
      </c>
      <c r="K66" s="192" t="s">
        <v>112</v>
      </c>
      <c r="L66" s="192" t="s">
        <v>120</v>
      </c>
      <c r="M66" s="192" t="s">
        <v>85</v>
      </c>
      <c r="N66" s="192" t="s">
        <v>130</v>
      </c>
      <c r="O66" s="192" t="s">
        <v>131</v>
      </c>
      <c r="P66" s="192" t="s">
        <v>86</v>
      </c>
      <c r="Q66" s="202">
        <v>0</v>
      </c>
      <c r="R66" s="202">
        <v>101331.96</v>
      </c>
      <c r="S66" s="202">
        <v>-101331.96</v>
      </c>
      <c r="T66" s="193"/>
      <c r="U66" s="193"/>
      <c r="V66" s="193"/>
      <c r="W66" s="193">
        <v>0</v>
      </c>
      <c r="X66" s="192" t="s">
        <v>256</v>
      </c>
      <c r="Y66" s="194">
        <v>41806</v>
      </c>
      <c r="Z66" s="193" t="s">
        <v>87</v>
      </c>
      <c r="AA66" s="193"/>
      <c r="AB66" s="193"/>
      <c r="AC66" s="192" t="s">
        <v>257</v>
      </c>
    </row>
    <row r="67" spans="1:29" x14ac:dyDescent="0.2">
      <c r="A67" s="192" t="s">
        <v>77</v>
      </c>
      <c r="B67" s="192" t="s">
        <v>78</v>
      </c>
      <c r="C67" s="192" t="s">
        <v>79</v>
      </c>
      <c r="D67" s="193">
        <v>0</v>
      </c>
      <c r="E67" s="193">
        <v>6</v>
      </c>
      <c r="F67" s="193">
        <v>13</v>
      </c>
      <c r="G67" s="192" t="s">
        <v>128</v>
      </c>
      <c r="H67" s="192" t="s">
        <v>89</v>
      </c>
      <c r="I67" s="192" t="s">
        <v>119</v>
      </c>
      <c r="J67" s="192" t="s">
        <v>122</v>
      </c>
      <c r="K67" s="192" t="s">
        <v>112</v>
      </c>
      <c r="L67" s="192" t="s">
        <v>120</v>
      </c>
      <c r="M67" s="192" t="s">
        <v>85</v>
      </c>
      <c r="N67" s="192" t="s">
        <v>130</v>
      </c>
      <c r="O67" s="192" t="s">
        <v>131</v>
      </c>
      <c r="P67" s="192" t="s">
        <v>86</v>
      </c>
      <c r="Q67" s="202">
        <v>0</v>
      </c>
      <c r="R67" s="202">
        <v>45</v>
      </c>
      <c r="S67" s="202">
        <v>-45</v>
      </c>
      <c r="T67" s="193"/>
      <c r="U67" s="193"/>
      <c r="V67" s="193"/>
      <c r="W67" s="193">
        <v>0</v>
      </c>
      <c r="X67" s="192" t="s">
        <v>259</v>
      </c>
      <c r="Y67" s="194">
        <v>41807</v>
      </c>
      <c r="Z67" s="193" t="s">
        <v>87</v>
      </c>
      <c r="AA67" s="193"/>
      <c r="AB67" s="193"/>
      <c r="AC67" s="192" t="s">
        <v>260</v>
      </c>
    </row>
    <row r="68" spans="1:29" x14ac:dyDescent="0.2">
      <c r="A68" s="192" t="s">
        <v>77</v>
      </c>
      <c r="B68" s="192" t="s">
        <v>78</v>
      </c>
      <c r="C68" s="192" t="s">
        <v>79</v>
      </c>
      <c r="D68" s="193">
        <v>0</v>
      </c>
      <c r="E68" s="193">
        <v>6</v>
      </c>
      <c r="F68" s="193">
        <v>13</v>
      </c>
      <c r="G68" s="192" t="s">
        <v>128</v>
      </c>
      <c r="H68" s="192" t="s">
        <v>91</v>
      </c>
      <c r="I68" s="192" t="s">
        <v>119</v>
      </c>
      <c r="J68" s="192" t="s">
        <v>122</v>
      </c>
      <c r="K68" s="192" t="s">
        <v>112</v>
      </c>
      <c r="L68" s="192" t="s">
        <v>120</v>
      </c>
      <c r="M68" s="192" t="s">
        <v>85</v>
      </c>
      <c r="N68" s="192" t="s">
        <v>130</v>
      </c>
      <c r="O68" s="192" t="s">
        <v>131</v>
      </c>
      <c r="P68" s="192" t="s">
        <v>86</v>
      </c>
      <c r="Q68" s="202">
        <v>0</v>
      </c>
      <c r="R68" s="202">
        <v>140000</v>
      </c>
      <c r="S68" s="202">
        <v>-140000</v>
      </c>
      <c r="T68" s="193"/>
      <c r="U68" s="193"/>
      <c r="V68" s="193"/>
      <c r="W68" s="193">
        <v>0</v>
      </c>
      <c r="X68" s="192" t="s">
        <v>262</v>
      </c>
      <c r="Y68" s="194">
        <v>41807</v>
      </c>
      <c r="Z68" s="193" t="s">
        <v>87</v>
      </c>
      <c r="AA68" s="193"/>
      <c r="AB68" s="193"/>
      <c r="AC68" s="192" t="s">
        <v>263</v>
      </c>
    </row>
    <row r="69" spans="1:29" x14ac:dyDescent="0.2">
      <c r="A69" s="192" t="s">
        <v>77</v>
      </c>
      <c r="B69" s="192" t="s">
        <v>78</v>
      </c>
      <c r="C69" s="192" t="s">
        <v>79</v>
      </c>
      <c r="D69" s="193">
        <v>0</v>
      </c>
      <c r="E69" s="193">
        <v>6</v>
      </c>
      <c r="F69" s="193">
        <v>13</v>
      </c>
      <c r="G69" s="192" t="s">
        <v>128</v>
      </c>
      <c r="H69" s="192" t="s">
        <v>92</v>
      </c>
      <c r="I69" s="192" t="s">
        <v>119</v>
      </c>
      <c r="J69" s="192" t="s">
        <v>122</v>
      </c>
      <c r="K69" s="192" t="s">
        <v>112</v>
      </c>
      <c r="L69" s="192" t="s">
        <v>120</v>
      </c>
      <c r="M69" s="192" t="s">
        <v>85</v>
      </c>
      <c r="N69" s="192" t="s">
        <v>130</v>
      </c>
      <c r="O69" s="192" t="s">
        <v>131</v>
      </c>
      <c r="P69" s="192" t="s">
        <v>86</v>
      </c>
      <c r="Q69" s="202">
        <v>0</v>
      </c>
      <c r="R69" s="202">
        <v>280683.5</v>
      </c>
      <c r="S69" s="202">
        <v>-280683.5</v>
      </c>
      <c r="T69" s="193"/>
      <c r="U69" s="193"/>
      <c r="V69" s="193"/>
      <c r="W69" s="193">
        <v>0</v>
      </c>
      <c r="X69" s="192" t="s">
        <v>265</v>
      </c>
      <c r="Y69" s="194">
        <v>41807</v>
      </c>
      <c r="Z69" s="193" t="s">
        <v>87</v>
      </c>
      <c r="AA69" s="193"/>
      <c r="AB69" s="193"/>
      <c r="AC69" s="192" t="s">
        <v>266</v>
      </c>
    </row>
    <row r="70" spans="1:29" x14ac:dyDescent="0.2">
      <c r="A70" s="192" t="s">
        <v>77</v>
      </c>
      <c r="B70" s="192" t="s">
        <v>78</v>
      </c>
      <c r="C70" s="192" t="s">
        <v>79</v>
      </c>
      <c r="D70" s="193">
        <v>0</v>
      </c>
      <c r="E70" s="193">
        <v>6</v>
      </c>
      <c r="F70" s="193">
        <v>16</v>
      </c>
      <c r="G70" s="192" t="s">
        <v>128</v>
      </c>
      <c r="H70" s="192" t="s">
        <v>93</v>
      </c>
      <c r="I70" s="192" t="s">
        <v>119</v>
      </c>
      <c r="J70" s="192" t="s">
        <v>122</v>
      </c>
      <c r="K70" s="192" t="s">
        <v>112</v>
      </c>
      <c r="L70" s="192" t="s">
        <v>120</v>
      </c>
      <c r="M70" s="192" t="s">
        <v>85</v>
      </c>
      <c r="N70" s="192" t="s">
        <v>130</v>
      </c>
      <c r="O70" s="192" t="s">
        <v>131</v>
      </c>
      <c r="P70" s="192" t="s">
        <v>86</v>
      </c>
      <c r="Q70" s="202">
        <v>0</v>
      </c>
      <c r="R70" s="202">
        <v>80275.88</v>
      </c>
      <c r="S70" s="202">
        <v>-80275.88</v>
      </c>
      <c r="T70" s="193"/>
      <c r="U70" s="193"/>
      <c r="V70" s="193"/>
      <c r="W70" s="193">
        <v>0</v>
      </c>
      <c r="X70" s="192" t="s">
        <v>320</v>
      </c>
      <c r="Y70" s="194">
        <v>41808</v>
      </c>
      <c r="Z70" s="193" t="s">
        <v>87</v>
      </c>
      <c r="AA70" s="193"/>
      <c r="AB70" s="193"/>
      <c r="AC70" s="192" t="s">
        <v>321</v>
      </c>
    </row>
    <row r="71" spans="1:29" x14ac:dyDescent="0.2">
      <c r="A71" s="192" t="s">
        <v>77</v>
      </c>
      <c r="B71" s="192" t="s">
        <v>78</v>
      </c>
      <c r="C71" s="192" t="s">
        <v>79</v>
      </c>
      <c r="D71" s="193">
        <v>0</v>
      </c>
      <c r="E71" s="193">
        <v>6</v>
      </c>
      <c r="F71" s="193">
        <v>17</v>
      </c>
      <c r="G71" s="192" t="s">
        <v>128</v>
      </c>
      <c r="H71" s="192" t="s">
        <v>94</v>
      </c>
      <c r="I71" s="192" t="s">
        <v>119</v>
      </c>
      <c r="J71" s="192" t="s">
        <v>122</v>
      </c>
      <c r="K71" s="192" t="s">
        <v>112</v>
      </c>
      <c r="L71" s="192" t="s">
        <v>120</v>
      </c>
      <c r="M71" s="192" t="s">
        <v>85</v>
      </c>
      <c r="N71" s="192" t="s">
        <v>130</v>
      </c>
      <c r="O71" s="192" t="s">
        <v>131</v>
      </c>
      <c r="P71" s="192" t="s">
        <v>86</v>
      </c>
      <c r="Q71" s="202">
        <v>0</v>
      </c>
      <c r="R71" s="202">
        <v>1935.9</v>
      </c>
      <c r="S71" s="202">
        <v>-1935.9</v>
      </c>
      <c r="T71" s="193"/>
      <c r="U71" s="193"/>
      <c r="V71" s="193"/>
      <c r="W71" s="193">
        <v>0</v>
      </c>
      <c r="X71" s="192" t="s">
        <v>323</v>
      </c>
      <c r="Y71" s="194">
        <v>41809</v>
      </c>
      <c r="Z71" s="193" t="s">
        <v>87</v>
      </c>
      <c r="AA71" s="193"/>
      <c r="AB71" s="193"/>
      <c r="AC71" s="192" t="s">
        <v>324</v>
      </c>
    </row>
    <row r="72" spans="1:29" x14ac:dyDescent="0.2">
      <c r="A72" s="192" t="s">
        <v>77</v>
      </c>
      <c r="B72" s="192" t="s">
        <v>78</v>
      </c>
      <c r="C72" s="192" t="s">
        <v>79</v>
      </c>
      <c r="D72" s="193">
        <v>0</v>
      </c>
      <c r="E72" s="193">
        <v>6</v>
      </c>
      <c r="F72" s="193">
        <v>17</v>
      </c>
      <c r="G72" s="192" t="s">
        <v>128</v>
      </c>
      <c r="H72" s="192" t="s">
        <v>95</v>
      </c>
      <c r="I72" s="192" t="s">
        <v>119</v>
      </c>
      <c r="J72" s="192" t="s">
        <v>122</v>
      </c>
      <c r="K72" s="192" t="s">
        <v>112</v>
      </c>
      <c r="L72" s="192" t="s">
        <v>120</v>
      </c>
      <c r="M72" s="192" t="s">
        <v>85</v>
      </c>
      <c r="N72" s="192" t="s">
        <v>130</v>
      </c>
      <c r="O72" s="192" t="s">
        <v>131</v>
      </c>
      <c r="P72" s="192" t="s">
        <v>86</v>
      </c>
      <c r="Q72" s="202">
        <v>0</v>
      </c>
      <c r="R72" s="202">
        <v>1446483.26</v>
      </c>
      <c r="S72" s="202">
        <v>-1446483.26</v>
      </c>
      <c r="T72" s="193"/>
      <c r="U72" s="193"/>
      <c r="V72" s="193"/>
      <c r="W72" s="193">
        <v>0</v>
      </c>
      <c r="X72" s="192" t="s">
        <v>326</v>
      </c>
      <c r="Y72" s="194">
        <v>41809</v>
      </c>
      <c r="Z72" s="193" t="s">
        <v>87</v>
      </c>
      <c r="AA72" s="193"/>
      <c r="AB72" s="193"/>
      <c r="AC72" s="192" t="s">
        <v>327</v>
      </c>
    </row>
    <row r="73" spans="1:29" x14ac:dyDescent="0.2">
      <c r="A73" s="192" t="s">
        <v>77</v>
      </c>
      <c r="B73" s="192" t="s">
        <v>78</v>
      </c>
      <c r="C73" s="192" t="s">
        <v>79</v>
      </c>
      <c r="D73" s="193">
        <v>0</v>
      </c>
      <c r="E73" s="193">
        <v>6</v>
      </c>
      <c r="F73" s="193">
        <v>19</v>
      </c>
      <c r="G73" s="192" t="s">
        <v>128</v>
      </c>
      <c r="H73" s="192" t="s">
        <v>98</v>
      </c>
      <c r="I73" s="192" t="s">
        <v>119</v>
      </c>
      <c r="J73" s="192" t="s">
        <v>122</v>
      </c>
      <c r="K73" s="192" t="s">
        <v>112</v>
      </c>
      <c r="L73" s="192" t="s">
        <v>120</v>
      </c>
      <c r="M73" s="192" t="s">
        <v>85</v>
      </c>
      <c r="N73" s="192" t="s">
        <v>130</v>
      </c>
      <c r="O73" s="192" t="s">
        <v>131</v>
      </c>
      <c r="P73" s="192" t="s">
        <v>86</v>
      </c>
      <c r="Q73" s="202">
        <v>0</v>
      </c>
      <c r="R73" s="202">
        <v>20</v>
      </c>
      <c r="S73" s="202">
        <v>-20</v>
      </c>
      <c r="T73" s="193"/>
      <c r="U73" s="193"/>
      <c r="V73" s="193"/>
      <c r="W73" s="193">
        <v>0</v>
      </c>
      <c r="X73" s="192" t="s">
        <v>332</v>
      </c>
      <c r="Y73" s="194">
        <v>41813</v>
      </c>
      <c r="Z73" s="193" t="s">
        <v>87</v>
      </c>
      <c r="AA73" s="193"/>
      <c r="AB73" s="193"/>
      <c r="AC73" s="192" t="s">
        <v>333</v>
      </c>
    </row>
    <row r="74" spans="1:29" x14ac:dyDescent="0.2">
      <c r="A74" s="192" t="s">
        <v>77</v>
      </c>
      <c r="B74" s="192" t="s">
        <v>78</v>
      </c>
      <c r="C74" s="192" t="s">
        <v>79</v>
      </c>
      <c r="D74" s="193">
        <v>0</v>
      </c>
      <c r="E74" s="193">
        <v>6</v>
      </c>
      <c r="F74" s="193">
        <v>20</v>
      </c>
      <c r="G74" s="192" t="s">
        <v>128</v>
      </c>
      <c r="H74" s="192" t="s">
        <v>116</v>
      </c>
      <c r="I74" s="192" t="s">
        <v>119</v>
      </c>
      <c r="J74" s="192" t="s">
        <v>122</v>
      </c>
      <c r="K74" s="192" t="s">
        <v>112</v>
      </c>
      <c r="L74" s="192" t="s">
        <v>120</v>
      </c>
      <c r="M74" s="192" t="s">
        <v>85</v>
      </c>
      <c r="N74" s="192" t="s">
        <v>130</v>
      </c>
      <c r="O74" s="192" t="s">
        <v>131</v>
      </c>
      <c r="P74" s="192" t="s">
        <v>86</v>
      </c>
      <c r="Q74" s="202">
        <v>0</v>
      </c>
      <c r="R74" s="202">
        <v>491877.4</v>
      </c>
      <c r="S74" s="202">
        <v>-491877.4</v>
      </c>
      <c r="T74" s="193"/>
      <c r="U74" s="193"/>
      <c r="V74" s="193"/>
      <c r="W74" s="193">
        <v>0</v>
      </c>
      <c r="X74" s="192" t="s">
        <v>338</v>
      </c>
      <c r="Y74" s="194">
        <v>41814</v>
      </c>
      <c r="Z74" s="193" t="s">
        <v>87</v>
      </c>
      <c r="AA74" s="193"/>
      <c r="AB74" s="193"/>
      <c r="AC74" s="192" t="s">
        <v>339</v>
      </c>
    </row>
    <row r="75" spans="1:29" x14ac:dyDescent="0.2">
      <c r="A75" s="192" t="s">
        <v>77</v>
      </c>
      <c r="B75" s="192" t="s">
        <v>78</v>
      </c>
      <c r="C75" s="192" t="s">
        <v>79</v>
      </c>
      <c r="D75" s="193">
        <v>0</v>
      </c>
      <c r="E75" s="193">
        <v>6</v>
      </c>
      <c r="F75" s="193">
        <v>24</v>
      </c>
      <c r="G75" s="192" t="s">
        <v>128</v>
      </c>
      <c r="H75" s="192" t="s">
        <v>437</v>
      </c>
      <c r="I75" s="192" t="s">
        <v>119</v>
      </c>
      <c r="J75" s="192" t="s">
        <v>122</v>
      </c>
      <c r="K75" s="192" t="s">
        <v>112</v>
      </c>
      <c r="L75" s="192" t="s">
        <v>120</v>
      </c>
      <c r="M75" s="192" t="s">
        <v>85</v>
      </c>
      <c r="N75" s="192" t="s">
        <v>130</v>
      </c>
      <c r="O75" s="192" t="s">
        <v>131</v>
      </c>
      <c r="P75" s="192" t="s">
        <v>86</v>
      </c>
      <c r="Q75" s="202">
        <v>0</v>
      </c>
      <c r="R75" s="202">
        <v>273</v>
      </c>
      <c r="S75" s="202">
        <v>-273</v>
      </c>
      <c r="T75" s="193"/>
      <c r="U75" s="193"/>
      <c r="V75" s="193"/>
      <c r="W75" s="193">
        <v>0</v>
      </c>
      <c r="X75" s="192" t="s">
        <v>439</v>
      </c>
      <c r="Y75" s="194">
        <v>41815</v>
      </c>
      <c r="Z75" s="193" t="s">
        <v>87</v>
      </c>
      <c r="AA75" s="193"/>
      <c r="AB75" s="193"/>
      <c r="AC75" s="192" t="s">
        <v>440</v>
      </c>
    </row>
    <row r="76" spans="1:29" x14ac:dyDescent="0.2">
      <c r="A76" s="192" t="s">
        <v>77</v>
      </c>
      <c r="B76" s="192" t="s">
        <v>78</v>
      </c>
      <c r="C76" s="192" t="s">
        <v>79</v>
      </c>
      <c r="D76" s="193">
        <v>0</v>
      </c>
      <c r="E76" s="193">
        <v>6</v>
      </c>
      <c r="F76" s="193">
        <v>26</v>
      </c>
      <c r="G76" s="192" t="s">
        <v>128</v>
      </c>
      <c r="H76" s="192" t="s">
        <v>441</v>
      </c>
      <c r="I76" s="192" t="s">
        <v>119</v>
      </c>
      <c r="J76" s="192" t="s">
        <v>122</v>
      </c>
      <c r="K76" s="192" t="s">
        <v>112</v>
      </c>
      <c r="L76" s="192" t="s">
        <v>120</v>
      </c>
      <c r="M76" s="192" t="s">
        <v>85</v>
      </c>
      <c r="N76" s="192" t="s">
        <v>130</v>
      </c>
      <c r="O76" s="192" t="s">
        <v>131</v>
      </c>
      <c r="P76" s="192" t="s">
        <v>86</v>
      </c>
      <c r="Q76" s="202">
        <v>0</v>
      </c>
      <c r="R76" s="202">
        <v>15168</v>
      </c>
      <c r="S76" s="202">
        <v>-15168</v>
      </c>
      <c r="T76" s="193"/>
      <c r="U76" s="193"/>
      <c r="V76" s="193"/>
      <c r="W76" s="193">
        <v>0</v>
      </c>
      <c r="X76" s="192" t="s">
        <v>443</v>
      </c>
      <c r="Y76" s="194">
        <v>41820</v>
      </c>
      <c r="Z76" s="193" t="s">
        <v>87</v>
      </c>
      <c r="AA76" s="193"/>
      <c r="AB76" s="193"/>
      <c r="AC76" s="192" t="s">
        <v>444</v>
      </c>
    </row>
    <row r="77" spans="1:29" x14ac:dyDescent="0.2">
      <c r="A77" s="211" t="s">
        <v>77</v>
      </c>
      <c r="B77" s="211" t="s">
        <v>78</v>
      </c>
      <c r="C77" s="211" t="s">
        <v>79</v>
      </c>
      <c r="D77" s="210">
        <v>0</v>
      </c>
      <c r="E77" s="210">
        <v>8</v>
      </c>
      <c r="F77" s="210">
        <v>25</v>
      </c>
      <c r="G77" s="211" t="s">
        <v>128</v>
      </c>
      <c r="H77" s="211" t="s">
        <v>80</v>
      </c>
      <c r="I77" s="211" t="s">
        <v>119</v>
      </c>
      <c r="J77" s="211" t="s">
        <v>254</v>
      </c>
      <c r="K77" s="211" t="s">
        <v>112</v>
      </c>
      <c r="L77" s="211" t="s">
        <v>120</v>
      </c>
      <c r="M77" s="211" t="s">
        <v>85</v>
      </c>
      <c r="N77" s="211" t="s">
        <v>130</v>
      </c>
      <c r="O77" s="211" t="s">
        <v>131</v>
      </c>
      <c r="P77" s="211" t="s">
        <v>86</v>
      </c>
      <c r="Q77" s="200">
        <v>5372483.5700000003</v>
      </c>
      <c r="R77" s="200">
        <v>0</v>
      </c>
      <c r="S77" s="200">
        <v>5372483.5700000003</v>
      </c>
      <c r="T77" s="210"/>
      <c r="U77" s="210"/>
      <c r="V77" s="210"/>
      <c r="W77" s="210">
        <v>0</v>
      </c>
      <c r="X77" s="211" t="s">
        <v>521</v>
      </c>
      <c r="Y77" s="212">
        <v>41877</v>
      </c>
      <c r="Z77" s="210" t="s">
        <v>108</v>
      </c>
      <c r="AA77" s="211" t="s">
        <v>109</v>
      </c>
      <c r="AC77" s="211" t="s">
        <v>522</v>
      </c>
    </row>
    <row r="78" spans="1:29" x14ac:dyDescent="0.2">
      <c r="Q78" s="2">
        <f>SUM(Q2:Q77)</f>
        <v>206852598.26999998</v>
      </c>
      <c r="R78" s="2">
        <f>SUM(R2:R77)</f>
        <v>219847598.27000001</v>
      </c>
      <c r="S78" s="2">
        <f>SUM(S2:S77)</f>
        <v>-12995000.000000019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showZeros="0" zoomScale="85" zoomScaleNormal="85" workbookViewId="0"/>
  </sheetViews>
  <sheetFormatPr defaultRowHeight="16.5" x14ac:dyDescent="0.25"/>
  <cols>
    <col min="1" max="1" width="47.85546875" style="223" customWidth="1"/>
    <col min="2" max="6" width="10.7109375" style="223" customWidth="1"/>
    <col min="7" max="7" width="9.42578125" style="223" customWidth="1"/>
    <col min="8" max="8" width="9" style="223" customWidth="1"/>
    <col min="9" max="9" width="11.28515625" style="223" customWidth="1"/>
    <col min="10" max="10" width="13.5703125" style="227" customWidth="1"/>
    <col min="11" max="11" width="13" style="227" customWidth="1"/>
    <col min="12" max="16384" width="9.140625" style="227"/>
  </cols>
  <sheetData>
    <row r="1" spans="1:13" ht="17.25" thickBot="1" x14ac:dyDescent="0.3">
      <c r="E1" s="224"/>
      <c r="F1" s="224"/>
      <c r="G1" s="224"/>
      <c r="H1" s="225"/>
      <c r="I1" s="226" t="s">
        <v>0</v>
      </c>
    </row>
    <row r="2" spans="1:13" ht="17.25" thickBot="1" x14ac:dyDescent="0.3">
      <c r="A2" s="228" t="s">
        <v>525</v>
      </c>
      <c r="B2" s="229" t="s">
        <v>526</v>
      </c>
      <c r="C2" s="230"/>
      <c r="D2" s="231" t="s">
        <v>6</v>
      </c>
      <c r="E2" s="230"/>
      <c r="F2" s="232" t="s">
        <v>527</v>
      </c>
      <c r="G2" s="233"/>
      <c r="H2" s="233"/>
      <c r="I2" s="234"/>
    </row>
    <row r="3" spans="1:13" ht="17.25" thickBot="1" x14ac:dyDescent="0.3">
      <c r="A3" s="235"/>
      <c r="B3" s="236" t="s">
        <v>528</v>
      </c>
      <c r="C3" s="237"/>
      <c r="D3" s="238" t="s">
        <v>529</v>
      </c>
      <c r="E3" s="237"/>
      <c r="F3" s="236" t="s">
        <v>10</v>
      </c>
      <c r="G3" s="237"/>
      <c r="H3" s="236" t="s">
        <v>530</v>
      </c>
      <c r="I3" s="237"/>
    </row>
    <row r="4" spans="1:13" ht="17.25" thickBot="1" x14ac:dyDescent="0.3">
      <c r="A4" s="239" t="s">
        <v>3</v>
      </c>
      <c r="B4" s="240"/>
      <c r="C4" s="241">
        <f>SUM(C5:C9)</f>
        <v>87848</v>
      </c>
      <c r="D4" s="242"/>
      <c r="E4" s="241">
        <f>SUM(E5:E9)</f>
        <v>96051</v>
      </c>
      <c r="F4" s="240"/>
      <c r="G4" s="241">
        <f>SUM(G5:G9)</f>
        <v>94468</v>
      </c>
      <c r="H4" s="240"/>
      <c r="I4" s="241">
        <f>SUM(I5:I10)</f>
        <v>131415</v>
      </c>
      <c r="K4" s="243" t="s">
        <v>531</v>
      </c>
      <c r="L4" s="243"/>
      <c r="M4" s="243"/>
    </row>
    <row r="5" spans="1:13" x14ac:dyDescent="0.25">
      <c r="A5" s="244" t="s">
        <v>7</v>
      </c>
      <c r="B5" s="245"/>
      <c r="C5" s="246">
        <v>65915</v>
      </c>
      <c r="D5" s="247"/>
      <c r="E5" s="248">
        <v>74118</v>
      </c>
      <c r="F5" s="249"/>
      <c r="G5" s="250">
        <v>74118</v>
      </c>
      <c r="H5" s="249"/>
      <c r="I5" s="250">
        <v>129543</v>
      </c>
    </row>
    <row r="6" spans="1:13" x14ac:dyDescent="0.25">
      <c r="A6" s="244" t="s">
        <v>532</v>
      </c>
      <c r="B6" s="245"/>
      <c r="C6" s="246">
        <v>19670</v>
      </c>
      <c r="D6" s="247"/>
      <c r="E6" s="251">
        <v>19670</v>
      </c>
      <c r="F6" s="245"/>
      <c r="G6" s="246">
        <v>18489</v>
      </c>
      <c r="H6" s="245"/>
      <c r="I6" s="246"/>
    </row>
    <row r="7" spans="1:13" x14ac:dyDescent="0.25">
      <c r="A7" s="244" t="s">
        <v>533</v>
      </c>
      <c r="B7" s="245"/>
      <c r="C7" s="246">
        <v>1863</v>
      </c>
      <c r="D7" s="247"/>
      <c r="E7" s="251">
        <v>1863</v>
      </c>
      <c r="F7" s="245"/>
      <c r="G7" s="246">
        <v>1672</v>
      </c>
      <c r="H7" s="245"/>
      <c r="I7" s="246">
        <v>1672</v>
      </c>
    </row>
    <row r="8" spans="1:13" x14ac:dyDescent="0.25">
      <c r="A8" s="244" t="s">
        <v>534</v>
      </c>
      <c r="B8" s="245"/>
      <c r="C8" s="246">
        <v>400</v>
      </c>
      <c r="D8" s="247"/>
      <c r="E8" s="251">
        <v>400</v>
      </c>
      <c r="F8" s="245"/>
      <c r="G8" s="246">
        <v>189</v>
      </c>
      <c r="H8" s="245"/>
      <c r="I8" s="246">
        <v>189</v>
      </c>
    </row>
    <row r="9" spans="1:13" ht="16.5" customHeight="1" x14ac:dyDescent="0.25">
      <c r="A9" s="244" t="s">
        <v>535</v>
      </c>
      <c r="B9" s="245"/>
      <c r="C9" s="246"/>
      <c r="D9" s="247"/>
      <c r="E9" s="251"/>
      <c r="F9" s="245"/>
      <c r="G9" s="246"/>
      <c r="H9" s="245"/>
      <c r="I9" s="246">
        <v>11</v>
      </c>
      <c r="J9" s="223"/>
    </row>
    <row r="10" spans="1:13" ht="16.5" customHeight="1" thickBot="1" x14ac:dyDescent="0.3">
      <c r="A10" s="244"/>
      <c r="B10" s="245"/>
      <c r="C10" s="246"/>
      <c r="D10" s="247"/>
      <c r="E10" s="251"/>
      <c r="F10" s="245"/>
      <c r="G10" s="252"/>
      <c r="H10" s="245"/>
      <c r="I10" s="246"/>
      <c r="J10" s="223"/>
    </row>
    <row r="11" spans="1:13" ht="17.25" thickBot="1" x14ac:dyDescent="0.3">
      <c r="A11" s="239" t="s">
        <v>4</v>
      </c>
      <c r="B11" s="240"/>
      <c r="C11" s="241">
        <f>C13+C18</f>
        <v>87848</v>
      </c>
      <c r="D11" s="240"/>
      <c r="E11" s="241">
        <f>E13+E18</f>
        <v>87848</v>
      </c>
      <c r="F11" s="240"/>
      <c r="G11" s="241">
        <f>G13+G18</f>
        <v>15763</v>
      </c>
      <c r="H11" s="240"/>
      <c r="I11" s="241">
        <f>I13+I18</f>
        <v>397</v>
      </c>
    </row>
    <row r="12" spans="1:13" x14ac:dyDescent="0.25">
      <c r="A12" s="244"/>
      <c r="B12" s="245"/>
      <c r="C12" s="246"/>
      <c r="D12" s="245"/>
      <c r="E12" s="246"/>
      <c r="F12" s="247"/>
      <c r="G12" s="246"/>
      <c r="H12" s="249"/>
      <c r="I12" s="250"/>
    </row>
    <row r="13" spans="1:13" x14ac:dyDescent="0.25">
      <c r="A13" s="253" t="s">
        <v>536</v>
      </c>
      <c r="B13" s="254"/>
      <c r="C13" s="255">
        <f>SUM(C14:C14)</f>
        <v>0</v>
      </c>
      <c r="D13" s="254"/>
      <c r="E13" s="255">
        <f>SUM(E14:E15)</f>
        <v>14835</v>
      </c>
      <c r="F13" s="254"/>
      <c r="G13" s="255">
        <f>SUM(G14:G15)</f>
        <v>7090</v>
      </c>
      <c r="H13" s="254"/>
      <c r="I13" s="255">
        <f>SUM(I14:I14)</f>
        <v>0</v>
      </c>
    </row>
    <row r="14" spans="1:13" x14ac:dyDescent="0.25">
      <c r="A14" s="244" t="s">
        <v>537</v>
      </c>
      <c r="B14" s="245"/>
      <c r="C14" s="246"/>
      <c r="D14" s="245"/>
      <c r="E14" s="246">
        <v>850</v>
      </c>
      <c r="F14" s="247"/>
      <c r="G14" s="246">
        <v>90</v>
      </c>
      <c r="H14" s="245"/>
      <c r="I14" s="246"/>
    </row>
    <row r="15" spans="1:13" x14ac:dyDescent="0.25">
      <c r="A15" s="244" t="s">
        <v>538</v>
      </c>
      <c r="B15" s="245"/>
      <c r="C15" s="246"/>
      <c r="D15" s="245"/>
      <c r="E15" s="246">
        <v>13985</v>
      </c>
      <c r="F15" s="247"/>
      <c r="G15" s="246">
        <v>7000</v>
      </c>
      <c r="H15" s="245"/>
      <c r="I15" s="246"/>
    </row>
    <row r="16" spans="1:13" ht="9.75" customHeight="1" x14ac:dyDescent="0.25">
      <c r="A16" s="244"/>
      <c r="B16" s="245"/>
      <c r="C16" s="246"/>
      <c r="D16" s="245"/>
      <c r="E16" s="246"/>
      <c r="F16" s="247"/>
      <c r="G16" s="246"/>
      <c r="H16" s="245"/>
      <c r="I16" s="246"/>
    </row>
    <row r="17" spans="1:11" x14ac:dyDescent="0.25">
      <c r="A17" s="244"/>
      <c r="B17" s="245"/>
      <c r="C17" s="246"/>
      <c r="D17" s="245"/>
      <c r="E17" s="246"/>
      <c r="F17" s="247"/>
      <c r="G17" s="246"/>
      <c r="H17" s="245"/>
      <c r="I17" s="246"/>
    </row>
    <row r="18" spans="1:11" x14ac:dyDescent="0.25">
      <c r="A18" s="253" t="s">
        <v>539</v>
      </c>
      <c r="B18" s="256"/>
      <c r="C18" s="257">
        <f>SUM(C19:C22)</f>
        <v>87848</v>
      </c>
      <c r="D18" s="256"/>
      <c r="E18" s="257">
        <f>SUM(E19:E23)</f>
        <v>73013</v>
      </c>
      <c r="F18" s="256"/>
      <c r="G18" s="257">
        <f>SUM(G19:G23)</f>
        <v>8673</v>
      </c>
      <c r="H18" s="256"/>
      <c r="I18" s="257">
        <f>SUM(I19:I22)</f>
        <v>397</v>
      </c>
    </row>
    <row r="19" spans="1:11" x14ac:dyDescent="0.25">
      <c r="A19" s="258" t="s">
        <v>540</v>
      </c>
      <c r="B19" s="259" t="s">
        <v>541</v>
      </c>
      <c r="C19" s="260">
        <v>31000</v>
      </c>
      <c r="D19" s="259"/>
      <c r="E19" s="260">
        <v>31000</v>
      </c>
      <c r="F19" s="259"/>
      <c r="G19" s="260">
        <v>0</v>
      </c>
      <c r="H19" s="259"/>
      <c r="I19" s="260"/>
    </row>
    <row r="20" spans="1:11" x14ac:dyDescent="0.25">
      <c r="A20" s="258" t="s">
        <v>542</v>
      </c>
      <c r="B20" s="245"/>
      <c r="C20" s="246">
        <v>29000</v>
      </c>
      <c r="D20" s="245"/>
      <c r="E20" s="246">
        <v>29000</v>
      </c>
      <c r="F20" s="245"/>
      <c r="G20" s="246">
        <v>6328</v>
      </c>
      <c r="H20" s="245"/>
      <c r="I20" s="246"/>
    </row>
    <row r="21" spans="1:11" x14ac:dyDescent="0.25">
      <c r="A21" s="258" t="s">
        <v>543</v>
      </c>
      <c r="B21" s="245"/>
      <c r="C21" s="246">
        <v>26898</v>
      </c>
      <c r="D21" s="245"/>
      <c r="E21" s="246">
        <v>12013</v>
      </c>
      <c r="F21" s="245">
        <v>0</v>
      </c>
      <c r="G21" s="246">
        <v>1920</v>
      </c>
      <c r="H21" s="245"/>
      <c r="I21" s="246"/>
    </row>
    <row r="22" spans="1:11" x14ac:dyDescent="0.25">
      <c r="A22" s="258" t="s">
        <v>544</v>
      </c>
      <c r="B22" s="245"/>
      <c r="C22" s="246">
        <v>950</v>
      </c>
      <c r="D22" s="245"/>
      <c r="E22" s="246">
        <v>950</v>
      </c>
      <c r="F22" s="245"/>
      <c r="G22" s="246">
        <v>397</v>
      </c>
      <c r="H22" s="245"/>
      <c r="I22" s="246">
        <v>397</v>
      </c>
    </row>
    <row r="23" spans="1:11" x14ac:dyDescent="0.25">
      <c r="A23" s="258" t="s">
        <v>545</v>
      </c>
      <c r="B23" s="261"/>
      <c r="C23" s="262"/>
      <c r="D23" s="244"/>
      <c r="E23" s="263">
        <v>50</v>
      </c>
      <c r="F23" s="244"/>
      <c r="G23" s="263">
        <v>28</v>
      </c>
      <c r="H23" s="244"/>
      <c r="I23" s="263"/>
    </row>
    <row r="24" spans="1:11" ht="17.25" thickBot="1" x14ac:dyDescent="0.3">
      <c r="A24" s="264"/>
      <c r="B24" s="265"/>
      <c r="C24" s="266"/>
      <c r="D24" s="265"/>
      <c r="E24" s="266"/>
      <c r="F24" s="265"/>
      <c r="G24" s="266"/>
      <c r="H24" s="265"/>
      <c r="I24" s="266"/>
    </row>
    <row r="25" spans="1:11" ht="17.25" thickBot="1" x14ac:dyDescent="0.3">
      <c r="A25" s="239" t="s">
        <v>5</v>
      </c>
      <c r="B25" s="240"/>
      <c r="C25" s="241">
        <f>C4-C11</f>
        <v>0</v>
      </c>
      <c r="D25" s="240"/>
      <c r="E25" s="241">
        <f>E4-E11</f>
        <v>8203</v>
      </c>
      <c r="F25" s="240"/>
      <c r="G25" s="241">
        <f>G4-G11</f>
        <v>78705</v>
      </c>
      <c r="H25" s="240"/>
      <c r="I25" s="241">
        <f>I4-I11</f>
        <v>131018</v>
      </c>
      <c r="J25" s="267"/>
      <c r="K25" s="267"/>
    </row>
    <row r="26" spans="1:11" x14ac:dyDescent="0.25">
      <c r="H26" s="267"/>
    </row>
    <row r="27" spans="1:11" x14ac:dyDescent="0.25">
      <c r="A27" s="268" t="s">
        <v>546</v>
      </c>
      <c r="B27" s="268"/>
      <c r="C27" s="268"/>
      <c r="D27" s="268"/>
      <c r="E27" s="268"/>
      <c r="F27" s="268"/>
      <c r="G27" s="268"/>
      <c r="H27" s="268"/>
      <c r="I27" s="268"/>
    </row>
    <row r="29" spans="1:11" x14ac:dyDescent="0.25">
      <c r="A29" s="269" t="s">
        <v>547</v>
      </c>
      <c r="G29" s="225"/>
    </row>
    <row r="30" spans="1:11" ht="17.25" thickBot="1" x14ac:dyDescent="0.3">
      <c r="G30" s="225"/>
    </row>
    <row r="31" spans="1:11" s="275" customFormat="1" ht="15.75" customHeight="1" thickBot="1" x14ac:dyDescent="0.3">
      <c r="A31" s="270" t="s">
        <v>548</v>
      </c>
      <c r="B31" s="270">
        <v>2007</v>
      </c>
      <c r="C31" s="271">
        <v>2008</v>
      </c>
      <c r="D31" s="272">
        <v>2009</v>
      </c>
      <c r="E31" s="272">
        <v>2010</v>
      </c>
      <c r="F31" s="272">
        <v>2011</v>
      </c>
      <c r="G31" s="272">
        <v>2012</v>
      </c>
      <c r="H31" s="273">
        <v>2013</v>
      </c>
      <c r="I31" s="274" t="s">
        <v>529</v>
      </c>
    </row>
    <row r="32" spans="1:11" x14ac:dyDescent="0.25">
      <c r="A32" s="276" t="s">
        <v>549</v>
      </c>
      <c r="B32" s="277">
        <v>79</v>
      </c>
      <c r="C32" s="278">
        <v>77</v>
      </c>
      <c r="D32" s="279">
        <v>60</v>
      </c>
      <c r="E32" s="279">
        <v>63</v>
      </c>
      <c r="F32" s="279">
        <v>58</v>
      </c>
      <c r="G32" s="280">
        <v>70</v>
      </c>
      <c r="H32" s="281">
        <v>63</v>
      </c>
      <c r="I32" s="282">
        <v>40</v>
      </c>
    </row>
    <row r="33" spans="1:16" x14ac:dyDescent="0.25">
      <c r="A33" s="283" t="s">
        <v>550</v>
      </c>
      <c r="B33" s="284">
        <v>58</v>
      </c>
      <c r="C33" s="285">
        <v>58</v>
      </c>
      <c r="D33" s="286">
        <v>51</v>
      </c>
      <c r="E33" s="286">
        <v>41</v>
      </c>
      <c r="F33" s="286">
        <v>42</v>
      </c>
      <c r="G33" s="287">
        <v>48</v>
      </c>
      <c r="H33" s="284">
        <v>35</v>
      </c>
      <c r="I33" s="288">
        <v>24</v>
      </c>
    </row>
    <row r="34" spans="1:16" s="275" customFormat="1" x14ac:dyDescent="0.25">
      <c r="A34" s="289" t="s">
        <v>551</v>
      </c>
      <c r="B34" s="290"/>
      <c r="C34" s="291"/>
      <c r="D34" s="292"/>
      <c r="E34" s="292"/>
      <c r="F34" s="292"/>
      <c r="G34" s="293"/>
      <c r="H34" s="290"/>
      <c r="I34" s="294"/>
    </row>
    <row r="35" spans="1:16" s="275" customFormat="1" x14ac:dyDescent="0.25">
      <c r="A35" s="295" t="s">
        <v>552</v>
      </c>
      <c r="B35" s="296">
        <f t="shared" ref="B35:H35" si="0">B36+B37</f>
        <v>31055</v>
      </c>
      <c r="C35" s="297">
        <f t="shared" si="0"/>
        <v>34403</v>
      </c>
      <c r="D35" s="298">
        <f t="shared" si="0"/>
        <v>20602</v>
      </c>
      <c r="E35" s="298">
        <f t="shared" si="0"/>
        <v>27633</v>
      </c>
      <c r="F35" s="298">
        <f t="shared" si="0"/>
        <v>23796</v>
      </c>
      <c r="G35" s="299">
        <f t="shared" si="0"/>
        <v>11816</v>
      </c>
      <c r="H35" s="296">
        <f t="shared" si="0"/>
        <v>16419</v>
      </c>
      <c r="I35" s="300">
        <f>I36+I37</f>
        <v>15338</v>
      </c>
      <c r="P35" s="275" t="s">
        <v>553</v>
      </c>
    </row>
    <row r="36" spans="1:16" x14ac:dyDescent="0.25">
      <c r="A36" s="301" t="s">
        <v>554</v>
      </c>
      <c r="B36" s="284">
        <v>11380</v>
      </c>
      <c r="C36" s="285">
        <v>9120</v>
      </c>
      <c r="D36" s="286">
        <v>2130</v>
      </c>
      <c r="E36" s="286">
        <v>1550</v>
      </c>
      <c r="F36" s="286">
        <v>2600</v>
      </c>
      <c r="G36" s="287">
        <v>1250</v>
      </c>
      <c r="H36" s="284">
        <v>7361</v>
      </c>
      <c r="I36" s="288">
        <f>G13</f>
        <v>7090</v>
      </c>
    </row>
    <row r="37" spans="1:16" x14ac:dyDescent="0.25">
      <c r="A37" s="301" t="s">
        <v>555</v>
      </c>
      <c r="B37" s="284">
        <v>19675</v>
      </c>
      <c r="C37" s="285">
        <v>25283</v>
      </c>
      <c r="D37" s="286">
        <v>18472</v>
      </c>
      <c r="E37" s="286">
        <v>26083</v>
      </c>
      <c r="F37" s="286">
        <v>21196</v>
      </c>
      <c r="G37" s="287">
        <v>10566</v>
      </c>
      <c r="H37" s="284">
        <v>9058</v>
      </c>
      <c r="I37" s="288">
        <f>G20+G21</f>
        <v>8248</v>
      </c>
    </row>
    <row r="38" spans="1:16" s="275" customFormat="1" x14ac:dyDescent="0.25">
      <c r="A38" s="302" t="s">
        <v>556</v>
      </c>
      <c r="B38" s="303">
        <f t="shared" ref="B38:I38" si="1">B39+B40</f>
        <v>46072</v>
      </c>
      <c r="C38" s="304">
        <f t="shared" si="1"/>
        <v>45485</v>
      </c>
      <c r="D38" s="305">
        <f t="shared" si="1"/>
        <v>44336</v>
      </c>
      <c r="E38" s="305">
        <f t="shared" si="1"/>
        <v>35148</v>
      </c>
      <c r="F38" s="305">
        <f t="shared" si="1"/>
        <v>33456</v>
      </c>
      <c r="G38" s="306">
        <f t="shared" si="1"/>
        <v>29061</v>
      </c>
      <c r="H38" s="303">
        <f t="shared" si="1"/>
        <v>29591</v>
      </c>
      <c r="I38" s="307">
        <f t="shared" si="1"/>
        <v>20161</v>
      </c>
    </row>
    <row r="39" spans="1:16" x14ac:dyDescent="0.25">
      <c r="A39" s="301" t="s">
        <v>557</v>
      </c>
      <c r="B39" s="284">
        <v>41495</v>
      </c>
      <c r="C39" s="285">
        <v>41183</v>
      </c>
      <c r="D39" s="286">
        <v>40378</v>
      </c>
      <c r="E39" s="286">
        <v>32026</v>
      </c>
      <c r="F39" s="286">
        <v>30424</v>
      </c>
      <c r="G39" s="287">
        <v>26558</v>
      </c>
      <c r="H39" s="284">
        <v>27392</v>
      </c>
      <c r="I39" s="288">
        <f>G6</f>
        <v>18489</v>
      </c>
    </row>
    <row r="40" spans="1:16" ht="17.25" thickBot="1" x14ac:dyDescent="0.3">
      <c r="A40" s="308" t="s">
        <v>558</v>
      </c>
      <c r="B40" s="309">
        <v>4577</v>
      </c>
      <c r="C40" s="310">
        <v>4302</v>
      </c>
      <c r="D40" s="311">
        <v>3958</v>
      </c>
      <c r="E40" s="311">
        <v>3122</v>
      </c>
      <c r="F40" s="311">
        <v>3032</v>
      </c>
      <c r="G40" s="312">
        <v>2503</v>
      </c>
      <c r="H40" s="309">
        <v>2199</v>
      </c>
      <c r="I40" s="313">
        <f>G7</f>
        <v>1672</v>
      </c>
    </row>
    <row r="41" spans="1:16" x14ac:dyDescent="0.25">
      <c r="A41" s="314"/>
      <c r="B41" s="314"/>
      <c r="C41" s="314"/>
      <c r="D41" s="314"/>
      <c r="E41" s="314"/>
      <c r="F41" s="314"/>
      <c r="G41" s="314"/>
      <c r="H41" s="314"/>
      <c r="I41" s="314"/>
    </row>
    <row r="43" spans="1:16" x14ac:dyDescent="0.25">
      <c r="A43" s="227"/>
      <c r="B43" s="227"/>
      <c r="C43" s="227"/>
      <c r="D43" s="227"/>
      <c r="E43" s="227"/>
      <c r="F43" s="227"/>
      <c r="G43" s="227"/>
      <c r="H43" s="227"/>
      <c r="I43" s="227"/>
    </row>
  </sheetData>
  <mergeCells count="1">
    <mergeCell ref="A27:I27"/>
  </mergeCells>
  <pageMargins left="0.78740157499999996" right="0.78740157499999996" top="0.984251969" bottom="0.984251969" header="0.4921259845" footer="0.4921259845"/>
  <pageSetup paperSize="9" scale="6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Normal="100" workbookViewId="0">
      <selection activeCell="B1" sqref="B1"/>
    </sheetView>
  </sheetViews>
  <sheetFormatPr defaultRowHeight="12.75" x14ac:dyDescent="0.2"/>
  <cols>
    <col min="1" max="1" width="1.140625" customWidth="1"/>
    <col min="2" max="2" width="57.85546875" style="315" customWidth="1"/>
    <col min="3" max="3" width="11.140625" style="316" customWidth="1"/>
    <col min="4" max="4" width="11.42578125" style="317" customWidth="1"/>
    <col min="5" max="5" width="10.42578125" style="317" customWidth="1"/>
    <col min="6" max="6" width="10.28515625" style="317" customWidth="1"/>
    <col min="7" max="7" width="10.5703125" style="317" customWidth="1"/>
    <col min="8" max="8" width="10.28515625" style="317" customWidth="1"/>
  </cols>
  <sheetData>
    <row r="1" spans="2:9" ht="13.5" thickBot="1" x14ac:dyDescent="0.25">
      <c r="H1" s="318" t="s">
        <v>0</v>
      </c>
    </row>
    <row r="2" spans="2:9" ht="21.75" thickBot="1" x14ac:dyDescent="0.25">
      <c r="B2" s="319" t="s">
        <v>559</v>
      </c>
      <c r="C2" s="320" t="s">
        <v>2</v>
      </c>
      <c r="D2" s="320" t="s">
        <v>560</v>
      </c>
      <c r="E2" s="321" t="s">
        <v>561</v>
      </c>
      <c r="F2" s="322" t="s">
        <v>562</v>
      </c>
      <c r="G2" s="323" t="s">
        <v>527</v>
      </c>
      <c r="H2" s="324"/>
    </row>
    <row r="3" spans="2:9" ht="13.5" thickBot="1" x14ac:dyDescent="0.25">
      <c r="B3" s="325"/>
      <c r="C3" s="326">
        <v>2014</v>
      </c>
      <c r="D3" s="326" t="s">
        <v>529</v>
      </c>
      <c r="E3" s="327" t="s">
        <v>529</v>
      </c>
      <c r="F3" s="326" t="s">
        <v>529</v>
      </c>
      <c r="G3" s="328" t="s">
        <v>563</v>
      </c>
      <c r="H3" s="329" t="s">
        <v>530</v>
      </c>
    </row>
    <row r="4" spans="2:9" ht="13.5" thickBot="1" x14ac:dyDescent="0.25">
      <c r="B4" s="330" t="s">
        <v>3</v>
      </c>
      <c r="C4" s="331">
        <f>SUM(C5:C17)</f>
        <v>1932068</v>
      </c>
      <c r="D4" s="331">
        <f t="shared" ref="D4:F4" si="0">SUM(D5:D17)</f>
        <v>2307928.3342300002</v>
      </c>
      <c r="E4" s="331">
        <f t="shared" si="0"/>
        <v>2528027.4568299996</v>
      </c>
      <c r="F4" s="331">
        <f t="shared" si="0"/>
        <v>2715034.2504499997</v>
      </c>
      <c r="G4" s="331">
        <f>SUM(G5:G17)</f>
        <v>2482372.9575999998</v>
      </c>
      <c r="H4" s="332">
        <f>SUM(H5:H17)</f>
        <v>2669379</v>
      </c>
    </row>
    <row r="5" spans="2:9" x14ac:dyDescent="0.2">
      <c r="B5" s="333" t="s">
        <v>7</v>
      </c>
      <c r="C5" s="334">
        <f>1602742000/1000</f>
        <v>1602742</v>
      </c>
      <c r="D5" s="334">
        <f>1915020520.24/1000</f>
        <v>1915020.52024</v>
      </c>
      <c r="E5" s="334">
        <f>1915020520.24/1000</f>
        <v>1915020.52024</v>
      </c>
      <c r="F5" s="335">
        <f>1946425271.46/1000</f>
        <v>1946425.27146</v>
      </c>
      <c r="G5" s="334">
        <f>1915021000/1000</f>
        <v>1915021</v>
      </c>
      <c r="H5" s="335">
        <f>1946425000/1000</f>
        <v>1946425</v>
      </c>
      <c r="I5" s="336"/>
    </row>
    <row r="6" spans="2:9" x14ac:dyDescent="0.2">
      <c r="B6" s="333" t="s">
        <v>564</v>
      </c>
      <c r="C6" s="337"/>
      <c r="D6" s="334">
        <f>-64251139.2/1000</f>
        <v>-64251.139200000005</v>
      </c>
      <c r="E6" s="334">
        <f>-64251139.2/1000</f>
        <v>-64251.139200000005</v>
      </c>
      <c r="F6" s="334">
        <f>-64251139.2/1000</f>
        <v>-64251.139200000005</v>
      </c>
      <c r="G6" s="334">
        <f>-64251000/1000</f>
        <v>-64251</v>
      </c>
      <c r="H6" s="334">
        <f>-64251000/1000</f>
        <v>-64251</v>
      </c>
    </row>
    <row r="7" spans="2:9" ht="12.75" customHeight="1" x14ac:dyDescent="0.2">
      <c r="B7" s="338" t="s">
        <v>565</v>
      </c>
      <c r="C7" s="339"/>
      <c r="D7" s="340">
        <f>83047269.69/1000</f>
        <v>83047.269690000001</v>
      </c>
      <c r="E7" s="340">
        <f>83047269.69/1000</f>
        <v>83047.269690000001</v>
      </c>
      <c r="F7" s="340">
        <f>83047269.69/1000</f>
        <v>83047.269690000001</v>
      </c>
      <c r="G7" s="340">
        <f>83047000/1000</f>
        <v>83047</v>
      </c>
      <c r="H7" s="340">
        <f>83047000/1000</f>
        <v>83047</v>
      </c>
      <c r="I7" s="341"/>
    </row>
    <row r="8" spans="2:9" x14ac:dyDescent="0.2">
      <c r="B8" s="342" t="s">
        <v>566</v>
      </c>
      <c r="C8" s="339"/>
      <c r="D8" s="334">
        <f>870683.5/1000</f>
        <v>870.68349999999998</v>
      </c>
      <c r="E8" s="334">
        <f>870683.5/1000</f>
        <v>870.68349999999998</v>
      </c>
      <c r="F8" s="334">
        <f>870683.5/1000</f>
        <v>870.68349999999998</v>
      </c>
      <c r="G8" s="334">
        <f>871000/1000</f>
        <v>871</v>
      </c>
      <c r="H8" s="334">
        <f>871000/1000</f>
        <v>871</v>
      </c>
      <c r="I8" s="341"/>
    </row>
    <row r="9" spans="2:9" x14ac:dyDescent="0.2">
      <c r="B9" s="338" t="s">
        <v>567</v>
      </c>
      <c r="C9" s="334">
        <f>-120000000/1000</f>
        <v>-120000</v>
      </c>
      <c r="D9" s="334">
        <f>-80000000/1000</f>
        <v>-80000</v>
      </c>
      <c r="E9" s="334"/>
      <c r="F9" s="334"/>
      <c r="G9" s="334"/>
      <c r="H9" s="334"/>
    </row>
    <row r="10" spans="2:9" ht="15" customHeight="1" x14ac:dyDescent="0.2">
      <c r="B10" s="343" t="s">
        <v>568</v>
      </c>
      <c r="C10" s="334">
        <f>-165049000/1000</f>
        <v>-165049</v>
      </c>
      <c r="D10" s="334">
        <f>-165049000/1000</f>
        <v>-165049</v>
      </c>
      <c r="E10" s="334">
        <f>-165049000/1000</f>
        <v>-165049</v>
      </c>
      <c r="F10" s="334"/>
      <c r="G10" s="334">
        <f>-165049000/1000</f>
        <v>-165049</v>
      </c>
      <c r="H10" s="335"/>
    </row>
    <row r="11" spans="2:9" x14ac:dyDescent="0.2">
      <c r="B11" s="333" t="s">
        <v>569</v>
      </c>
      <c r="C11" s="334">
        <f>600000000/1000</f>
        <v>600000</v>
      </c>
      <c r="D11" s="334">
        <f>600000000/1000</f>
        <v>600000</v>
      </c>
      <c r="E11" s="334">
        <f>738070339/1000</f>
        <v>738070.33900000004</v>
      </c>
      <c r="F11" s="334">
        <f>738070339/1000</f>
        <v>738070.33900000004</v>
      </c>
      <c r="G11" s="334">
        <f>693122000/1000</f>
        <v>693122</v>
      </c>
      <c r="H11" s="334">
        <f>693122000/1000</f>
        <v>693122</v>
      </c>
    </row>
    <row r="12" spans="2:9" x14ac:dyDescent="0.2">
      <c r="B12" s="333" t="s">
        <v>570</v>
      </c>
      <c r="C12" s="334"/>
      <c r="D12" s="334"/>
      <c r="E12" s="334">
        <f>386994/1000</f>
        <v>386.99400000000003</v>
      </c>
      <c r="F12" s="334">
        <f>386994/1000</f>
        <v>386.99400000000003</v>
      </c>
      <c r="G12" s="334"/>
      <c r="H12" s="334"/>
    </row>
    <row r="13" spans="2:9" x14ac:dyDescent="0.2">
      <c r="B13" s="333" t="s">
        <v>571</v>
      </c>
      <c r="C13" s="334">
        <f>128000/1000</f>
        <v>128</v>
      </c>
      <c r="D13" s="334">
        <f>128000/1000</f>
        <v>128</v>
      </c>
      <c r="E13" s="334">
        <f>132743/1000</f>
        <v>132.74299999999999</v>
      </c>
      <c r="F13" s="334">
        <f>132743/1000</f>
        <v>132.74299999999999</v>
      </c>
      <c r="G13" s="334">
        <f>129000/1000</f>
        <v>129</v>
      </c>
      <c r="H13" s="334">
        <f>129000/1000</f>
        <v>129</v>
      </c>
    </row>
    <row r="14" spans="2:9" x14ac:dyDescent="0.2">
      <c r="B14" s="333" t="s">
        <v>572</v>
      </c>
      <c r="C14" s="334">
        <f>4800000/1000</f>
        <v>4800</v>
      </c>
      <c r="D14" s="334">
        <f>4800000/1000</f>
        <v>4800</v>
      </c>
      <c r="E14" s="334">
        <f>4847089/1000</f>
        <v>4847.0889999999999</v>
      </c>
      <c r="F14" s="334">
        <f>4847089/1000</f>
        <v>4847.0889999999999</v>
      </c>
      <c r="G14" s="334">
        <f>4531000/1000</f>
        <v>4531</v>
      </c>
      <c r="H14" s="334">
        <f>4531000/1000</f>
        <v>4531</v>
      </c>
    </row>
    <row r="15" spans="2:9" x14ac:dyDescent="0.2">
      <c r="B15" s="333" t="s">
        <v>573</v>
      </c>
      <c r="C15" s="334"/>
      <c r="D15" s="334"/>
      <c r="E15" s="334">
        <f t="shared" ref="E15:G15" si="1">1590000/1000</f>
        <v>1590</v>
      </c>
      <c r="F15" s="334">
        <f t="shared" si="1"/>
        <v>1590</v>
      </c>
      <c r="G15" s="334">
        <f t="shared" si="1"/>
        <v>1590</v>
      </c>
      <c r="H15" s="334">
        <f>1590000/1000</f>
        <v>1590</v>
      </c>
    </row>
    <row r="16" spans="2:9" x14ac:dyDescent="0.2">
      <c r="B16" s="333" t="s">
        <v>574</v>
      </c>
      <c r="C16" s="334">
        <f>9447000/1000</f>
        <v>9447</v>
      </c>
      <c r="D16" s="334">
        <f>9447000/1000</f>
        <v>9447</v>
      </c>
      <c r="E16" s="334">
        <f>9446957.6/1000</f>
        <v>9446.9575999999997</v>
      </c>
      <c r="F16" s="334"/>
      <c r="G16" s="334">
        <f>9446957.6/1000</f>
        <v>9446.9575999999997</v>
      </c>
      <c r="H16" s="335"/>
    </row>
    <row r="17" spans="1:8" s="344" customFormat="1" ht="13.5" thickBot="1" x14ac:dyDescent="0.25">
      <c r="B17" s="333" t="s">
        <v>575</v>
      </c>
      <c r="C17" s="334"/>
      <c r="D17" s="335">
        <f t="shared" ref="D17:G17" si="2">3915000/1000</f>
        <v>3915</v>
      </c>
      <c r="E17" s="335">
        <f t="shared" si="2"/>
        <v>3915</v>
      </c>
      <c r="F17" s="335">
        <f t="shared" si="2"/>
        <v>3915</v>
      </c>
      <c r="G17" s="335">
        <f t="shared" si="2"/>
        <v>3915</v>
      </c>
      <c r="H17" s="335">
        <f>3915000/1000</f>
        <v>3915</v>
      </c>
    </row>
    <row r="18" spans="1:8" ht="16.5" customHeight="1" thickBot="1" x14ac:dyDescent="0.25">
      <c r="B18" s="330" t="s">
        <v>4</v>
      </c>
      <c r="C18" s="345">
        <f>C20+C44</f>
        <v>771731</v>
      </c>
      <c r="D18" s="345">
        <f t="shared" ref="D18:H18" si="3">D20+D44</f>
        <v>637679</v>
      </c>
      <c r="E18" s="345">
        <f t="shared" si="3"/>
        <v>575948.25178000005</v>
      </c>
      <c r="F18" s="345">
        <f t="shared" si="3"/>
        <v>571048.25178000005</v>
      </c>
      <c r="G18" s="345">
        <f>G20+G44</f>
        <v>528681.59400000004</v>
      </c>
      <c r="H18" s="346">
        <f t="shared" si="3"/>
        <v>523781.59399999998</v>
      </c>
    </row>
    <row r="19" spans="1:8" x14ac:dyDescent="0.2">
      <c r="B19" s="347"/>
      <c r="C19" s="348"/>
      <c r="D19" s="348"/>
      <c r="E19" s="348"/>
      <c r="F19" s="348"/>
      <c r="G19" s="348"/>
      <c r="H19" s="349"/>
    </row>
    <row r="20" spans="1:8" ht="11.25" customHeight="1" x14ac:dyDescent="0.2">
      <c r="B20" s="350" t="s">
        <v>536</v>
      </c>
      <c r="C20" s="351">
        <f t="shared" ref="C20:H20" si="4">SUM(C21:C43)</f>
        <v>456661</v>
      </c>
      <c r="D20" s="351">
        <f t="shared" si="4"/>
        <v>296671</v>
      </c>
      <c r="E20" s="351">
        <f>SUM(E21:E43)</f>
        <v>277253.42164999997</v>
      </c>
      <c r="F20" s="351">
        <f t="shared" si="4"/>
        <v>272353.42164999997</v>
      </c>
      <c r="G20" s="351">
        <f t="shared" si="4"/>
        <v>260534</v>
      </c>
      <c r="H20" s="352">
        <f t="shared" si="4"/>
        <v>255634</v>
      </c>
    </row>
    <row r="21" spans="1:8" x14ac:dyDescent="0.2">
      <c r="B21" s="353" t="s">
        <v>576</v>
      </c>
      <c r="C21" s="340">
        <f>162250000/1000</f>
        <v>162250</v>
      </c>
      <c r="D21" s="340">
        <f>2593000/1000</f>
        <v>2593</v>
      </c>
      <c r="E21" s="340"/>
      <c r="F21" s="340"/>
      <c r="G21" s="354"/>
      <c r="H21" s="354"/>
    </row>
    <row r="22" spans="1:8" x14ac:dyDescent="0.2">
      <c r="B22" s="355" t="s">
        <v>577</v>
      </c>
      <c r="C22" s="340">
        <f>29500000/1000</f>
        <v>29500</v>
      </c>
      <c r="D22" s="340">
        <f>15500000/1000</f>
        <v>15500</v>
      </c>
      <c r="E22" s="340">
        <f>13120087.19/1000</f>
        <v>13120.08719</v>
      </c>
      <c r="F22" s="340">
        <f>13120087.19/1000</f>
        <v>13120.08719</v>
      </c>
      <c r="G22" s="340">
        <f>13120000/1000</f>
        <v>13120</v>
      </c>
      <c r="H22" s="340">
        <f>13120000/1000</f>
        <v>13120</v>
      </c>
    </row>
    <row r="23" spans="1:8" x14ac:dyDescent="0.2">
      <c r="B23" s="355" t="s">
        <v>578</v>
      </c>
      <c r="C23" s="340">
        <f>29501000/1000</f>
        <v>29501</v>
      </c>
      <c r="D23" s="340">
        <f>100000/1000</f>
        <v>100</v>
      </c>
      <c r="E23" s="340">
        <f>86636/1000</f>
        <v>86.635999999999996</v>
      </c>
      <c r="F23" s="340">
        <f>86636/1000</f>
        <v>86.635999999999996</v>
      </c>
      <c r="G23" s="340">
        <f>70000/1000</f>
        <v>70</v>
      </c>
      <c r="H23" s="340">
        <f>70000/1000</f>
        <v>70</v>
      </c>
    </row>
    <row r="24" spans="1:8" x14ac:dyDescent="0.2">
      <c r="B24" s="355" t="s">
        <v>579</v>
      </c>
      <c r="C24" s="340">
        <f>50000000/1000</f>
        <v>50000</v>
      </c>
      <c r="D24" s="340">
        <f>2000000/1000</f>
        <v>2000</v>
      </c>
      <c r="E24" s="340">
        <f>774051.6/1000</f>
        <v>774.05160000000001</v>
      </c>
      <c r="F24" s="340">
        <f>774051.6/1000</f>
        <v>774.05160000000001</v>
      </c>
      <c r="G24" s="340">
        <f>774000/1000</f>
        <v>774</v>
      </c>
      <c r="H24" s="340">
        <f>774000/1000</f>
        <v>774</v>
      </c>
    </row>
    <row r="25" spans="1:8" x14ac:dyDescent="0.2">
      <c r="B25" s="355" t="s">
        <v>580</v>
      </c>
      <c r="C25" s="340">
        <f>700000/1000</f>
        <v>700</v>
      </c>
      <c r="D25" s="340"/>
      <c r="E25" s="340"/>
      <c r="F25" s="340"/>
      <c r="G25" s="354"/>
      <c r="H25" s="354"/>
    </row>
    <row r="26" spans="1:8" x14ac:dyDescent="0.2">
      <c r="B26" s="355" t="s">
        <v>581</v>
      </c>
      <c r="C26" s="340"/>
      <c r="D26" s="340">
        <f>200000/1000</f>
        <v>200</v>
      </c>
      <c r="E26" s="340">
        <f>24200/1000</f>
        <v>24.2</v>
      </c>
      <c r="F26" s="340">
        <f>24200/1000</f>
        <v>24.2</v>
      </c>
      <c r="G26" s="354"/>
      <c r="H26" s="354"/>
    </row>
    <row r="27" spans="1:8" x14ac:dyDescent="0.2">
      <c r="A27" t="s">
        <v>582</v>
      </c>
      <c r="B27" s="355" t="s">
        <v>583</v>
      </c>
      <c r="C27" s="340"/>
      <c r="D27" s="340">
        <f>200000/1000</f>
        <v>200</v>
      </c>
      <c r="E27" s="340">
        <f>68365/1000</f>
        <v>68.364999999999995</v>
      </c>
      <c r="F27" s="340">
        <f>68365/1000</f>
        <v>68.364999999999995</v>
      </c>
      <c r="G27" s="340">
        <f>68000/1000</f>
        <v>68</v>
      </c>
      <c r="H27" s="340">
        <f>68000/1000</f>
        <v>68</v>
      </c>
    </row>
    <row r="28" spans="1:8" x14ac:dyDescent="0.2">
      <c r="B28" s="355" t="s">
        <v>584</v>
      </c>
      <c r="C28" s="340">
        <f>10000000/1000</f>
        <v>10000</v>
      </c>
      <c r="D28" s="340">
        <f>500000/1000</f>
        <v>500</v>
      </c>
      <c r="E28" s="340">
        <f>278300/1000</f>
        <v>278.3</v>
      </c>
      <c r="F28" s="340">
        <f>278300/1000</f>
        <v>278.3</v>
      </c>
      <c r="G28" s="340">
        <f>278000/1000</f>
        <v>278</v>
      </c>
      <c r="H28" s="340">
        <f>278000/1000</f>
        <v>278</v>
      </c>
    </row>
    <row r="29" spans="1:8" x14ac:dyDescent="0.2">
      <c r="B29" s="355" t="s">
        <v>585</v>
      </c>
      <c r="C29" s="340">
        <f>6100000/1000</f>
        <v>6100</v>
      </c>
      <c r="D29" s="340">
        <f>4500000/1000</f>
        <v>4500</v>
      </c>
      <c r="E29" s="340">
        <f>3636755.56/1000</f>
        <v>3636.7555600000001</v>
      </c>
      <c r="F29" s="340">
        <f>3636755.56/1000</f>
        <v>3636.7555600000001</v>
      </c>
      <c r="G29" s="340">
        <f>2567000/1000</f>
        <v>2567</v>
      </c>
      <c r="H29" s="340">
        <f>2567000/1000</f>
        <v>2567</v>
      </c>
    </row>
    <row r="30" spans="1:8" x14ac:dyDescent="0.2">
      <c r="B30" s="355" t="s">
        <v>586</v>
      </c>
      <c r="C30" s="340">
        <f>1000000/1000</f>
        <v>1000</v>
      </c>
      <c r="D30" s="340">
        <f>320000/1000</f>
        <v>320</v>
      </c>
      <c r="E30" s="340">
        <f>138032.2/1000</f>
        <v>138.03220000000002</v>
      </c>
      <c r="F30" s="340">
        <f>138032.2/1000</f>
        <v>138.03220000000002</v>
      </c>
      <c r="G30" s="340">
        <f>138000/1000</f>
        <v>138</v>
      </c>
      <c r="H30" s="340">
        <f>138000/1000</f>
        <v>138</v>
      </c>
    </row>
    <row r="31" spans="1:8" x14ac:dyDescent="0.2">
      <c r="B31" s="355" t="s">
        <v>587</v>
      </c>
      <c r="C31" s="340">
        <f>20410000/1000</f>
        <v>20410</v>
      </c>
      <c r="D31" s="340">
        <f>400000/1000</f>
        <v>400</v>
      </c>
      <c r="E31" s="340">
        <f>356950/1000</f>
        <v>356.95</v>
      </c>
      <c r="F31" s="340">
        <f>356950/1000</f>
        <v>356.95</v>
      </c>
      <c r="G31" s="354"/>
      <c r="H31" s="354"/>
    </row>
    <row r="32" spans="1:8" x14ac:dyDescent="0.2">
      <c r="B32" s="355" t="s">
        <v>588</v>
      </c>
      <c r="C32" s="340">
        <f>7700000/1000</f>
        <v>7700</v>
      </c>
      <c r="D32" s="340">
        <f>1000/1000</f>
        <v>1</v>
      </c>
      <c r="E32" s="340">
        <f>508.2/1000</f>
        <v>0.50819999999999999</v>
      </c>
      <c r="F32" s="340">
        <f>508.2/1000</f>
        <v>0.50819999999999999</v>
      </c>
      <c r="G32" s="354"/>
      <c r="H32" s="354"/>
    </row>
    <row r="33" spans="2:9" x14ac:dyDescent="0.2">
      <c r="B33" s="355" t="s">
        <v>589</v>
      </c>
      <c r="C33" s="340">
        <f>54750000/1000</f>
        <v>54750</v>
      </c>
      <c r="D33" s="340">
        <f>54750000/1000</f>
        <v>54750</v>
      </c>
      <c r="E33" s="340">
        <f>54750000/1000</f>
        <v>54750</v>
      </c>
      <c r="F33" s="340">
        <f>54750000/1000</f>
        <v>54750</v>
      </c>
      <c r="G33" s="340">
        <f t="shared" ref="G33:H33" si="5">54750000/1000</f>
        <v>54750</v>
      </c>
      <c r="H33" s="340">
        <f t="shared" si="5"/>
        <v>54750</v>
      </c>
    </row>
    <row r="34" spans="2:9" x14ac:dyDescent="0.2">
      <c r="B34" s="355" t="s">
        <v>590</v>
      </c>
      <c r="C34" s="340">
        <f>20000000/1000</f>
        <v>20000</v>
      </c>
      <c r="D34" s="340">
        <f>20000000/1000</f>
        <v>20000</v>
      </c>
      <c r="E34" s="340">
        <f>17000055.9/1000</f>
        <v>17000.055899999999</v>
      </c>
      <c r="F34" s="340">
        <f>17000055.9/1000</f>
        <v>17000.055899999999</v>
      </c>
      <c r="G34" s="340">
        <f>16966000/1000</f>
        <v>16966</v>
      </c>
      <c r="H34" s="340">
        <f>16966000/1000</f>
        <v>16966</v>
      </c>
    </row>
    <row r="35" spans="2:9" x14ac:dyDescent="0.2">
      <c r="B35" s="355" t="s">
        <v>591</v>
      </c>
      <c r="C35" s="340">
        <f>9750000/1000</f>
        <v>9750</v>
      </c>
      <c r="D35" s="340">
        <f>9750000/1000</f>
        <v>9750</v>
      </c>
      <c r="E35" s="340">
        <f>9750000/1000</f>
        <v>9750</v>
      </c>
      <c r="F35" s="340">
        <f>9750000/1000</f>
        <v>9750</v>
      </c>
      <c r="G35" s="340">
        <f t="shared" ref="G35:H35" si="6">9750000/1000</f>
        <v>9750</v>
      </c>
      <c r="H35" s="340">
        <f t="shared" si="6"/>
        <v>9750</v>
      </c>
    </row>
    <row r="36" spans="2:9" x14ac:dyDescent="0.2">
      <c r="B36" s="355" t="s">
        <v>592</v>
      </c>
      <c r="C36" s="340">
        <f>5000000/1000</f>
        <v>5000</v>
      </c>
      <c r="D36" s="340"/>
      <c r="E36" s="340"/>
      <c r="F36" s="340"/>
      <c r="G36" s="354"/>
      <c r="H36" s="354"/>
    </row>
    <row r="37" spans="2:9" x14ac:dyDescent="0.2">
      <c r="B37" s="355" t="s">
        <v>593</v>
      </c>
      <c r="C37" s="340">
        <f>20000000/1000</f>
        <v>20000</v>
      </c>
      <c r="D37" s="340">
        <f>8587000/1000</f>
        <v>8587</v>
      </c>
      <c r="E37" s="340"/>
      <c r="F37" s="340"/>
      <c r="G37" s="354"/>
      <c r="H37" s="354"/>
    </row>
    <row r="38" spans="2:9" x14ac:dyDescent="0.2">
      <c r="B38" s="355" t="s">
        <v>594</v>
      </c>
      <c r="C38" s="340"/>
      <c r="D38" s="340">
        <f>2854000/1000</f>
        <v>2854</v>
      </c>
      <c r="E38" s="340">
        <f>2853480/1000</f>
        <v>2853.48</v>
      </c>
      <c r="F38" s="340">
        <f>2853480/1000</f>
        <v>2853.48</v>
      </c>
      <c r="G38" s="340">
        <f>2853000/1000</f>
        <v>2853</v>
      </c>
      <c r="H38" s="340">
        <f>2853000/1000</f>
        <v>2853</v>
      </c>
    </row>
    <row r="39" spans="2:9" x14ac:dyDescent="0.2">
      <c r="B39" s="355" t="s">
        <v>595</v>
      </c>
      <c r="C39" s="340">
        <f>30000000/1000</f>
        <v>30000</v>
      </c>
      <c r="D39" s="340"/>
      <c r="E39" s="340"/>
      <c r="F39" s="340"/>
      <c r="G39" s="354"/>
      <c r="H39" s="354"/>
    </row>
    <row r="40" spans="2:9" x14ac:dyDescent="0.2">
      <c r="B40" s="355" t="s">
        <v>596</v>
      </c>
      <c r="C40" s="340"/>
      <c r="D40" s="340">
        <f>4900000/1000</f>
        <v>4900</v>
      </c>
      <c r="E40" s="340">
        <f>4900000/1000</f>
        <v>4900</v>
      </c>
      <c r="F40" s="340"/>
      <c r="G40" s="340">
        <f>4900000/1000</f>
        <v>4900</v>
      </c>
      <c r="H40" s="340"/>
      <c r="I40" s="356"/>
    </row>
    <row r="41" spans="2:9" x14ac:dyDescent="0.2">
      <c r="B41" s="357" t="s">
        <v>597</v>
      </c>
      <c r="C41" s="340"/>
      <c r="D41" s="340">
        <f>144903000/1000</f>
        <v>144903</v>
      </c>
      <c r="E41" s="340">
        <f>144903000/1000</f>
        <v>144903</v>
      </c>
      <c r="F41" s="340">
        <f>144903000/1000</f>
        <v>144903</v>
      </c>
      <c r="G41" s="340">
        <f>129687000/1000</f>
        <v>129687</v>
      </c>
      <c r="H41" s="340">
        <f>129687000/1000</f>
        <v>129687</v>
      </c>
    </row>
    <row r="42" spans="2:9" x14ac:dyDescent="0.2">
      <c r="B42" s="357" t="s">
        <v>598</v>
      </c>
      <c r="C42" s="340"/>
      <c r="D42" s="340">
        <f>24613000/1000</f>
        <v>24613</v>
      </c>
      <c r="E42" s="340">
        <f>24613000/1000</f>
        <v>24613</v>
      </c>
      <c r="F42" s="340">
        <f>24613000/1000</f>
        <v>24613</v>
      </c>
      <c r="G42" s="340">
        <f t="shared" ref="G42:H42" si="7">24613000/1000</f>
        <v>24613</v>
      </c>
      <c r="H42" s="340">
        <f t="shared" si="7"/>
        <v>24613</v>
      </c>
    </row>
    <row r="43" spans="2:9" x14ac:dyDescent="0.2">
      <c r="B43" s="358"/>
      <c r="C43" s="340"/>
      <c r="D43" s="340"/>
      <c r="E43" s="340"/>
      <c r="F43" s="340"/>
      <c r="G43" s="354"/>
      <c r="H43" s="354"/>
    </row>
    <row r="44" spans="2:9" x14ac:dyDescent="0.2">
      <c r="B44" s="359" t="s">
        <v>539</v>
      </c>
      <c r="C44" s="351">
        <f>SUM(C45:C63)</f>
        <v>315070</v>
      </c>
      <c r="D44" s="351">
        <f t="shared" ref="D44" si="8">SUM(D45:D63)</f>
        <v>341008</v>
      </c>
      <c r="E44" s="351">
        <f>SUM(E45:E63)</f>
        <v>298694.83013000002</v>
      </c>
      <c r="F44" s="351">
        <f>SUM(F45:F63)</f>
        <v>298694.83013000002</v>
      </c>
      <c r="G44" s="352">
        <f t="shared" ref="G44" si="9">SUM(G45:G63)</f>
        <v>268147.59399999998</v>
      </c>
      <c r="H44" s="352">
        <f>SUM(H45:H63)</f>
        <v>268147.59399999998</v>
      </c>
    </row>
    <row r="45" spans="2:9" x14ac:dyDescent="0.2">
      <c r="B45" s="360" t="s">
        <v>599</v>
      </c>
      <c r="C45" s="340">
        <f>3000000/1000</f>
        <v>3000</v>
      </c>
      <c r="D45" s="340">
        <f>3000000/1000</f>
        <v>3000</v>
      </c>
      <c r="E45" s="340">
        <f>2850274/1000</f>
        <v>2850.2739999999999</v>
      </c>
      <c r="F45" s="340">
        <f>2850274/1000</f>
        <v>2850.2739999999999</v>
      </c>
      <c r="G45" s="340">
        <f>2126000/1000</f>
        <v>2126</v>
      </c>
      <c r="H45" s="340">
        <f>2126000/1000</f>
        <v>2126</v>
      </c>
    </row>
    <row r="46" spans="2:9" x14ac:dyDescent="0.2">
      <c r="B46" s="360" t="s">
        <v>600</v>
      </c>
      <c r="C46" s="340">
        <f>40000000/1000</f>
        <v>40000</v>
      </c>
      <c r="D46" s="340">
        <f>10000000/1000</f>
        <v>10000</v>
      </c>
      <c r="E46" s="340">
        <f>710351/1000</f>
        <v>710.351</v>
      </c>
      <c r="F46" s="340">
        <f>710351/1000</f>
        <v>710.351</v>
      </c>
      <c r="G46" s="340">
        <f>532000/1000</f>
        <v>532</v>
      </c>
      <c r="H46" s="340">
        <f>532000/1000</f>
        <v>532</v>
      </c>
    </row>
    <row r="47" spans="2:9" x14ac:dyDescent="0.2">
      <c r="B47" s="360" t="s">
        <v>601</v>
      </c>
      <c r="C47" s="340">
        <f>219000000/1000</f>
        <v>219000</v>
      </c>
      <c r="D47" s="340">
        <f>219000000/1000</f>
        <v>219000</v>
      </c>
      <c r="E47" s="340">
        <f>196362639/1000</f>
        <v>196362.639</v>
      </c>
      <c r="F47" s="340">
        <f>196362639/1000</f>
        <v>196362.639</v>
      </c>
      <c r="G47" s="340">
        <f>174538000/1000</f>
        <v>174538</v>
      </c>
      <c r="H47" s="340">
        <f>174538000/1000</f>
        <v>174538</v>
      </c>
    </row>
    <row r="48" spans="2:9" x14ac:dyDescent="0.2">
      <c r="B48" s="360" t="s">
        <v>602</v>
      </c>
      <c r="C48" s="340">
        <f>8000000/1000</f>
        <v>8000</v>
      </c>
      <c r="D48" s="340">
        <f>1000000/1000</f>
        <v>1000</v>
      </c>
      <c r="E48" s="340"/>
      <c r="F48" s="340"/>
      <c r="G48" s="340"/>
      <c r="H48" s="340"/>
    </row>
    <row r="49" spans="2:12" x14ac:dyDescent="0.2">
      <c r="B49" s="333" t="s">
        <v>603</v>
      </c>
      <c r="C49" s="340">
        <f>5000000/1000</f>
        <v>5000</v>
      </c>
      <c r="D49" s="340">
        <f>4050000/1000</f>
        <v>4050</v>
      </c>
      <c r="E49" s="340">
        <f>1758396.8/1000</f>
        <v>1758.3968</v>
      </c>
      <c r="F49" s="340">
        <f>1758396.8/1000</f>
        <v>1758.3968</v>
      </c>
      <c r="G49" s="340">
        <f>1491000/1000</f>
        <v>1491</v>
      </c>
      <c r="H49" s="340">
        <f>1491000/1000</f>
        <v>1491</v>
      </c>
    </row>
    <row r="50" spans="2:12" x14ac:dyDescent="0.2">
      <c r="B50" s="333" t="s">
        <v>604</v>
      </c>
      <c r="C50" s="340">
        <f>3500000/1000</f>
        <v>3500</v>
      </c>
      <c r="D50" s="340">
        <f>3500000/1000</f>
        <v>3500</v>
      </c>
      <c r="E50" s="340">
        <f>1116364/1000</f>
        <v>1116.364</v>
      </c>
      <c r="F50" s="340">
        <f>1116364/1000</f>
        <v>1116.364</v>
      </c>
      <c r="G50" s="340">
        <f>963000/1000</f>
        <v>963</v>
      </c>
      <c r="H50" s="340">
        <f>963000/1000</f>
        <v>963</v>
      </c>
    </row>
    <row r="51" spans="2:12" x14ac:dyDescent="0.2">
      <c r="B51" s="333" t="s">
        <v>605</v>
      </c>
      <c r="C51" s="340">
        <f>500000/1000</f>
        <v>500</v>
      </c>
      <c r="D51" s="340">
        <f>500000/1000</f>
        <v>500</v>
      </c>
      <c r="E51" s="340">
        <f>282200/1000</f>
        <v>282.2</v>
      </c>
      <c r="F51" s="340">
        <f>282200/1000</f>
        <v>282.2</v>
      </c>
      <c r="G51" s="340">
        <f>246000/1000</f>
        <v>246</v>
      </c>
      <c r="H51" s="340">
        <f>246000/1000</f>
        <v>246</v>
      </c>
      <c r="J51" s="336"/>
    </row>
    <row r="52" spans="2:12" x14ac:dyDescent="0.2">
      <c r="B52" s="333" t="s">
        <v>606</v>
      </c>
      <c r="C52" s="340">
        <f>25000000/1000</f>
        <v>25000</v>
      </c>
      <c r="D52" s="340">
        <f>25948000/1000</f>
        <v>25948</v>
      </c>
      <c r="E52" s="340">
        <f>25940888/1000</f>
        <v>25940.887999999999</v>
      </c>
      <c r="F52" s="340">
        <f>25940888/1000</f>
        <v>25940.887999999999</v>
      </c>
      <c r="G52" s="340">
        <f>25924000/1000</f>
        <v>25924</v>
      </c>
      <c r="H52" s="340">
        <f>25924000/1000</f>
        <v>25924</v>
      </c>
      <c r="K52" s="336"/>
      <c r="L52" s="336"/>
    </row>
    <row r="53" spans="2:12" x14ac:dyDescent="0.2">
      <c r="B53" s="333" t="s">
        <v>607</v>
      </c>
      <c r="C53" s="340">
        <f>50000/1000</f>
        <v>50</v>
      </c>
      <c r="D53" s="340">
        <f>50000/1000</f>
        <v>50</v>
      </c>
      <c r="E53" s="340"/>
      <c r="F53" s="340"/>
      <c r="G53" s="340"/>
      <c r="H53" s="340"/>
    </row>
    <row r="54" spans="2:12" x14ac:dyDescent="0.2">
      <c r="B54" s="333" t="s">
        <v>608</v>
      </c>
      <c r="C54" s="340">
        <f>120000/1000</f>
        <v>120</v>
      </c>
      <c r="D54" s="340">
        <f>120000/1000</f>
        <v>120</v>
      </c>
      <c r="E54" s="340">
        <f>92697/1000</f>
        <v>92.697000000000003</v>
      </c>
      <c r="F54" s="340">
        <f>92697/1000</f>
        <v>92.697000000000003</v>
      </c>
      <c r="G54" s="340">
        <f t="shared" ref="G54:H54" si="10">92697/1000</f>
        <v>92.697000000000003</v>
      </c>
      <c r="H54" s="340">
        <f t="shared" si="10"/>
        <v>92.697000000000003</v>
      </c>
    </row>
    <row r="55" spans="2:12" x14ac:dyDescent="0.2">
      <c r="B55" s="355" t="s">
        <v>609</v>
      </c>
      <c r="C55" s="340">
        <f>50000/1000</f>
        <v>50</v>
      </c>
      <c r="D55" s="340">
        <f>50000/1000</f>
        <v>50</v>
      </c>
      <c r="E55" s="340"/>
      <c r="F55" s="340"/>
      <c r="G55" s="340"/>
      <c r="H55" s="340"/>
    </row>
    <row r="56" spans="2:12" x14ac:dyDescent="0.2">
      <c r="B56" s="333" t="s">
        <v>610</v>
      </c>
      <c r="C56" s="340">
        <f>550000/1000</f>
        <v>550</v>
      </c>
      <c r="D56" s="340">
        <f>550000/1000</f>
        <v>550</v>
      </c>
      <c r="E56" s="340">
        <f>158897/1000</f>
        <v>158.89699999999999</v>
      </c>
      <c r="F56" s="340">
        <f>158897/1000</f>
        <v>158.89699999999999</v>
      </c>
      <c r="G56" s="340">
        <f t="shared" ref="G56:H56" si="11">158897/1000</f>
        <v>158.89699999999999</v>
      </c>
      <c r="H56" s="340">
        <f t="shared" si="11"/>
        <v>158.89699999999999</v>
      </c>
    </row>
    <row r="57" spans="2:12" x14ac:dyDescent="0.2">
      <c r="B57" s="333" t="s">
        <v>611</v>
      </c>
      <c r="C57" s="340"/>
      <c r="D57" s="340">
        <f>2000/1000</f>
        <v>2</v>
      </c>
      <c r="E57" s="340">
        <f>1594/1000</f>
        <v>1.5940000000000001</v>
      </c>
      <c r="F57" s="340">
        <f>1594/1000</f>
        <v>1.5940000000000001</v>
      </c>
      <c r="G57" s="340"/>
      <c r="H57" s="340"/>
    </row>
    <row r="58" spans="2:12" x14ac:dyDescent="0.2">
      <c r="B58" s="333" t="s">
        <v>612</v>
      </c>
      <c r="C58" s="340">
        <f>500000/1000</f>
        <v>500</v>
      </c>
      <c r="D58" s="340">
        <f>500000/1000</f>
        <v>500</v>
      </c>
      <c r="E58" s="340">
        <f>397606/1000</f>
        <v>397.60599999999999</v>
      </c>
      <c r="F58" s="340">
        <f>397606/1000</f>
        <v>397.60599999999999</v>
      </c>
      <c r="G58" s="340">
        <f>264000/1000</f>
        <v>264</v>
      </c>
      <c r="H58" s="340">
        <f>264000/1000</f>
        <v>264</v>
      </c>
    </row>
    <row r="59" spans="2:12" x14ac:dyDescent="0.2">
      <c r="B59" s="355" t="s">
        <v>613</v>
      </c>
      <c r="C59" s="340">
        <f>8800000/1000</f>
        <v>8800</v>
      </c>
      <c r="D59" s="340">
        <f>24338000/1000</f>
        <v>24338</v>
      </c>
      <c r="E59" s="340">
        <f>20076326.03/1000</f>
        <v>20076.32603</v>
      </c>
      <c r="F59" s="340">
        <f>20076326.03/1000</f>
        <v>20076.32603</v>
      </c>
      <c r="G59" s="340">
        <f>13882000/1000</f>
        <v>13882</v>
      </c>
      <c r="H59" s="340">
        <f>13882000/1000</f>
        <v>13882</v>
      </c>
    </row>
    <row r="60" spans="2:12" x14ac:dyDescent="0.2">
      <c r="B60" s="355" t="s">
        <v>614</v>
      </c>
      <c r="C60" s="340">
        <f>1000000/1000</f>
        <v>1000</v>
      </c>
      <c r="D60" s="340"/>
      <c r="E60" s="340">
        <f>546597.3/1000</f>
        <v>546.59730000000002</v>
      </c>
      <c r="F60" s="340">
        <f>546597.3/1000</f>
        <v>546.59730000000002</v>
      </c>
      <c r="G60" s="340"/>
      <c r="H60" s="340"/>
    </row>
    <row r="61" spans="2:12" x14ac:dyDescent="0.2">
      <c r="B61" s="355" t="s">
        <v>615</v>
      </c>
      <c r="C61" s="340"/>
      <c r="D61" s="340">
        <f>250000/1000</f>
        <v>250</v>
      </c>
      <c r="E61" s="340">
        <f>250000/1000</f>
        <v>250</v>
      </c>
      <c r="F61" s="340">
        <f>250000/1000</f>
        <v>250</v>
      </c>
      <c r="G61" s="340">
        <f t="shared" ref="G61:H61" si="12">250000/1000</f>
        <v>250</v>
      </c>
      <c r="H61" s="340">
        <f t="shared" si="12"/>
        <v>250</v>
      </c>
    </row>
    <row r="62" spans="2:12" x14ac:dyDescent="0.2">
      <c r="B62" s="355" t="s">
        <v>616</v>
      </c>
      <c r="C62" s="340"/>
      <c r="D62" s="340">
        <f>16550000/1000</f>
        <v>16550</v>
      </c>
      <c r="E62" s="340">
        <f>16550000/1000</f>
        <v>16550</v>
      </c>
      <c r="F62" s="340">
        <f>16550000/1000</f>
        <v>16550</v>
      </c>
      <c r="G62" s="340">
        <f>16080000/1000</f>
        <v>16080</v>
      </c>
      <c r="H62" s="340">
        <f>16080000/1000</f>
        <v>16080</v>
      </c>
    </row>
    <row r="63" spans="2:12" ht="13.5" thickBot="1" x14ac:dyDescent="0.25">
      <c r="B63" s="355" t="s">
        <v>617</v>
      </c>
      <c r="C63" s="340"/>
      <c r="D63" s="340">
        <f>31600000/1000</f>
        <v>31600</v>
      </c>
      <c r="E63" s="340">
        <f>31600000/1000</f>
        <v>31600</v>
      </c>
      <c r="F63" s="340">
        <f>31600000/1000</f>
        <v>31600</v>
      </c>
      <c r="G63" s="340">
        <f t="shared" ref="G63:H63" si="13">31600000/1000</f>
        <v>31600</v>
      </c>
      <c r="H63" s="340">
        <f t="shared" si="13"/>
        <v>31600</v>
      </c>
      <c r="J63" s="336"/>
    </row>
    <row r="64" spans="2:12" ht="13.5" thickBot="1" x14ac:dyDescent="0.25">
      <c r="B64" s="330" t="s">
        <v>5</v>
      </c>
      <c r="C64" s="361">
        <f>C4-C18</f>
        <v>1160337</v>
      </c>
      <c r="D64" s="361">
        <f t="shared" ref="D64:E64" si="14">D4-D18</f>
        <v>1670249.3342300002</v>
      </c>
      <c r="E64" s="361">
        <f t="shared" si="14"/>
        <v>1952079.2050499995</v>
      </c>
      <c r="F64" s="361">
        <f>F4-F18</f>
        <v>2143985.9986699997</v>
      </c>
      <c r="G64" s="361">
        <f>G4-G18</f>
        <v>1953691.3635999998</v>
      </c>
      <c r="H64" s="362">
        <f>H4-H18</f>
        <v>2145597.406</v>
      </c>
    </row>
    <row r="65" spans="2:8" x14ac:dyDescent="0.2">
      <c r="B65" s="363"/>
      <c r="C65" s="364"/>
      <c r="D65" s="364"/>
      <c r="E65" s="364"/>
      <c r="F65" s="364"/>
      <c r="G65" s="365"/>
      <c r="H65" s="365"/>
    </row>
    <row r="66" spans="2:8" x14ac:dyDescent="0.2">
      <c r="B66" s="366" t="s">
        <v>546</v>
      </c>
      <c r="C66" s="367"/>
      <c r="D66" s="367"/>
      <c r="E66" s="367"/>
      <c r="F66" s="367"/>
      <c r="G66" s="368"/>
      <c r="H66" s="367"/>
    </row>
    <row r="67" spans="2:8" ht="13.5" thickBot="1" x14ac:dyDescent="0.25">
      <c r="B67" s="369"/>
      <c r="C67" s="367"/>
      <c r="D67" s="367"/>
      <c r="E67" s="367"/>
      <c r="F67" s="367"/>
      <c r="G67" s="367"/>
      <c r="H67" s="367"/>
    </row>
    <row r="68" spans="2:8" ht="13.5" thickBot="1" x14ac:dyDescent="0.25">
      <c r="B68" s="370" t="s">
        <v>618</v>
      </c>
      <c r="C68" s="371"/>
      <c r="D68" s="371"/>
      <c r="E68" s="372"/>
      <c r="F68" s="371"/>
      <c r="G68" s="372"/>
      <c r="H68" s="373" t="s">
        <v>0</v>
      </c>
    </row>
    <row r="69" spans="2:8" x14ac:dyDescent="0.2">
      <c r="B69" s="374" t="s">
        <v>619</v>
      </c>
      <c r="C69" s="371"/>
      <c r="D69" s="371"/>
      <c r="E69" s="372"/>
      <c r="F69" s="371"/>
      <c r="G69" s="372"/>
      <c r="H69" s="375">
        <f>H64</f>
        <v>2145597.406</v>
      </c>
    </row>
    <row r="70" spans="2:8" x14ac:dyDescent="0.2">
      <c r="B70" s="376" t="s">
        <v>620</v>
      </c>
      <c r="C70" s="377"/>
      <c r="D70" s="377"/>
      <c r="E70" s="378"/>
      <c r="F70" s="377"/>
      <c r="G70" s="378"/>
      <c r="H70" s="340">
        <f>F64-H64</f>
        <v>-1611.4073300003074</v>
      </c>
    </row>
    <row r="71" spans="2:8" x14ac:dyDescent="0.2">
      <c r="B71" s="376" t="s">
        <v>621</v>
      </c>
      <c r="C71" s="377"/>
      <c r="D71" s="377"/>
      <c r="E71" s="378"/>
      <c r="F71" s="377"/>
      <c r="G71" s="378"/>
      <c r="H71" s="340">
        <v>2313</v>
      </c>
    </row>
    <row r="72" spans="2:8" x14ac:dyDescent="0.2">
      <c r="B72" s="376" t="s">
        <v>622</v>
      </c>
      <c r="C72" s="377"/>
      <c r="D72" s="377"/>
      <c r="E72" s="378"/>
      <c r="F72" s="377"/>
      <c r="G72" s="378"/>
      <c r="H72" s="340">
        <v>-73833</v>
      </c>
    </row>
    <row r="73" spans="2:8" ht="13.5" thickBot="1" x14ac:dyDescent="0.25">
      <c r="B73" s="379" t="s">
        <v>623</v>
      </c>
      <c r="C73" s="380"/>
      <c r="D73" s="380"/>
      <c r="E73" s="381"/>
      <c r="F73" s="380"/>
      <c r="G73" s="381"/>
      <c r="H73" s="382">
        <f>SUM(H69:H72)</f>
        <v>2072465.9986699997</v>
      </c>
    </row>
    <row r="74" spans="2:8" x14ac:dyDescent="0.2">
      <c r="B74" s="316"/>
    </row>
    <row r="75" spans="2:8" x14ac:dyDescent="0.2">
      <c r="B75" s="316"/>
    </row>
  </sheetData>
  <mergeCells count="2">
    <mergeCell ref="G2:H2"/>
    <mergeCell ref="I7:I8"/>
  </mergeCells>
  <pageMargins left="0.44" right="0.34" top="0.78740157480314965" bottom="0.47244094488188981" header="0.6692913385826772" footer="0.51181102362204722"/>
  <pageSetup paperSize="9" scale="8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5"/>
  <sheetViews>
    <sheetView showZeros="0" zoomScale="110" zoomScaleNormal="110" workbookViewId="0">
      <pane ySplit="3" topLeftCell="A4" activePane="bottomLeft" state="frozen"/>
      <selection pane="bottomLeft"/>
    </sheetView>
  </sheetViews>
  <sheetFormatPr defaultRowHeight="16.5" x14ac:dyDescent="0.25"/>
  <cols>
    <col min="1" max="1" width="7.28515625" style="383" customWidth="1"/>
    <col min="2" max="2" width="65.5703125" style="383" customWidth="1"/>
    <col min="3" max="3" width="14.7109375" style="383" customWidth="1"/>
    <col min="4" max="4" width="15.28515625" style="383" bestFit="1" customWidth="1"/>
    <col min="5" max="5" width="20.7109375" style="383" hidden="1" customWidth="1"/>
    <col min="6" max="7" width="14.7109375" style="383" customWidth="1"/>
    <col min="8" max="8" width="17.42578125" style="385" customWidth="1"/>
    <col min="9" max="9" width="6.7109375" style="386" customWidth="1"/>
    <col min="10" max="10" width="18.42578125" style="386" customWidth="1"/>
    <col min="11" max="11" width="17.85546875" style="386" customWidth="1"/>
    <col min="12" max="12" width="19.140625" style="386" customWidth="1"/>
    <col min="13" max="256" width="9.140625" style="386"/>
    <col min="257" max="257" width="7.28515625" style="386" customWidth="1"/>
    <col min="258" max="258" width="65.5703125" style="386" customWidth="1"/>
    <col min="259" max="259" width="14.7109375" style="386" customWidth="1"/>
    <col min="260" max="260" width="15.28515625" style="386" bestFit="1" customWidth="1"/>
    <col min="261" max="261" width="0" style="386" hidden="1" customWidth="1"/>
    <col min="262" max="263" width="14.7109375" style="386" customWidth="1"/>
    <col min="264" max="264" width="17.42578125" style="386" customWidth="1"/>
    <col min="265" max="265" width="6.7109375" style="386" customWidth="1"/>
    <col min="266" max="266" width="18.42578125" style="386" customWidth="1"/>
    <col min="267" max="267" width="17.85546875" style="386" customWidth="1"/>
    <col min="268" max="268" width="19.140625" style="386" customWidth="1"/>
    <col min="269" max="512" width="9.140625" style="386"/>
    <col min="513" max="513" width="7.28515625" style="386" customWidth="1"/>
    <col min="514" max="514" width="65.5703125" style="386" customWidth="1"/>
    <col min="515" max="515" width="14.7109375" style="386" customWidth="1"/>
    <col min="516" max="516" width="15.28515625" style="386" bestFit="1" customWidth="1"/>
    <col min="517" max="517" width="0" style="386" hidden="1" customWidth="1"/>
    <col min="518" max="519" width="14.7109375" style="386" customWidth="1"/>
    <col min="520" max="520" width="17.42578125" style="386" customWidth="1"/>
    <col min="521" max="521" width="6.7109375" style="386" customWidth="1"/>
    <col min="522" max="522" width="18.42578125" style="386" customWidth="1"/>
    <col min="523" max="523" width="17.85546875" style="386" customWidth="1"/>
    <col min="524" max="524" width="19.140625" style="386" customWidth="1"/>
    <col min="525" max="768" width="9.140625" style="386"/>
    <col min="769" max="769" width="7.28515625" style="386" customWidth="1"/>
    <col min="770" max="770" width="65.5703125" style="386" customWidth="1"/>
    <col min="771" max="771" width="14.7109375" style="386" customWidth="1"/>
    <col min="772" max="772" width="15.28515625" style="386" bestFit="1" customWidth="1"/>
    <col min="773" max="773" width="0" style="386" hidden="1" customWidth="1"/>
    <col min="774" max="775" width="14.7109375" style="386" customWidth="1"/>
    <col min="776" max="776" width="17.42578125" style="386" customWidth="1"/>
    <col min="777" max="777" width="6.7109375" style="386" customWidth="1"/>
    <col min="778" max="778" width="18.42578125" style="386" customWidth="1"/>
    <col min="779" max="779" width="17.85546875" style="386" customWidth="1"/>
    <col min="780" max="780" width="19.140625" style="386" customWidth="1"/>
    <col min="781" max="1024" width="9.140625" style="386"/>
    <col min="1025" max="1025" width="7.28515625" style="386" customWidth="1"/>
    <col min="1026" max="1026" width="65.5703125" style="386" customWidth="1"/>
    <col min="1027" max="1027" width="14.7109375" style="386" customWidth="1"/>
    <col min="1028" max="1028" width="15.28515625" style="386" bestFit="1" customWidth="1"/>
    <col min="1029" max="1029" width="0" style="386" hidden="1" customWidth="1"/>
    <col min="1030" max="1031" width="14.7109375" style="386" customWidth="1"/>
    <col min="1032" max="1032" width="17.42578125" style="386" customWidth="1"/>
    <col min="1033" max="1033" width="6.7109375" style="386" customWidth="1"/>
    <col min="1034" max="1034" width="18.42578125" style="386" customWidth="1"/>
    <col min="1035" max="1035" width="17.85546875" style="386" customWidth="1"/>
    <col min="1036" max="1036" width="19.140625" style="386" customWidth="1"/>
    <col min="1037" max="1280" width="9.140625" style="386"/>
    <col min="1281" max="1281" width="7.28515625" style="386" customWidth="1"/>
    <col min="1282" max="1282" width="65.5703125" style="386" customWidth="1"/>
    <col min="1283" max="1283" width="14.7109375" style="386" customWidth="1"/>
    <col min="1284" max="1284" width="15.28515625" style="386" bestFit="1" customWidth="1"/>
    <col min="1285" max="1285" width="0" style="386" hidden="1" customWidth="1"/>
    <col min="1286" max="1287" width="14.7109375" style="386" customWidth="1"/>
    <col min="1288" max="1288" width="17.42578125" style="386" customWidth="1"/>
    <col min="1289" max="1289" width="6.7109375" style="386" customWidth="1"/>
    <col min="1290" max="1290" width="18.42578125" style="386" customWidth="1"/>
    <col min="1291" max="1291" width="17.85546875" style="386" customWidth="1"/>
    <col min="1292" max="1292" width="19.140625" style="386" customWidth="1"/>
    <col min="1293" max="1536" width="9.140625" style="386"/>
    <col min="1537" max="1537" width="7.28515625" style="386" customWidth="1"/>
    <col min="1538" max="1538" width="65.5703125" style="386" customWidth="1"/>
    <col min="1539" max="1539" width="14.7109375" style="386" customWidth="1"/>
    <col min="1540" max="1540" width="15.28515625" style="386" bestFit="1" customWidth="1"/>
    <col min="1541" max="1541" width="0" style="386" hidden="1" customWidth="1"/>
    <col min="1542" max="1543" width="14.7109375" style="386" customWidth="1"/>
    <col min="1544" max="1544" width="17.42578125" style="386" customWidth="1"/>
    <col min="1545" max="1545" width="6.7109375" style="386" customWidth="1"/>
    <col min="1546" max="1546" width="18.42578125" style="386" customWidth="1"/>
    <col min="1547" max="1547" width="17.85546875" style="386" customWidth="1"/>
    <col min="1548" max="1548" width="19.140625" style="386" customWidth="1"/>
    <col min="1549" max="1792" width="9.140625" style="386"/>
    <col min="1793" max="1793" width="7.28515625" style="386" customWidth="1"/>
    <col min="1794" max="1794" width="65.5703125" style="386" customWidth="1"/>
    <col min="1795" max="1795" width="14.7109375" style="386" customWidth="1"/>
    <col min="1796" max="1796" width="15.28515625" style="386" bestFit="1" customWidth="1"/>
    <col min="1797" max="1797" width="0" style="386" hidden="1" customWidth="1"/>
    <col min="1798" max="1799" width="14.7109375" style="386" customWidth="1"/>
    <col min="1800" max="1800" width="17.42578125" style="386" customWidth="1"/>
    <col min="1801" max="1801" width="6.7109375" style="386" customWidth="1"/>
    <col min="1802" max="1802" width="18.42578125" style="386" customWidth="1"/>
    <col min="1803" max="1803" width="17.85546875" style="386" customWidth="1"/>
    <col min="1804" max="1804" width="19.140625" style="386" customWidth="1"/>
    <col min="1805" max="2048" width="9.140625" style="386"/>
    <col min="2049" max="2049" width="7.28515625" style="386" customWidth="1"/>
    <col min="2050" max="2050" width="65.5703125" style="386" customWidth="1"/>
    <col min="2051" max="2051" width="14.7109375" style="386" customWidth="1"/>
    <col min="2052" max="2052" width="15.28515625" style="386" bestFit="1" customWidth="1"/>
    <col min="2053" max="2053" width="0" style="386" hidden="1" customWidth="1"/>
    <col min="2054" max="2055" width="14.7109375" style="386" customWidth="1"/>
    <col min="2056" max="2056" width="17.42578125" style="386" customWidth="1"/>
    <col min="2057" max="2057" width="6.7109375" style="386" customWidth="1"/>
    <col min="2058" max="2058" width="18.42578125" style="386" customWidth="1"/>
    <col min="2059" max="2059" width="17.85546875" style="386" customWidth="1"/>
    <col min="2060" max="2060" width="19.140625" style="386" customWidth="1"/>
    <col min="2061" max="2304" width="9.140625" style="386"/>
    <col min="2305" max="2305" width="7.28515625" style="386" customWidth="1"/>
    <col min="2306" max="2306" width="65.5703125" style="386" customWidth="1"/>
    <col min="2307" max="2307" width="14.7109375" style="386" customWidth="1"/>
    <col min="2308" max="2308" width="15.28515625" style="386" bestFit="1" customWidth="1"/>
    <col min="2309" max="2309" width="0" style="386" hidden="1" customWidth="1"/>
    <col min="2310" max="2311" width="14.7109375" style="386" customWidth="1"/>
    <col min="2312" max="2312" width="17.42578125" style="386" customWidth="1"/>
    <col min="2313" max="2313" width="6.7109375" style="386" customWidth="1"/>
    <col min="2314" max="2314" width="18.42578125" style="386" customWidth="1"/>
    <col min="2315" max="2315" width="17.85546875" style="386" customWidth="1"/>
    <col min="2316" max="2316" width="19.140625" style="386" customWidth="1"/>
    <col min="2317" max="2560" width="9.140625" style="386"/>
    <col min="2561" max="2561" width="7.28515625" style="386" customWidth="1"/>
    <col min="2562" max="2562" width="65.5703125" style="386" customWidth="1"/>
    <col min="2563" max="2563" width="14.7109375" style="386" customWidth="1"/>
    <col min="2564" max="2564" width="15.28515625" style="386" bestFit="1" customWidth="1"/>
    <col min="2565" max="2565" width="0" style="386" hidden="1" customWidth="1"/>
    <col min="2566" max="2567" width="14.7109375" style="386" customWidth="1"/>
    <col min="2568" max="2568" width="17.42578125" style="386" customWidth="1"/>
    <col min="2569" max="2569" width="6.7109375" style="386" customWidth="1"/>
    <col min="2570" max="2570" width="18.42578125" style="386" customWidth="1"/>
    <col min="2571" max="2571" width="17.85546875" style="386" customWidth="1"/>
    <col min="2572" max="2572" width="19.140625" style="386" customWidth="1"/>
    <col min="2573" max="2816" width="9.140625" style="386"/>
    <col min="2817" max="2817" width="7.28515625" style="386" customWidth="1"/>
    <col min="2818" max="2818" width="65.5703125" style="386" customWidth="1"/>
    <col min="2819" max="2819" width="14.7109375" style="386" customWidth="1"/>
    <col min="2820" max="2820" width="15.28515625" style="386" bestFit="1" customWidth="1"/>
    <col min="2821" max="2821" width="0" style="386" hidden="1" customWidth="1"/>
    <col min="2822" max="2823" width="14.7109375" style="386" customWidth="1"/>
    <col min="2824" max="2824" width="17.42578125" style="386" customWidth="1"/>
    <col min="2825" max="2825" width="6.7109375" style="386" customWidth="1"/>
    <col min="2826" max="2826" width="18.42578125" style="386" customWidth="1"/>
    <col min="2827" max="2827" width="17.85546875" style="386" customWidth="1"/>
    <col min="2828" max="2828" width="19.140625" style="386" customWidth="1"/>
    <col min="2829" max="3072" width="9.140625" style="386"/>
    <col min="3073" max="3073" width="7.28515625" style="386" customWidth="1"/>
    <col min="3074" max="3074" width="65.5703125" style="386" customWidth="1"/>
    <col min="3075" max="3075" width="14.7109375" style="386" customWidth="1"/>
    <col min="3076" max="3076" width="15.28515625" style="386" bestFit="1" customWidth="1"/>
    <col min="3077" max="3077" width="0" style="386" hidden="1" customWidth="1"/>
    <col min="3078" max="3079" width="14.7109375" style="386" customWidth="1"/>
    <col min="3080" max="3080" width="17.42578125" style="386" customWidth="1"/>
    <col min="3081" max="3081" width="6.7109375" style="386" customWidth="1"/>
    <col min="3082" max="3082" width="18.42578125" style="386" customWidth="1"/>
    <col min="3083" max="3083" width="17.85546875" style="386" customWidth="1"/>
    <col min="3084" max="3084" width="19.140625" style="386" customWidth="1"/>
    <col min="3085" max="3328" width="9.140625" style="386"/>
    <col min="3329" max="3329" width="7.28515625" style="386" customWidth="1"/>
    <col min="3330" max="3330" width="65.5703125" style="386" customWidth="1"/>
    <col min="3331" max="3331" width="14.7109375" style="386" customWidth="1"/>
    <col min="3332" max="3332" width="15.28515625" style="386" bestFit="1" customWidth="1"/>
    <col min="3333" max="3333" width="0" style="386" hidden="1" customWidth="1"/>
    <col min="3334" max="3335" width="14.7109375" style="386" customWidth="1"/>
    <col min="3336" max="3336" width="17.42578125" style="386" customWidth="1"/>
    <col min="3337" max="3337" width="6.7109375" style="386" customWidth="1"/>
    <col min="3338" max="3338" width="18.42578125" style="386" customWidth="1"/>
    <col min="3339" max="3339" width="17.85546875" style="386" customWidth="1"/>
    <col min="3340" max="3340" width="19.140625" style="386" customWidth="1"/>
    <col min="3341" max="3584" width="9.140625" style="386"/>
    <col min="3585" max="3585" width="7.28515625" style="386" customWidth="1"/>
    <col min="3586" max="3586" width="65.5703125" style="386" customWidth="1"/>
    <col min="3587" max="3587" width="14.7109375" style="386" customWidth="1"/>
    <col min="3588" max="3588" width="15.28515625" style="386" bestFit="1" customWidth="1"/>
    <col min="3589" max="3589" width="0" style="386" hidden="1" customWidth="1"/>
    <col min="3590" max="3591" width="14.7109375" style="386" customWidth="1"/>
    <col min="3592" max="3592" width="17.42578125" style="386" customWidth="1"/>
    <col min="3593" max="3593" width="6.7109375" style="386" customWidth="1"/>
    <col min="3594" max="3594" width="18.42578125" style="386" customWidth="1"/>
    <col min="3595" max="3595" width="17.85546875" style="386" customWidth="1"/>
    <col min="3596" max="3596" width="19.140625" style="386" customWidth="1"/>
    <col min="3597" max="3840" width="9.140625" style="386"/>
    <col min="3841" max="3841" width="7.28515625" style="386" customWidth="1"/>
    <col min="3842" max="3842" width="65.5703125" style="386" customWidth="1"/>
    <col min="3843" max="3843" width="14.7109375" style="386" customWidth="1"/>
    <col min="3844" max="3844" width="15.28515625" style="386" bestFit="1" customWidth="1"/>
    <col min="3845" max="3845" width="0" style="386" hidden="1" customWidth="1"/>
    <col min="3846" max="3847" width="14.7109375" style="386" customWidth="1"/>
    <col min="3848" max="3848" width="17.42578125" style="386" customWidth="1"/>
    <col min="3849" max="3849" width="6.7109375" style="386" customWidth="1"/>
    <col min="3850" max="3850" width="18.42578125" style="386" customWidth="1"/>
    <col min="3851" max="3851" width="17.85546875" style="386" customWidth="1"/>
    <col min="3852" max="3852" width="19.140625" style="386" customWidth="1"/>
    <col min="3853" max="4096" width="9.140625" style="386"/>
    <col min="4097" max="4097" width="7.28515625" style="386" customWidth="1"/>
    <col min="4098" max="4098" width="65.5703125" style="386" customWidth="1"/>
    <col min="4099" max="4099" width="14.7109375" style="386" customWidth="1"/>
    <col min="4100" max="4100" width="15.28515625" style="386" bestFit="1" customWidth="1"/>
    <col min="4101" max="4101" width="0" style="386" hidden="1" customWidth="1"/>
    <col min="4102" max="4103" width="14.7109375" style="386" customWidth="1"/>
    <col min="4104" max="4104" width="17.42578125" style="386" customWidth="1"/>
    <col min="4105" max="4105" width="6.7109375" style="386" customWidth="1"/>
    <col min="4106" max="4106" width="18.42578125" style="386" customWidth="1"/>
    <col min="4107" max="4107" width="17.85546875" style="386" customWidth="1"/>
    <col min="4108" max="4108" width="19.140625" style="386" customWidth="1"/>
    <col min="4109" max="4352" width="9.140625" style="386"/>
    <col min="4353" max="4353" width="7.28515625" style="386" customWidth="1"/>
    <col min="4354" max="4354" width="65.5703125" style="386" customWidth="1"/>
    <col min="4355" max="4355" width="14.7109375" style="386" customWidth="1"/>
    <col min="4356" max="4356" width="15.28515625" style="386" bestFit="1" customWidth="1"/>
    <col min="4357" max="4357" width="0" style="386" hidden="1" customWidth="1"/>
    <col min="4358" max="4359" width="14.7109375" style="386" customWidth="1"/>
    <col min="4360" max="4360" width="17.42578125" style="386" customWidth="1"/>
    <col min="4361" max="4361" width="6.7109375" style="386" customWidth="1"/>
    <col min="4362" max="4362" width="18.42578125" style="386" customWidth="1"/>
    <col min="4363" max="4363" width="17.85546875" style="386" customWidth="1"/>
    <col min="4364" max="4364" width="19.140625" style="386" customWidth="1"/>
    <col min="4365" max="4608" width="9.140625" style="386"/>
    <col min="4609" max="4609" width="7.28515625" style="386" customWidth="1"/>
    <col min="4610" max="4610" width="65.5703125" style="386" customWidth="1"/>
    <col min="4611" max="4611" width="14.7109375" style="386" customWidth="1"/>
    <col min="4612" max="4612" width="15.28515625" style="386" bestFit="1" customWidth="1"/>
    <col min="4613" max="4613" width="0" style="386" hidden="1" customWidth="1"/>
    <col min="4614" max="4615" width="14.7109375" style="386" customWidth="1"/>
    <col min="4616" max="4616" width="17.42578125" style="386" customWidth="1"/>
    <col min="4617" max="4617" width="6.7109375" style="386" customWidth="1"/>
    <col min="4618" max="4618" width="18.42578125" style="386" customWidth="1"/>
    <col min="4619" max="4619" width="17.85546875" style="386" customWidth="1"/>
    <col min="4620" max="4620" width="19.140625" style="386" customWidth="1"/>
    <col min="4621" max="4864" width="9.140625" style="386"/>
    <col min="4865" max="4865" width="7.28515625" style="386" customWidth="1"/>
    <col min="4866" max="4866" width="65.5703125" style="386" customWidth="1"/>
    <col min="4867" max="4867" width="14.7109375" style="386" customWidth="1"/>
    <col min="4868" max="4868" width="15.28515625" style="386" bestFit="1" customWidth="1"/>
    <col min="4869" max="4869" width="0" style="386" hidden="1" customWidth="1"/>
    <col min="4870" max="4871" width="14.7109375" style="386" customWidth="1"/>
    <col min="4872" max="4872" width="17.42578125" style="386" customWidth="1"/>
    <col min="4873" max="4873" width="6.7109375" style="386" customWidth="1"/>
    <col min="4874" max="4874" width="18.42578125" style="386" customWidth="1"/>
    <col min="4875" max="4875" width="17.85546875" style="386" customWidth="1"/>
    <col min="4876" max="4876" width="19.140625" style="386" customWidth="1"/>
    <col min="4877" max="5120" width="9.140625" style="386"/>
    <col min="5121" max="5121" width="7.28515625" style="386" customWidth="1"/>
    <col min="5122" max="5122" width="65.5703125" style="386" customWidth="1"/>
    <col min="5123" max="5123" width="14.7109375" style="386" customWidth="1"/>
    <col min="5124" max="5124" width="15.28515625" style="386" bestFit="1" customWidth="1"/>
    <col min="5125" max="5125" width="0" style="386" hidden="1" customWidth="1"/>
    <col min="5126" max="5127" width="14.7109375" style="386" customWidth="1"/>
    <col min="5128" max="5128" width="17.42578125" style="386" customWidth="1"/>
    <col min="5129" max="5129" width="6.7109375" style="386" customWidth="1"/>
    <col min="5130" max="5130" width="18.42578125" style="386" customWidth="1"/>
    <col min="5131" max="5131" width="17.85546875" style="386" customWidth="1"/>
    <col min="5132" max="5132" width="19.140625" style="386" customWidth="1"/>
    <col min="5133" max="5376" width="9.140625" style="386"/>
    <col min="5377" max="5377" width="7.28515625" style="386" customWidth="1"/>
    <col min="5378" max="5378" width="65.5703125" style="386" customWidth="1"/>
    <col min="5379" max="5379" width="14.7109375" style="386" customWidth="1"/>
    <col min="5380" max="5380" width="15.28515625" style="386" bestFit="1" customWidth="1"/>
    <col min="5381" max="5381" width="0" style="386" hidden="1" customWidth="1"/>
    <col min="5382" max="5383" width="14.7109375" style="386" customWidth="1"/>
    <col min="5384" max="5384" width="17.42578125" style="386" customWidth="1"/>
    <col min="5385" max="5385" width="6.7109375" style="386" customWidth="1"/>
    <col min="5386" max="5386" width="18.42578125" style="386" customWidth="1"/>
    <col min="5387" max="5387" width="17.85546875" style="386" customWidth="1"/>
    <col min="5388" max="5388" width="19.140625" style="386" customWidth="1"/>
    <col min="5389" max="5632" width="9.140625" style="386"/>
    <col min="5633" max="5633" width="7.28515625" style="386" customWidth="1"/>
    <col min="5634" max="5634" width="65.5703125" style="386" customWidth="1"/>
    <col min="5635" max="5635" width="14.7109375" style="386" customWidth="1"/>
    <col min="5636" max="5636" width="15.28515625" style="386" bestFit="1" customWidth="1"/>
    <col min="5637" max="5637" width="0" style="386" hidden="1" customWidth="1"/>
    <col min="5638" max="5639" width="14.7109375" style="386" customWidth="1"/>
    <col min="5640" max="5640" width="17.42578125" style="386" customWidth="1"/>
    <col min="5641" max="5641" width="6.7109375" style="386" customWidth="1"/>
    <col min="5642" max="5642" width="18.42578125" style="386" customWidth="1"/>
    <col min="5643" max="5643" width="17.85546875" style="386" customWidth="1"/>
    <col min="5644" max="5644" width="19.140625" style="386" customWidth="1"/>
    <col min="5645" max="5888" width="9.140625" style="386"/>
    <col min="5889" max="5889" width="7.28515625" style="386" customWidth="1"/>
    <col min="5890" max="5890" width="65.5703125" style="386" customWidth="1"/>
    <col min="5891" max="5891" width="14.7109375" style="386" customWidth="1"/>
    <col min="5892" max="5892" width="15.28515625" style="386" bestFit="1" customWidth="1"/>
    <col min="5893" max="5893" width="0" style="386" hidden="1" customWidth="1"/>
    <col min="5894" max="5895" width="14.7109375" style="386" customWidth="1"/>
    <col min="5896" max="5896" width="17.42578125" style="386" customWidth="1"/>
    <col min="5897" max="5897" width="6.7109375" style="386" customWidth="1"/>
    <col min="5898" max="5898" width="18.42578125" style="386" customWidth="1"/>
    <col min="5899" max="5899" width="17.85546875" style="386" customWidth="1"/>
    <col min="5900" max="5900" width="19.140625" style="386" customWidth="1"/>
    <col min="5901" max="6144" width="9.140625" style="386"/>
    <col min="6145" max="6145" width="7.28515625" style="386" customWidth="1"/>
    <col min="6146" max="6146" width="65.5703125" style="386" customWidth="1"/>
    <col min="6147" max="6147" width="14.7109375" style="386" customWidth="1"/>
    <col min="6148" max="6148" width="15.28515625" style="386" bestFit="1" customWidth="1"/>
    <col min="6149" max="6149" width="0" style="386" hidden="1" customWidth="1"/>
    <col min="6150" max="6151" width="14.7109375" style="386" customWidth="1"/>
    <col min="6152" max="6152" width="17.42578125" style="386" customWidth="1"/>
    <col min="6153" max="6153" width="6.7109375" style="386" customWidth="1"/>
    <col min="6154" max="6154" width="18.42578125" style="386" customWidth="1"/>
    <col min="6155" max="6155" width="17.85546875" style="386" customWidth="1"/>
    <col min="6156" max="6156" width="19.140625" style="386" customWidth="1"/>
    <col min="6157" max="6400" width="9.140625" style="386"/>
    <col min="6401" max="6401" width="7.28515625" style="386" customWidth="1"/>
    <col min="6402" max="6402" width="65.5703125" style="386" customWidth="1"/>
    <col min="6403" max="6403" width="14.7109375" style="386" customWidth="1"/>
    <col min="6404" max="6404" width="15.28515625" style="386" bestFit="1" customWidth="1"/>
    <col min="6405" max="6405" width="0" style="386" hidden="1" customWidth="1"/>
    <col min="6406" max="6407" width="14.7109375" style="386" customWidth="1"/>
    <col min="6408" max="6408" width="17.42578125" style="386" customWidth="1"/>
    <col min="6409" max="6409" width="6.7109375" style="386" customWidth="1"/>
    <col min="6410" max="6410" width="18.42578125" style="386" customWidth="1"/>
    <col min="6411" max="6411" width="17.85546875" style="386" customWidth="1"/>
    <col min="6412" max="6412" width="19.140625" style="386" customWidth="1"/>
    <col min="6413" max="6656" width="9.140625" style="386"/>
    <col min="6657" max="6657" width="7.28515625" style="386" customWidth="1"/>
    <col min="6658" max="6658" width="65.5703125" style="386" customWidth="1"/>
    <col min="6659" max="6659" width="14.7109375" style="386" customWidth="1"/>
    <col min="6660" max="6660" width="15.28515625" style="386" bestFit="1" customWidth="1"/>
    <col min="6661" max="6661" width="0" style="386" hidden="1" customWidth="1"/>
    <col min="6662" max="6663" width="14.7109375" style="386" customWidth="1"/>
    <col min="6664" max="6664" width="17.42578125" style="386" customWidth="1"/>
    <col min="6665" max="6665" width="6.7109375" style="386" customWidth="1"/>
    <col min="6666" max="6666" width="18.42578125" style="386" customWidth="1"/>
    <col min="6667" max="6667" width="17.85546875" style="386" customWidth="1"/>
    <col min="6668" max="6668" width="19.140625" style="386" customWidth="1"/>
    <col min="6669" max="6912" width="9.140625" style="386"/>
    <col min="6913" max="6913" width="7.28515625" style="386" customWidth="1"/>
    <col min="6914" max="6914" width="65.5703125" style="386" customWidth="1"/>
    <col min="6915" max="6915" width="14.7109375" style="386" customWidth="1"/>
    <col min="6916" max="6916" width="15.28515625" style="386" bestFit="1" customWidth="1"/>
    <col min="6917" max="6917" width="0" style="386" hidden="1" customWidth="1"/>
    <col min="6918" max="6919" width="14.7109375" style="386" customWidth="1"/>
    <col min="6920" max="6920" width="17.42578125" style="386" customWidth="1"/>
    <col min="6921" max="6921" width="6.7109375" style="386" customWidth="1"/>
    <col min="6922" max="6922" width="18.42578125" style="386" customWidth="1"/>
    <col min="6923" max="6923" width="17.85546875" style="386" customWidth="1"/>
    <col min="6924" max="6924" width="19.140625" style="386" customWidth="1"/>
    <col min="6925" max="7168" width="9.140625" style="386"/>
    <col min="7169" max="7169" width="7.28515625" style="386" customWidth="1"/>
    <col min="7170" max="7170" width="65.5703125" style="386" customWidth="1"/>
    <col min="7171" max="7171" width="14.7109375" style="386" customWidth="1"/>
    <col min="7172" max="7172" width="15.28515625" style="386" bestFit="1" customWidth="1"/>
    <col min="7173" max="7173" width="0" style="386" hidden="1" customWidth="1"/>
    <col min="7174" max="7175" width="14.7109375" style="386" customWidth="1"/>
    <col min="7176" max="7176" width="17.42578125" style="386" customWidth="1"/>
    <col min="7177" max="7177" width="6.7109375" style="386" customWidth="1"/>
    <col min="7178" max="7178" width="18.42578125" style="386" customWidth="1"/>
    <col min="7179" max="7179" width="17.85546875" style="386" customWidth="1"/>
    <col min="7180" max="7180" width="19.140625" style="386" customWidth="1"/>
    <col min="7181" max="7424" width="9.140625" style="386"/>
    <col min="7425" max="7425" width="7.28515625" style="386" customWidth="1"/>
    <col min="7426" max="7426" width="65.5703125" style="386" customWidth="1"/>
    <col min="7427" max="7427" width="14.7109375" style="386" customWidth="1"/>
    <col min="7428" max="7428" width="15.28515625" style="386" bestFit="1" customWidth="1"/>
    <col min="7429" max="7429" width="0" style="386" hidden="1" customWidth="1"/>
    <col min="7430" max="7431" width="14.7109375" style="386" customWidth="1"/>
    <col min="7432" max="7432" width="17.42578125" style="386" customWidth="1"/>
    <col min="7433" max="7433" width="6.7109375" style="386" customWidth="1"/>
    <col min="7434" max="7434" width="18.42578125" style="386" customWidth="1"/>
    <col min="7435" max="7435" width="17.85546875" style="386" customWidth="1"/>
    <col min="7436" max="7436" width="19.140625" style="386" customWidth="1"/>
    <col min="7437" max="7680" width="9.140625" style="386"/>
    <col min="7681" max="7681" width="7.28515625" style="386" customWidth="1"/>
    <col min="7682" max="7682" width="65.5703125" style="386" customWidth="1"/>
    <col min="7683" max="7683" width="14.7109375" style="386" customWidth="1"/>
    <col min="7684" max="7684" width="15.28515625" style="386" bestFit="1" customWidth="1"/>
    <col min="7685" max="7685" width="0" style="386" hidden="1" customWidth="1"/>
    <col min="7686" max="7687" width="14.7109375" style="386" customWidth="1"/>
    <col min="7688" max="7688" width="17.42578125" style="386" customWidth="1"/>
    <col min="7689" max="7689" width="6.7109375" style="386" customWidth="1"/>
    <col min="7690" max="7690" width="18.42578125" style="386" customWidth="1"/>
    <col min="7691" max="7691" width="17.85546875" style="386" customWidth="1"/>
    <col min="7692" max="7692" width="19.140625" style="386" customWidth="1"/>
    <col min="7693" max="7936" width="9.140625" style="386"/>
    <col min="7937" max="7937" width="7.28515625" style="386" customWidth="1"/>
    <col min="7938" max="7938" width="65.5703125" style="386" customWidth="1"/>
    <col min="7939" max="7939" width="14.7109375" style="386" customWidth="1"/>
    <col min="7940" max="7940" width="15.28515625" style="386" bestFit="1" customWidth="1"/>
    <col min="7941" max="7941" width="0" style="386" hidden="1" customWidth="1"/>
    <col min="7942" max="7943" width="14.7109375" style="386" customWidth="1"/>
    <col min="7944" max="7944" width="17.42578125" style="386" customWidth="1"/>
    <col min="7945" max="7945" width="6.7109375" style="386" customWidth="1"/>
    <col min="7946" max="7946" width="18.42578125" style="386" customWidth="1"/>
    <col min="7947" max="7947" width="17.85546875" style="386" customWidth="1"/>
    <col min="7948" max="7948" width="19.140625" style="386" customWidth="1"/>
    <col min="7949" max="8192" width="9.140625" style="386"/>
    <col min="8193" max="8193" width="7.28515625" style="386" customWidth="1"/>
    <col min="8194" max="8194" width="65.5703125" style="386" customWidth="1"/>
    <col min="8195" max="8195" width="14.7109375" style="386" customWidth="1"/>
    <col min="8196" max="8196" width="15.28515625" style="386" bestFit="1" customWidth="1"/>
    <col min="8197" max="8197" width="0" style="386" hidden="1" customWidth="1"/>
    <col min="8198" max="8199" width="14.7109375" style="386" customWidth="1"/>
    <col min="8200" max="8200" width="17.42578125" style="386" customWidth="1"/>
    <col min="8201" max="8201" width="6.7109375" style="386" customWidth="1"/>
    <col min="8202" max="8202" width="18.42578125" style="386" customWidth="1"/>
    <col min="8203" max="8203" width="17.85546875" style="386" customWidth="1"/>
    <col min="8204" max="8204" width="19.140625" style="386" customWidth="1"/>
    <col min="8205" max="8448" width="9.140625" style="386"/>
    <col min="8449" max="8449" width="7.28515625" style="386" customWidth="1"/>
    <col min="8450" max="8450" width="65.5703125" style="386" customWidth="1"/>
    <col min="8451" max="8451" width="14.7109375" style="386" customWidth="1"/>
    <col min="8452" max="8452" width="15.28515625" style="386" bestFit="1" customWidth="1"/>
    <col min="8453" max="8453" width="0" style="386" hidden="1" customWidth="1"/>
    <col min="8454" max="8455" width="14.7109375" style="386" customWidth="1"/>
    <col min="8456" max="8456" width="17.42578125" style="386" customWidth="1"/>
    <col min="8457" max="8457" width="6.7109375" style="386" customWidth="1"/>
    <col min="8458" max="8458" width="18.42578125" style="386" customWidth="1"/>
    <col min="8459" max="8459" width="17.85546875" style="386" customWidth="1"/>
    <col min="8460" max="8460" width="19.140625" style="386" customWidth="1"/>
    <col min="8461" max="8704" width="9.140625" style="386"/>
    <col min="8705" max="8705" width="7.28515625" style="386" customWidth="1"/>
    <col min="8706" max="8706" width="65.5703125" style="386" customWidth="1"/>
    <col min="8707" max="8707" width="14.7109375" style="386" customWidth="1"/>
    <col min="8708" max="8708" width="15.28515625" style="386" bestFit="1" customWidth="1"/>
    <col min="8709" max="8709" width="0" style="386" hidden="1" customWidth="1"/>
    <col min="8710" max="8711" width="14.7109375" style="386" customWidth="1"/>
    <col min="8712" max="8712" width="17.42578125" style="386" customWidth="1"/>
    <col min="8713" max="8713" width="6.7109375" style="386" customWidth="1"/>
    <col min="8714" max="8714" width="18.42578125" style="386" customWidth="1"/>
    <col min="8715" max="8715" width="17.85546875" style="386" customWidth="1"/>
    <col min="8716" max="8716" width="19.140625" style="386" customWidth="1"/>
    <col min="8717" max="8960" width="9.140625" style="386"/>
    <col min="8961" max="8961" width="7.28515625" style="386" customWidth="1"/>
    <col min="8962" max="8962" width="65.5703125" style="386" customWidth="1"/>
    <col min="8963" max="8963" width="14.7109375" style="386" customWidth="1"/>
    <col min="8964" max="8964" width="15.28515625" style="386" bestFit="1" customWidth="1"/>
    <col min="8965" max="8965" width="0" style="386" hidden="1" customWidth="1"/>
    <col min="8966" max="8967" width="14.7109375" style="386" customWidth="1"/>
    <col min="8968" max="8968" width="17.42578125" style="386" customWidth="1"/>
    <col min="8969" max="8969" width="6.7109375" style="386" customWidth="1"/>
    <col min="8970" max="8970" width="18.42578125" style="386" customWidth="1"/>
    <col min="8971" max="8971" width="17.85546875" style="386" customWidth="1"/>
    <col min="8972" max="8972" width="19.140625" style="386" customWidth="1"/>
    <col min="8973" max="9216" width="9.140625" style="386"/>
    <col min="9217" max="9217" width="7.28515625" style="386" customWidth="1"/>
    <col min="9218" max="9218" width="65.5703125" style="386" customWidth="1"/>
    <col min="9219" max="9219" width="14.7109375" style="386" customWidth="1"/>
    <col min="9220" max="9220" width="15.28515625" style="386" bestFit="1" customWidth="1"/>
    <col min="9221" max="9221" width="0" style="386" hidden="1" customWidth="1"/>
    <col min="9222" max="9223" width="14.7109375" style="386" customWidth="1"/>
    <col min="9224" max="9224" width="17.42578125" style="386" customWidth="1"/>
    <col min="9225" max="9225" width="6.7109375" style="386" customWidth="1"/>
    <col min="9226" max="9226" width="18.42578125" style="386" customWidth="1"/>
    <col min="9227" max="9227" width="17.85546875" style="386" customWidth="1"/>
    <col min="9228" max="9228" width="19.140625" style="386" customWidth="1"/>
    <col min="9229" max="9472" width="9.140625" style="386"/>
    <col min="9473" max="9473" width="7.28515625" style="386" customWidth="1"/>
    <col min="9474" max="9474" width="65.5703125" style="386" customWidth="1"/>
    <col min="9475" max="9475" width="14.7109375" style="386" customWidth="1"/>
    <col min="9476" max="9476" width="15.28515625" style="386" bestFit="1" customWidth="1"/>
    <col min="9477" max="9477" width="0" style="386" hidden="1" customWidth="1"/>
    <col min="9478" max="9479" width="14.7109375" style="386" customWidth="1"/>
    <col min="9480" max="9480" width="17.42578125" style="386" customWidth="1"/>
    <col min="9481" max="9481" width="6.7109375" style="386" customWidth="1"/>
    <col min="9482" max="9482" width="18.42578125" style="386" customWidth="1"/>
    <col min="9483" max="9483" width="17.85546875" style="386" customWidth="1"/>
    <col min="9484" max="9484" width="19.140625" style="386" customWidth="1"/>
    <col min="9485" max="9728" width="9.140625" style="386"/>
    <col min="9729" max="9729" width="7.28515625" style="386" customWidth="1"/>
    <col min="9730" max="9730" width="65.5703125" style="386" customWidth="1"/>
    <col min="9731" max="9731" width="14.7109375" style="386" customWidth="1"/>
    <col min="9732" max="9732" width="15.28515625" style="386" bestFit="1" customWidth="1"/>
    <col min="9733" max="9733" width="0" style="386" hidden="1" customWidth="1"/>
    <col min="9734" max="9735" width="14.7109375" style="386" customWidth="1"/>
    <col min="9736" max="9736" width="17.42578125" style="386" customWidth="1"/>
    <col min="9737" max="9737" width="6.7109375" style="386" customWidth="1"/>
    <col min="9738" max="9738" width="18.42578125" style="386" customWidth="1"/>
    <col min="9739" max="9739" width="17.85546875" style="386" customWidth="1"/>
    <col min="9740" max="9740" width="19.140625" style="386" customWidth="1"/>
    <col min="9741" max="9984" width="9.140625" style="386"/>
    <col min="9985" max="9985" width="7.28515625" style="386" customWidth="1"/>
    <col min="9986" max="9986" width="65.5703125" style="386" customWidth="1"/>
    <col min="9987" max="9987" width="14.7109375" style="386" customWidth="1"/>
    <col min="9988" max="9988" width="15.28515625" style="386" bestFit="1" customWidth="1"/>
    <col min="9989" max="9989" width="0" style="386" hidden="1" customWidth="1"/>
    <col min="9990" max="9991" width="14.7109375" style="386" customWidth="1"/>
    <col min="9992" max="9992" width="17.42578125" style="386" customWidth="1"/>
    <col min="9993" max="9993" width="6.7109375" style="386" customWidth="1"/>
    <col min="9994" max="9994" width="18.42578125" style="386" customWidth="1"/>
    <col min="9995" max="9995" width="17.85546875" style="386" customWidth="1"/>
    <col min="9996" max="9996" width="19.140625" style="386" customWidth="1"/>
    <col min="9997" max="10240" width="9.140625" style="386"/>
    <col min="10241" max="10241" width="7.28515625" style="386" customWidth="1"/>
    <col min="10242" max="10242" width="65.5703125" style="386" customWidth="1"/>
    <col min="10243" max="10243" width="14.7109375" style="386" customWidth="1"/>
    <col min="10244" max="10244" width="15.28515625" style="386" bestFit="1" customWidth="1"/>
    <col min="10245" max="10245" width="0" style="386" hidden="1" customWidth="1"/>
    <col min="10246" max="10247" width="14.7109375" style="386" customWidth="1"/>
    <col min="10248" max="10248" width="17.42578125" style="386" customWidth="1"/>
    <col min="10249" max="10249" width="6.7109375" style="386" customWidth="1"/>
    <col min="10250" max="10250" width="18.42578125" style="386" customWidth="1"/>
    <col min="10251" max="10251" width="17.85546875" style="386" customWidth="1"/>
    <col min="10252" max="10252" width="19.140625" style="386" customWidth="1"/>
    <col min="10253" max="10496" width="9.140625" style="386"/>
    <col min="10497" max="10497" width="7.28515625" style="386" customWidth="1"/>
    <col min="10498" max="10498" width="65.5703125" style="386" customWidth="1"/>
    <col min="10499" max="10499" width="14.7109375" style="386" customWidth="1"/>
    <col min="10500" max="10500" width="15.28515625" style="386" bestFit="1" customWidth="1"/>
    <col min="10501" max="10501" width="0" style="386" hidden="1" customWidth="1"/>
    <col min="10502" max="10503" width="14.7109375" style="386" customWidth="1"/>
    <col min="10504" max="10504" width="17.42578125" style="386" customWidth="1"/>
    <col min="10505" max="10505" width="6.7109375" style="386" customWidth="1"/>
    <col min="10506" max="10506" width="18.42578125" style="386" customWidth="1"/>
    <col min="10507" max="10507" width="17.85546875" style="386" customWidth="1"/>
    <col min="10508" max="10508" width="19.140625" style="386" customWidth="1"/>
    <col min="10509" max="10752" width="9.140625" style="386"/>
    <col min="10753" max="10753" width="7.28515625" style="386" customWidth="1"/>
    <col min="10754" max="10754" width="65.5703125" style="386" customWidth="1"/>
    <col min="10755" max="10755" width="14.7109375" style="386" customWidth="1"/>
    <col min="10756" max="10756" width="15.28515625" style="386" bestFit="1" customWidth="1"/>
    <col min="10757" max="10757" width="0" style="386" hidden="1" customWidth="1"/>
    <col min="10758" max="10759" width="14.7109375" style="386" customWidth="1"/>
    <col min="10760" max="10760" width="17.42578125" style="386" customWidth="1"/>
    <col min="10761" max="10761" width="6.7109375" style="386" customWidth="1"/>
    <col min="10762" max="10762" width="18.42578125" style="386" customWidth="1"/>
    <col min="10763" max="10763" width="17.85546875" style="386" customWidth="1"/>
    <col min="10764" max="10764" width="19.140625" style="386" customWidth="1"/>
    <col min="10765" max="11008" width="9.140625" style="386"/>
    <col min="11009" max="11009" width="7.28515625" style="386" customWidth="1"/>
    <col min="11010" max="11010" width="65.5703125" style="386" customWidth="1"/>
    <col min="11011" max="11011" width="14.7109375" style="386" customWidth="1"/>
    <col min="11012" max="11012" width="15.28515625" style="386" bestFit="1" customWidth="1"/>
    <col min="11013" max="11013" width="0" style="386" hidden="1" customWidth="1"/>
    <col min="11014" max="11015" width="14.7109375" style="386" customWidth="1"/>
    <col min="11016" max="11016" width="17.42578125" style="386" customWidth="1"/>
    <col min="11017" max="11017" width="6.7109375" style="386" customWidth="1"/>
    <col min="11018" max="11018" width="18.42578125" style="386" customWidth="1"/>
    <col min="11019" max="11019" width="17.85546875" style="386" customWidth="1"/>
    <col min="11020" max="11020" width="19.140625" style="386" customWidth="1"/>
    <col min="11021" max="11264" width="9.140625" style="386"/>
    <col min="11265" max="11265" width="7.28515625" style="386" customWidth="1"/>
    <col min="11266" max="11266" width="65.5703125" style="386" customWidth="1"/>
    <col min="11267" max="11267" width="14.7109375" style="386" customWidth="1"/>
    <col min="11268" max="11268" width="15.28515625" style="386" bestFit="1" customWidth="1"/>
    <col min="11269" max="11269" width="0" style="386" hidden="1" customWidth="1"/>
    <col min="11270" max="11271" width="14.7109375" style="386" customWidth="1"/>
    <col min="11272" max="11272" width="17.42578125" style="386" customWidth="1"/>
    <col min="11273" max="11273" width="6.7109375" style="386" customWidth="1"/>
    <col min="11274" max="11274" width="18.42578125" style="386" customWidth="1"/>
    <col min="11275" max="11275" width="17.85546875" style="386" customWidth="1"/>
    <col min="11276" max="11276" width="19.140625" style="386" customWidth="1"/>
    <col min="11277" max="11520" width="9.140625" style="386"/>
    <col min="11521" max="11521" width="7.28515625" style="386" customWidth="1"/>
    <col min="11522" max="11522" width="65.5703125" style="386" customWidth="1"/>
    <col min="11523" max="11523" width="14.7109375" style="386" customWidth="1"/>
    <col min="11524" max="11524" width="15.28515625" style="386" bestFit="1" customWidth="1"/>
    <col min="11525" max="11525" width="0" style="386" hidden="1" customWidth="1"/>
    <col min="11526" max="11527" width="14.7109375" style="386" customWidth="1"/>
    <col min="11528" max="11528" width="17.42578125" style="386" customWidth="1"/>
    <col min="11529" max="11529" width="6.7109375" style="386" customWidth="1"/>
    <col min="11530" max="11530" width="18.42578125" style="386" customWidth="1"/>
    <col min="11531" max="11531" width="17.85546875" style="386" customWidth="1"/>
    <col min="11532" max="11532" width="19.140625" style="386" customWidth="1"/>
    <col min="11533" max="11776" width="9.140625" style="386"/>
    <col min="11777" max="11777" width="7.28515625" style="386" customWidth="1"/>
    <col min="11778" max="11778" width="65.5703125" style="386" customWidth="1"/>
    <col min="11779" max="11779" width="14.7109375" style="386" customWidth="1"/>
    <col min="11780" max="11780" width="15.28515625" style="386" bestFit="1" customWidth="1"/>
    <col min="11781" max="11781" width="0" style="386" hidden="1" customWidth="1"/>
    <col min="11782" max="11783" width="14.7109375" style="386" customWidth="1"/>
    <col min="11784" max="11784" width="17.42578125" style="386" customWidth="1"/>
    <col min="11785" max="11785" width="6.7109375" style="386" customWidth="1"/>
    <col min="11786" max="11786" width="18.42578125" style="386" customWidth="1"/>
    <col min="11787" max="11787" width="17.85546875" style="386" customWidth="1"/>
    <col min="11788" max="11788" width="19.140625" style="386" customWidth="1"/>
    <col min="11789" max="12032" width="9.140625" style="386"/>
    <col min="12033" max="12033" width="7.28515625" style="386" customWidth="1"/>
    <col min="12034" max="12034" width="65.5703125" style="386" customWidth="1"/>
    <col min="12035" max="12035" width="14.7109375" style="386" customWidth="1"/>
    <col min="12036" max="12036" width="15.28515625" style="386" bestFit="1" customWidth="1"/>
    <col min="12037" max="12037" width="0" style="386" hidden="1" customWidth="1"/>
    <col min="12038" max="12039" width="14.7109375" style="386" customWidth="1"/>
    <col min="12040" max="12040" width="17.42578125" style="386" customWidth="1"/>
    <col min="12041" max="12041" width="6.7109375" style="386" customWidth="1"/>
    <col min="12042" max="12042" width="18.42578125" style="386" customWidth="1"/>
    <col min="12043" max="12043" width="17.85546875" style="386" customWidth="1"/>
    <col min="12044" max="12044" width="19.140625" style="386" customWidth="1"/>
    <col min="12045" max="12288" width="9.140625" style="386"/>
    <col min="12289" max="12289" width="7.28515625" style="386" customWidth="1"/>
    <col min="12290" max="12290" width="65.5703125" style="386" customWidth="1"/>
    <col min="12291" max="12291" width="14.7109375" style="386" customWidth="1"/>
    <col min="12292" max="12292" width="15.28515625" style="386" bestFit="1" customWidth="1"/>
    <col min="12293" max="12293" width="0" style="386" hidden="1" customWidth="1"/>
    <col min="12294" max="12295" width="14.7109375" style="386" customWidth="1"/>
    <col min="12296" max="12296" width="17.42578125" style="386" customWidth="1"/>
    <col min="12297" max="12297" width="6.7109375" style="386" customWidth="1"/>
    <col min="12298" max="12298" width="18.42578125" style="386" customWidth="1"/>
    <col min="12299" max="12299" width="17.85546875" style="386" customWidth="1"/>
    <col min="12300" max="12300" width="19.140625" style="386" customWidth="1"/>
    <col min="12301" max="12544" width="9.140625" style="386"/>
    <col min="12545" max="12545" width="7.28515625" style="386" customWidth="1"/>
    <col min="12546" max="12546" width="65.5703125" style="386" customWidth="1"/>
    <col min="12547" max="12547" width="14.7109375" style="386" customWidth="1"/>
    <col min="12548" max="12548" width="15.28515625" style="386" bestFit="1" customWidth="1"/>
    <col min="12549" max="12549" width="0" style="386" hidden="1" customWidth="1"/>
    <col min="12550" max="12551" width="14.7109375" style="386" customWidth="1"/>
    <col min="12552" max="12552" width="17.42578125" style="386" customWidth="1"/>
    <col min="12553" max="12553" width="6.7109375" style="386" customWidth="1"/>
    <col min="12554" max="12554" width="18.42578125" style="386" customWidth="1"/>
    <col min="12555" max="12555" width="17.85546875" style="386" customWidth="1"/>
    <col min="12556" max="12556" width="19.140625" style="386" customWidth="1"/>
    <col min="12557" max="12800" width="9.140625" style="386"/>
    <col min="12801" max="12801" width="7.28515625" style="386" customWidth="1"/>
    <col min="12802" max="12802" width="65.5703125" style="386" customWidth="1"/>
    <col min="12803" max="12803" width="14.7109375" style="386" customWidth="1"/>
    <col min="12804" max="12804" width="15.28515625" style="386" bestFit="1" customWidth="1"/>
    <col min="12805" max="12805" width="0" style="386" hidden="1" customWidth="1"/>
    <col min="12806" max="12807" width="14.7109375" style="386" customWidth="1"/>
    <col min="12808" max="12808" width="17.42578125" style="386" customWidth="1"/>
    <col min="12809" max="12809" width="6.7109375" style="386" customWidth="1"/>
    <col min="12810" max="12810" width="18.42578125" style="386" customWidth="1"/>
    <col min="12811" max="12811" width="17.85546875" style="386" customWidth="1"/>
    <col min="12812" max="12812" width="19.140625" style="386" customWidth="1"/>
    <col min="12813" max="13056" width="9.140625" style="386"/>
    <col min="13057" max="13057" width="7.28515625" style="386" customWidth="1"/>
    <col min="13058" max="13058" width="65.5703125" style="386" customWidth="1"/>
    <col min="13059" max="13059" width="14.7109375" style="386" customWidth="1"/>
    <col min="13060" max="13060" width="15.28515625" style="386" bestFit="1" customWidth="1"/>
    <col min="13061" max="13061" width="0" style="386" hidden="1" customWidth="1"/>
    <col min="13062" max="13063" width="14.7109375" style="386" customWidth="1"/>
    <col min="13064" max="13064" width="17.42578125" style="386" customWidth="1"/>
    <col min="13065" max="13065" width="6.7109375" style="386" customWidth="1"/>
    <col min="13066" max="13066" width="18.42578125" style="386" customWidth="1"/>
    <col min="13067" max="13067" width="17.85546875" style="386" customWidth="1"/>
    <col min="13068" max="13068" width="19.140625" style="386" customWidth="1"/>
    <col min="13069" max="13312" width="9.140625" style="386"/>
    <col min="13313" max="13313" width="7.28515625" style="386" customWidth="1"/>
    <col min="13314" max="13314" width="65.5703125" style="386" customWidth="1"/>
    <col min="13315" max="13315" width="14.7109375" style="386" customWidth="1"/>
    <col min="13316" max="13316" width="15.28515625" style="386" bestFit="1" customWidth="1"/>
    <col min="13317" max="13317" width="0" style="386" hidden="1" customWidth="1"/>
    <col min="13318" max="13319" width="14.7109375" style="386" customWidth="1"/>
    <col min="13320" max="13320" width="17.42578125" style="386" customWidth="1"/>
    <col min="13321" max="13321" width="6.7109375" style="386" customWidth="1"/>
    <col min="13322" max="13322" width="18.42578125" style="386" customWidth="1"/>
    <col min="13323" max="13323" width="17.85546875" style="386" customWidth="1"/>
    <col min="13324" max="13324" width="19.140625" style="386" customWidth="1"/>
    <col min="13325" max="13568" width="9.140625" style="386"/>
    <col min="13569" max="13569" width="7.28515625" style="386" customWidth="1"/>
    <col min="13570" max="13570" width="65.5703125" style="386" customWidth="1"/>
    <col min="13571" max="13571" width="14.7109375" style="386" customWidth="1"/>
    <col min="13572" max="13572" width="15.28515625" style="386" bestFit="1" customWidth="1"/>
    <col min="13573" max="13573" width="0" style="386" hidden="1" customWidth="1"/>
    <col min="13574" max="13575" width="14.7109375" style="386" customWidth="1"/>
    <col min="13576" max="13576" width="17.42578125" style="386" customWidth="1"/>
    <col min="13577" max="13577" width="6.7109375" style="386" customWidth="1"/>
    <col min="13578" max="13578" width="18.42578125" style="386" customWidth="1"/>
    <col min="13579" max="13579" width="17.85546875" style="386" customWidth="1"/>
    <col min="13580" max="13580" width="19.140625" style="386" customWidth="1"/>
    <col min="13581" max="13824" width="9.140625" style="386"/>
    <col min="13825" max="13825" width="7.28515625" style="386" customWidth="1"/>
    <col min="13826" max="13826" width="65.5703125" style="386" customWidth="1"/>
    <col min="13827" max="13827" width="14.7109375" style="386" customWidth="1"/>
    <col min="13828" max="13828" width="15.28515625" style="386" bestFit="1" customWidth="1"/>
    <col min="13829" max="13829" width="0" style="386" hidden="1" customWidth="1"/>
    <col min="13830" max="13831" width="14.7109375" style="386" customWidth="1"/>
    <col min="13832" max="13832" width="17.42578125" style="386" customWidth="1"/>
    <col min="13833" max="13833" width="6.7109375" style="386" customWidth="1"/>
    <col min="13834" max="13834" width="18.42578125" style="386" customWidth="1"/>
    <col min="13835" max="13835" width="17.85546875" style="386" customWidth="1"/>
    <col min="13836" max="13836" width="19.140625" style="386" customWidth="1"/>
    <col min="13837" max="14080" width="9.140625" style="386"/>
    <col min="14081" max="14081" width="7.28515625" style="386" customWidth="1"/>
    <col min="14082" max="14082" width="65.5703125" style="386" customWidth="1"/>
    <col min="14083" max="14083" width="14.7109375" style="386" customWidth="1"/>
    <col min="14084" max="14084" width="15.28515625" style="386" bestFit="1" customWidth="1"/>
    <col min="14085" max="14085" width="0" style="386" hidden="1" customWidth="1"/>
    <col min="14086" max="14087" width="14.7109375" style="386" customWidth="1"/>
    <col min="14088" max="14088" width="17.42578125" style="386" customWidth="1"/>
    <col min="14089" max="14089" width="6.7109375" style="386" customWidth="1"/>
    <col min="14090" max="14090" width="18.42578125" style="386" customWidth="1"/>
    <col min="14091" max="14091" width="17.85546875" style="386" customWidth="1"/>
    <col min="14092" max="14092" width="19.140625" style="386" customWidth="1"/>
    <col min="14093" max="14336" width="9.140625" style="386"/>
    <col min="14337" max="14337" width="7.28515625" style="386" customWidth="1"/>
    <col min="14338" max="14338" width="65.5703125" style="386" customWidth="1"/>
    <col min="14339" max="14339" width="14.7109375" style="386" customWidth="1"/>
    <col min="14340" max="14340" width="15.28515625" style="386" bestFit="1" customWidth="1"/>
    <col min="14341" max="14341" width="0" style="386" hidden="1" customWidth="1"/>
    <col min="14342" max="14343" width="14.7109375" style="386" customWidth="1"/>
    <col min="14344" max="14344" width="17.42578125" style="386" customWidth="1"/>
    <col min="14345" max="14345" width="6.7109375" style="386" customWidth="1"/>
    <col min="14346" max="14346" width="18.42578125" style="386" customWidth="1"/>
    <col min="14347" max="14347" width="17.85546875" style="386" customWidth="1"/>
    <col min="14348" max="14348" width="19.140625" style="386" customWidth="1"/>
    <col min="14349" max="14592" width="9.140625" style="386"/>
    <col min="14593" max="14593" width="7.28515625" style="386" customWidth="1"/>
    <col min="14594" max="14594" width="65.5703125" style="386" customWidth="1"/>
    <col min="14595" max="14595" width="14.7109375" style="386" customWidth="1"/>
    <col min="14596" max="14596" width="15.28515625" style="386" bestFit="1" customWidth="1"/>
    <col min="14597" max="14597" width="0" style="386" hidden="1" customWidth="1"/>
    <col min="14598" max="14599" width="14.7109375" style="386" customWidth="1"/>
    <col min="14600" max="14600" width="17.42578125" style="386" customWidth="1"/>
    <col min="14601" max="14601" width="6.7109375" style="386" customWidth="1"/>
    <col min="14602" max="14602" width="18.42578125" style="386" customWidth="1"/>
    <col min="14603" max="14603" width="17.85546875" style="386" customWidth="1"/>
    <col min="14604" max="14604" width="19.140625" style="386" customWidth="1"/>
    <col min="14605" max="14848" width="9.140625" style="386"/>
    <col min="14849" max="14849" width="7.28515625" style="386" customWidth="1"/>
    <col min="14850" max="14850" width="65.5703125" style="386" customWidth="1"/>
    <col min="14851" max="14851" width="14.7109375" style="386" customWidth="1"/>
    <col min="14852" max="14852" width="15.28515625" style="386" bestFit="1" customWidth="1"/>
    <col min="14853" max="14853" width="0" style="386" hidden="1" customWidth="1"/>
    <col min="14854" max="14855" width="14.7109375" style="386" customWidth="1"/>
    <col min="14856" max="14856" width="17.42578125" style="386" customWidth="1"/>
    <col min="14857" max="14857" width="6.7109375" style="386" customWidth="1"/>
    <col min="14858" max="14858" width="18.42578125" style="386" customWidth="1"/>
    <col min="14859" max="14859" width="17.85546875" style="386" customWidth="1"/>
    <col min="14860" max="14860" width="19.140625" style="386" customWidth="1"/>
    <col min="14861" max="15104" width="9.140625" style="386"/>
    <col min="15105" max="15105" width="7.28515625" style="386" customWidth="1"/>
    <col min="15106" max="15106" width="65.5703125" style="386" customWidth="1"/>
    <col min="15107" max="15107" width="14.7109375" style="386" customWidth="1"/>
    <col min="15108" max="15108" width="15.28515625" style="386" bestFit="1" customWidth="1"/>
    <col min="15109" max="15109" width="0" style="386" hidden="1" customWidth="1"/>
    <col min="15110" max="15111" width="14.7109375" style="386" customWidth="1"/>
    <col min="15112" max="15112" width="17.42578125" style="386" customWidth="1"/>
    <col min="15113" max="15113" width="6.7109375" style="386" customWidth="1"/>
    <col min="15114" max="15114" width="18.42578125" style="386" customWidth="1"/>
    <col min="15115" max="15115" width="17.85546875" style="386" customWidth="1"/>
    <col min="15116" max="15116" width="19.140625" style="386" customWidth="1"/>
    <col min="15117" max="15360" width="9.140625" style="386"/>
    <col min="15361" max="15361" width="7.28515625" style="386" customWidth="1"/>
    <col min="15362" max="15362" width="65.5703125" style="386" customWidth="1"/>
    <col min="15363" max="15363" width="14.7109375" style="386" customWidth="1"/>
    <col min="15364" max="15364" width="15.28515625" style="386" bestFit="1" customWidth="1"/>
    <col min="15365" max="15365" width="0" style="386" hidden="1" customWidth="1"/>
    <col min="15366" max="15367" width="14.7109375" style="386" customWidth="1"/>
    <col min="15368" max="15368" width="17.42578125" style="386" customWidth="1"/>
    <col min="15369" max="15369" width="6.7109375" style="386" customWidth="1"/>
    <col min="15370" max="15370" width="18.42578125" style="386" customWidth="1"/>
    <col min="15371" max="15371" width="17.85546875" style="386" customWidth="1"/>
    <col min="15372" max="15372" width="19.140625" style="386" customWidth="1"/>
    <col min="15373" max="15616" width="9.140625" style="386"/>
    <col min="15617" max="15617" width="7.28515625" style="386" customWidth="1"/>
    <col min="15618" max="15618" width="65.5703125" style="386" customWidth="1"/>
    <col min="15619" max="15619" width="14.7109375" style="386" customWidth="1"/>
    <col min="15620" max="15620" width="15.28515625" style="386" bestFit="1" customWidth="1"/>
    <col min="15621" max="15621" width="0" style="386" hidden="1" customWidth="1"/>
    <col min="15622" max="15623" width="14.7109375" style="386" customWidth="1"/>
    <col min="15624" max="15624" width="17.42578125" style="386" customWidth="1"/>
    <col min="15625" max="15625" width="6.7109375" style="386" customWidth="1"/>
    <col min="15626" max="15626" width="18.42578125" style="386" customWidth="1"/>
    <col min="15627" max="15627" width="17.85546875" style="386" customWidth="1"/>
    <col min="15628" max="15628" width="19.140625" style="386" customWidth="1"/>
    <col min="15629" max="15872" width="9.140625" style="386"/>
    <col min="15873" max="15873" width="7.28515625" style="386" customWidth="1"/>
    <col min="15874" max="15874" width="65.5703125" style="386" customWidth="1"/>
    <col min="15875" max="15875" width="14.7109375" style="386" customWidth="1"/>
    <col min="15876" max="15876" width="15.28515625" style="386" bestFit="1" customWidth="1"/>
    <col min="15877" max="15877" width="0" style="386" hidden="1" customWidth="1"/>
    <col min="15878" max="15879" width="14.7109375" style="386" customWidth="1"/>
    <col min="15880" max="15880" width="17.42578125" style="386" customWidth="1"/>
    <col min="15881" max="15881" width="6.7109375" style="386" customWidth="1"/>
    <col min="15882" max="15882" width="18.42578125" style="386" customWidth="1"/>
    <col min="15883" max="15883" width="17.85546875" style="386" customWidth="1"/>
    <col min="15884" max="15884" width="19.140625" style="386" customWidth="1"/>
    <col min="15885" max="16128" width="9.140625" style="386"/>
    <col min="16129" max="16129" width="7.28515625" style="386" customWidth="1"/>
    <col min="16130" max="16130" width="65.5703125" style="386" customWidth="1"/>
    <col min="16131" max="16131" width="14.7109375" style="386" customWidth="1"/>
    <col min="16132" max="16132" width="15.28515625" style="386" bestFit="1" customWidth="1"/>
    <col min="16133" max="16133" width="0" style="386" hidden="1" customWidth="1"/>
    <col min="16134" max="16135" width="14.7109375" style="386" customWidth="1"/>
    <col min="16136" max="16136" width="17.42578125" style="386" customWidth="1"/>
    <col min="16137" max="16137" width="6.7109375" style="386" customWidth="1"/>
    <col min="16138" max="16138" width="18.42578125" style="386" customWidth="1"/>
    <col min="16139" max="16139" width="17.85546875" style="386" customWidth="1"/>
    <col min="16140" max="16140" width="19.140625" style="386" customWidth="1"/>
    <col min="16141" max="16384" width="9.140625" style="386"/>
  </cols>
  <sheetData>
    <row r="1" spans="1:12" ht="17.25" thickBot="1" x14ac:dyDescent="0.3">
      <c r="C1" s="384"/>
      <c r="D1" s="384"/>
      <c r="E1" s="384"/>
      <c r="F1" s="384"/>
      <c r="G1" s="384" t="s">
        <v>0</v>
      </c>
    </row>
    <row r="2" spans="1:12" ht="28.5" customHeight="1" thickBot="1" x14ac:dyDescent="0.3">
      <c r="A2" s="387"/>
      <c r="B2" s="388" t="s">
        <v>624</v>
      </c>
      <c r="C2" s="389" t="s">
        <v>625</v>
      </c>
      <c r="D2" s="390" t="s">
        <v>6</v>
      </c>
      <c r="E2" s="391" t="s">
        <v>626</v>
      </c>
      <c r="F2" s="392" t="s">
        <v>627</v>
      </c>
      <c r="G2" s="393"/>
    </row>
    <row r="3" spans="1:12" ht="17.25" thickBot="1" x14ac:dyDescent="0.3">
      <c r="A3" s="394"/>
      <c r="B3" s="395" t="s">
        <v>628</v>
      </c>
      <c r="C3" s="396"/>
      <c r="D3" s="397" t="s">
        <v>629</v>
      </c>
      <c r="E3" s="398" t="s">
        <v>523</v>
      </c>
      <c r="F3" s="399" t="s">
        <v>630</v>
      </c>
      <c r="G3" s="399" t="s">
        <v>11</v>
      </c>
    </row>
    <row r="4" spans="1:12" ht="17.25" thickBot="1" x14ac:dyDescent="0.3">
      <c r="A4" s="394"/>
      <c r="B4" s="400" t="s">
        <v>3</v>
      </c>
      <c r="C4" s="401">
        <f>SUM(C5:C14)</f>
        <v>469630</v>
      </c>
      <c r="D4" s="401">
        <f>SUM(D5:D14)</f>
        <v>898050</v>
      </c>
      <c r="E4" s="401">
        <f>SUM(E5:E14)</f>
        <v>632346</v>
      </c>
      <c r="F4" s="401">
        <f>SUM(F5:F14)</f>
        <v>797395</v>
      </c>
      <c r="G4" s="401">
        <f>SUM(G5:G14)</f>
        <v>632346</v>
      </c>
      <c r="J4" s="402"/>
      <c r="K4" s="402"/>
      <c r="L4" s="402"/>
    </row>
    <row r="5" spans="1:12" x14ac:dyDescent="0.25">
      <c r="A5" s="394"/>
      <c r="B5" s="403" t="s">
        <v>7</v>
      </c>
      <c r="C5" s="404">
        <v>91081</v>
      </c>
      <c r="D5" s="404">
        <v>301487</v>
      </c>
      <c r="E5" s="404">
        <v>301487</v>
      </c>
      <c r="F5" s="404">
        <v>301487</v>
      </c>
      <c r="G5" s="404">
        <v>301487</v>
      </c>
      <c r="J5" s="405"/>
      <c r="K5" s="405"/>
      <c r="L5" s="405"/>
    </row>
    <row r="6" spans="1:12" x14ac:dyDescent="0.25">
      <c r="A6" s="394"/>
      <c r="B6" s="403" t="s">
        <v>48</v>
      </c>
      <c r="C6" s="404">
        <v>80000</v>
      </c>
      <c r="D6" s="404">
        <v>80082</v>
      </c>
      <c r="E6" s="404">
        <v>80082</v>
      </c>
      <c r="F6" s="404">
        <v>80082</v>
      </c>
      <c r="G6" s="404">
        <v>80082</v>
      </c>
      <c r="J6" s="405"/>
      <c r="K6" s="405"/>
      <c r="L6" s="405"/>
    </row>
    <row r="7" spans="1:12" x14ac:dyDescent="0.25">
      <c r="A7" s="394"/>
      <c r="B7" s="406" t="s">
        <v>631</v>
      </c>
      <c r="C7" s="404"/>
      <c r="D7" s="404">
        <v>2639</v>
      </c>
      <c r="E7" s="404">
        <v>2639</v>
      </c>
      <c r="F7" s="404">
        <v>2639</v>
      </c>
      <c r="G7" s="404">
        <v>2639</v>
      </c>
      <c r="J7" s="405"/>
      <c r="K7" s="405"/>
      <c r="L7" s="405"/>
    </row>
    <row r="8" spans="1:12" ht="16.5" customHeight="1" x14ac:dyDescent="0.25">
      <c r="A8" s="394"/>
      <c r="B8" s="403" t="s">
        <v>632</v>
      </c>
      <c r="C8" s="404">
        <v>8500</v>
      </c>
      <c r="D8" s="404">
        <v>5396</v>
      </c>
      <c r="E8" s="404">
        <v>5396</v>
      </c>
      <c r="F8" s="404">
        <v>5396</v>
      </c>
      <c r="G8" s="404">
        <v>5396</v>
      </c>
      <c r="J8" s="405"/>
      <c r="K8" s="405"/>
      <c r="L8" s="405"/>
    </row>
    <row r="9" spans="1:12" ht="16.5" customHeight="1" x14ac:dyDescent="0.25">
      <c r="A9" s="394"/>
      <c r="B9" s="403" t="s">
        <v>633</v>
      </c>
      <c r="C9" s="404"/>
      <c r="D9" s="404">
        <f>3416+2+516+200</f>
        <v>4134</v>
      </c>
      <c r="E9" s="404">
        <f>3415+2+516+200-76</f>
        <v>4057</v>
      </c>
      <c r="F9" s="404">
        <v>4057</v>
      </c>
      <c r="G9" s="404">
        <v>4057</v>
      </c>
      <c r="J9" s="405"/>
      <c r="K9" s="405"/>
      <c r="L9" s="405"/>
    </row>
    <row r="10" spans="1:12" ht="16.5" customHeight="1" x14ac:dyDescent="0.25">
      <c r="A10" s="394"/>
      <c r="B10" s="403" t="s">
        <v>634</v>
      </c>
      <c r="C10" s="404"/>
      <c r="D10" s="404">
        <v>26100</v>
      </c>
      <c r="E10" s="404">
        <v>26074</v>
      </c>
      <c r="F10" s="404">
        <v>26074</v>
      </c>
      <c r="G10" s="404">
        <v>26074</v>
      </c>
      <c r="J10" s="405"/>
      <c r="K10" s="405"/>
      <c r="L10" s="405"/>
    </row>
    <row r="11" spans="1:12" ht="16.5" customHeight="1" x14ac:dyDescent="0.25">
      <c r="A11" s="394"/>
      <c r="B11" s="403" t="s">
        <v>635</v>
      </c>
      <c r="C11" s="404"/>
      <c r="D11" s="404">
        <v>228163</v>
      </c>
      <c r="E11" s="404">
        <v>211875</v>
      </c>
      <c r="F11" s="404">
        <v>211875</v>
      </c>
      <c r="G11" s="404">
        <v>211875</v>
      </c>
      <c r="J11" s="405"/>
      <c r="K11" s="405"/>
      <c r="L11" s="405"/>
    </row>
    <row r="12" spans="1:12" ht="16.5" customHeight="1" x14ac:dyDescent="0.25">
      <c r="A12" s="394"/>
      <c r="B12" s="403" t="s">
        <v>636</v>
      </c>
      <c r="C12" s="404">
        <v>120000</v>
      </c>
      <c r="D12" s="404">
        <v>80000</v>
      </c>
      <c r="E12" s="404"/>
      <c r="F12" s="404"/>
      <c r="G12" s="404"/>
      <c r="J12" s="405"/>
      <c r="K12" s="405"/>
      <c r="L12" s="405"/>
    </row>
    <row r="13" spans="1:12" ht="16.5" customHeight="1" x14ac:dyDescent="0.25">
      <c r="A13" s="394"/>
      <c r="B13" s="403" t="s">
        <v>637</v>
      </c>
      <c r="C13" s="404">
        <v>165049</v>
      </c>
      <c r="D13" s="404">
        <v>165049</v>
      </c>
      <c r="E13" s="404"/>
      <c r="F13" s="404">
        <v>165049</v>
      </c>
      <c r="G13" s="404"/>
      <c r="J13" s="405"/>
      <c r="K13" s="405"/>
      <c r="L13" s="405"/>
    </row>
    <row r="14" spans="1:12" ht="17.25" thickBot="1" x14ac:dyDescent="0.3">
      <c r="A14" s="407"/>
      <c r="B14" s="403" t="s">
        <v>638</v>
      </c>
      <c r="C14" s="404">
        <v>5000</v>
      </c>
      <c r="D14" s="404">
        <v>5000</v>
      </c>
      <c r="E14" s="404">
        <v>736</v>
      </c>
      <c r="F14" s="404">
        <v>736</v>
      </c>
      <c r="G14" s="404">
        <v>736</v>
      </c>
      <c r="J14" s="405"/>
      <c r="K14" s="405"/>
      <c r="L14" s="405"/>
    </row>
    <row r="15" spans="1:12" ht="17.25" thickBot="1" x14ac:dyDescent="0.3">
      <c r="A15" s="408"/>
      <c r="B15" s="409" t="s">
        <v>4</v>
      </c>
      <c r="C15" s="401">
        <f t="shared" ref="C15:H15" si="0">C16+C17+C94</f>
        <v>469630</v>
      </c>
      <c r="D15" s="401">
        <f t="shared" si="0"/>
        <v>766233</v>
      </c>
      <c r="E15" s="401">
        <f t="shared" si="0"/>
        <v>656557</v>
      </c>
      <c r="F15" s="401">
        <f t="shared" si="0"/>
        <v>650449</v>
      </c>
      <c r="G15" s="401">
        <f t="shared" si="0"/>
        <v>650449</v>
      </c>
      <c r="H15" s="401">
        <f t="shared" si="0"/>
        <v>-6108</v>
      </c>
      <c r="J15" s="405"/>
      <c r="K15" s="405"/>
      <c r="L15" s="405"/>
    </row>
    <row r="16" spans="1:12" x14ac:dyDescent="0.25">
      <c r="A16" s="410"/>
      <c r="B16" s="387"/>
      <c r="C16" s="411"/>
      <c r="D16" s="411"/>
      <c r="E16" s="411"/>
      <c r="F16" s="411"/>
      <c r="G16" s="411"/>
    </row>
    <row r="17" spans="1:11" ht="17.25" thickBot="1" x14ac:dyDescent="0.3">
      <c r="A17" s="412" t="s">
        <v>63</v>
      </c>
      <c r="B17" s="413" t="s">
        <v>536</v>
      </c>
      <c r="C17" s="414">
        <f t="shared" ref="C17:H17" si="1">SUM(C18:C92)</f>
        <v>429630</v>
      </c>
      <c r="D17" s="414">
        <f t="shared" si="1"/>
        <v>704095</v>
      </c>
      <c r="E17" s="414">
        <f t="shared" si="1"/>
        <v>614334</v>
      </c>
      <c r="F17" s="414">
        <f t="shared" si="1"/>
        <v>615439</v>
      </c>
      <c r="G17" s="414">
        <f t="shared" si="1"/>
        <v>615439</v>
      </c>
      <c r="H17" s="414">
        <f t="shared" si="1"/>
        <v>1105</v>
      </c>
      <c r="J17" s="415"/>
      <c r="K17" s="405"/>
    </row>
    <row r="18" spans="1:11" x14ac:dyDescent="0.25">
      <c r="A18" s="416" t="s">
        <v>639</v>
      </c>
      <c r="B18" s="417" t="s">
        <v>640</v>
      </c>
      <c r="C18" s="404">
        <v>1610</v>
      </c>
      <c r="D18" s="404">
        <v>1610</v>
      </c>
      <c r="E18" s="404">
        <v>1610</v>
      </c>
      <c r="F18" s="404">
        <v>1610</v>
      </c>
      <c r="G18" s="404">
        <v>1610</v>
      </c>
      <c r="H18" s="418">
        <f>G18-E18</f>
        <v>0</v>
      </c>
    </row>
    <row r="19" spans="1:11" x14ac:dyDescent="0.25">
      <c r="A19" s="416" t="s">
        <v>641</v>
      </c>
      <c r="B19" s="419" t="s">
        <v>642</v>
      </c>
      <c r="C19" s="404">
        <v>400</v>
      </c>
      <c r="D19" s="404">
        <v>400</v>
      </c>
      <c r="E19" s="404">
        <v>180</v>
      </c>
      <c r="F19" s="404">
        <v>180</v>
      </c>
      <c r="G19" s="404">
        <v>180</v>
      </c>
      <c r="H19" s="418">
        <f t="shared" ref="H19:H82" si="2">G19-E19</f>
        <v>0</v>
      </c>
    </row>
    <row r="20" spans="1:11" x14ac:dyDescent="0.25">
      <c r="A20" s="416" t="s">
        <v>643</v>
      </c>
      <c r="B20" s="419" t="s">
        <v>644</v>
      </c>
      <c r="C20" s="404">
        <v>10000</v>
      </c>
      <c r="D20" s="404">
        <v>42000</v>
      </c>
      <c r="E20" s="404">
        <v>41635</v>
      </c>
      <c r="F20" s="404">
        <v>40619</v>
      </c>
      <c r="G20" s="404">
        <f>40633-14</f>
        <v>40619</v>
      </c>
      <c r="H20" s="418">
        <f t="shared" si="2"/>
        <v>-1016</v>
      </c>
    </row>
    <row r="21" spans="1:11" x14ac:dyDescent="0.25">
      <c r="A21" s="416" t="s">
        <v>645</v>
      </c>
      <c r="B21" s="419" t="s">
        <v>646</v>
      </c>
      <c r="C21" s="404">
        <v>10000</v>
      </c>
      <c r="D21" s="404">
        <v>12000</v>
      </c>
      <c r="E21" s="404">
        <v>11337</v>
      </c>
      <c r="F21" s="404">
        <v>11337</v>
      </c>
      <c r="G21" s="404">
        <v>11337</v>
      </c>
      <c r="H21" s="418">
        <f t="shared" si="2"/>
        <v>0</v>
      </c>
    </row>
    <row r="22" spans="1:11" x14ac:dyDescent="0.25">
      <c r="A22" s="416" t="s">
        <v>647</v>
      </c>
      <c r="B22" s="419" t="s">
        <v>648</v>
      </c>
      <c r="C22" s="404">
        <v>95049</v>
      </c>
      <c r="D22" s="404">
        <v>95049</v>
      </c>
      <c r="E22" s="404">
        <v>95049</v>
      </c>
      <c r="F22" s="404">
        <v>95049</v>
      </c>
      <c r="G22" s="404">
        <v>95049</v>
      </c>
      <c r="H22" s="418">
        <f t="shared" si="2"/>
        <v>0</v>
      </c>
    </row>
    <row r="23" spans="1:11" x14ac:dyDescent="0.25">
      <c r="A23" s="416" t="s">
        <v>649</v>
      </c>
      <c r="B23" s="419" t="s">
        <v>650</v>
      </c>
      <c r="C23" s="404">
        <v>50</v>
      </c>
      <c r="D23" s="404">
        <v>50</v>
      </c>
      <c r="E23" s="404"/>
      <c r="F23" s="404">
        <v>445</v>
      </c>
      <c r="G23" s="404">
        <v>445</v>
      </c>
      <c r="H23" s="418">
        <f t="shared" si="2"/>
        <v>445</v>
      </c>
    </row>
    <row r="24" spans="1:11" x14ac:dyDescent="0.25">
      <c r="A24" s="416" t="s">
        <v>651</v>
      </c>
      <c r="B24" s="419" t="s">
        <v>652</v>
      </c>
      <c r="C24" s="404"/>
      <c r="D24" s="404">
        <v>850</v>
      </c>
      <c r="E24" s="404">
        <v>839</v>
      </c>
      <c r="F24" s="404">
        <v>839</v>
      </c>
      <c r="G24" s="404">
        <v>839</v>
      </c>
      <c r="H24" s="418">
        <f t="shared" si="2"/>
        <v>0</v>
      </c>
    </row>
    <row r="25" spans="1:11" x14ac:dyDescent="0.25">
      <c r="A25" s="416" t="s">
        <v>653</v>
      </c>
      <c r="B25" s="419" t="s">
        <v>654</v>
      </c>
      <c r="C25" s="404">
        <v>12000</v>
      </c>
      <c r="D25" s="404">
        <v>18155</v>
      </c>
      <c r="E25" s="404">
        <v>8594</v>
      </c>
      <c r="F25" s="404">
        <v>8594</v>
      </c>
      <c r="G25" s="404">
        <v>8594</v>
      </c>
      <c r="H25" s="418">
        <f t="shared" si="2"/>
        <v>0</v>
      </c>
    </row>
    <row r="26" spans="1:11" x14ac:dyDescent="0.25">
      <c r="A26" s="416" t="s">
        <v>655</v>
      </c>
      <c r="B26" s="419" t="s">
        <v>656</v>
      </c>
      <c r="C26" s="404">
        <v>12000</v>
      </c>
      <c r="D26" s="404">
        <v>25910</v>
      </c>
      <c r="E26" s="404">
        <v>19432</v>
      </c>
      <c r="F26" s="404">
        <v>19432</v>
      </c>
      <c r="G26" s="404">
        <v>19432</v>
      </c>
      <c r="H26" s="418">
        <f t="shared" si="2"/>
        <v>0</v>
      </c>
    </row>
    <row r="27" spans="1:11" x14ac:dyDescent="0.25">
      <c r="A27" s="416" t="s">
        <v>657</v>
      </c>
      <c r="B27" s="419" t="s">
        <v>658</v>
      </c>
      <c r="C27" s="404">
        <v>12000</v>
      </c>
      <c r="D27" s="404">
        <v>29500</v>
      </c>
      <c r="E27" s="404">
        <v>28594</v>
      </c>
      <c r="F27" s="404">
        <v>28594</v>
      </c>
      <c r="G27" s="404">
        <v>28594</v>
      </c>
      <c r="H27" s="418">
        <f t="shared" si="2"/>
        <v>0</v>
      </c>
    </row>
    <row r="28" spans="1:11" x14ac:dyDescent="0.25">
      <c r="A28" s="416" t="s">
        <v>659</v>
      </c>
      <c r="B28" s="419" t="s">
        <v>660</v>
      </c>
      <c r="C28" s="404">
        <v>12000</v>
      </c>
      <c r="D28" s="404">
        <v>15000</v>
      </c>
      <c r="E28" s="404">
        <v>13655</v>
      </c>
      <c r="F28" s="404">
        <v>13655</v>
      </c>
      <c r="G28" s="404">
        <v>13655</v>
      </c>
      <c r="H28" s="418">
        <f t="shared" si="2"/>
        <v>0</v>
      </c>
    </row>
    <row r="29" spans="1:11" x14ac:dyDescent="0.25">
      <c r="A29" s="416" t="s">
        <v>661</v>
      </c>
      <c r="B29" s="419" t="s">
        <v>662</v>
      </c>
      <c r="C29" s="404">
        <v>5748</v>
      </c>
      <c r="D29" s="404">
        <v>2000</v>
      </c>
      <c r="E29" s="404"/>
      <c r="F29" s="404"/>
      <c r="G29" s="404"/>
      <c r="H29" s="418">
        <f t="shared" si="2"/>
        <v>0</v>
      </c>
    </row>
    <row r="30" spans="1:11" x14ac:dyDescent="0.25">
      <c r="A30" s="416" t="s">
        <v>663</v>
      </c>
      <c r="B30" s="419" t="s">
        <v>664</v>
      </c>
      <c r="C30" s="404">
        <v>70</v>
      </c>
      <c r="D30" s="404">
        <v>70</v>
      </c>
      <c r="E30" s="404">
        <v>34</v>
      </c>
      <c r="F30" s="404">
        <v>34</v>
      </c>
      <c r="G30" s="404">
        <v>34</v>
      </c>
      <c r="H30" s="418">
        <f t="shared" si="2"/>
        <v>0</v>
      </c>
    </row>
    <row r="31" spans="1:11" x14ac:dyDescent="0.25">
      <c r="A31" s="416" t="s">
        <v>665</v>
      </c>
      <c r="B31" s="419" t="s">
        <v>666</v>
      </c>
      <c r="C31" s="404">
        <v>14500</v>
      </c>
      <c r="D31" s="404">
        <v>13400</v>
      </c>
      <c r="E31" s="404">
        <v>5645</v>
      </c>
      <c r="F31" s="404">
        <v>7203</v>
      </c>
      <c r="G31" s="404">
        <v>7203</v>
      </c>
      <c r="H31" s="418">
        <f t="shared" si="2"/>
        <v>1558</v>
      </c>
    </row>
    <row r="32" spans="1:11" x14ac:dyDescent="0.25">
      <c r="A32" s="416" t="s">
        <v>667</v>
      </c>
      <c r="B32" s="419" t="s">
        <v>668</v>
      </c>
      <c r="C32" s="404">
        <v>7000</v>
      </c>
      <c r="D32" s="404">
        <v>13000</v>
      </c>
      <c r="E32" s="404">
        <v>12475</v>
      </c>
      <c r="F32" s="404">
        <v>12475</v>
      </c>
      <c r="G32" s="404">
        <v>12475</v>
      </c>
      <c r="H32" s="418">
        <f t="shared" si="2"/>
        <v>0</v>
      </c>
    </row>
    <row r="33" spans="1:8" x14ac:dyDescent="0.25">
      <c r="A33" s="416" t="s">
        <v>669</v>
      </c>
      <c r="B33" s="419" t="s">
        <v>670</v>
      </c>
      <c r="C33" s="404">
        <v>500</v>
      </c>
      <c r="D33" s="404">
        <v>29000</v>
      </c>
      <c r="E33" s="404">
        <v>27343</v>
      </c>
      <c r="F33" s="404">
        <f>26266-3</f>
        <v>26263</v>
      </c>
      <c r="G33" s="404">
        <v>26263</v>
      </c>
      <c r="H33" s="418">
        <f>G33-E33</f>
        <v>-1080</v>
      </c>
    </row>
    <row r="34" spans="1:8" x14ac:dyDescent="0.25">
      <c r="A34" s="416" t="s">
        <v>671</v>
      </c>
      <c r="B34" s="419" t="s">
        <v>672</v>
      </c>
      <c r="C34" s="404">
        <v>1000</v>
      </c>
      <c r="D34" s="404">
        <v>2500</v>
      </c>
      <c r="E34" s="404">
        <v>2035</v>
      </c>
      <c r="F34" s="404">
        <v>2035</v>
      </c>
      <c r="G34" s="404">
        <v>2035</v>
      </c>
      <c r="H34" s="418">
        <f t="shared" si="2"/>
        <v>0</v>
      </c>
    </row>
    <row r="35" spans="1:8" x14ac:dyDescent="0.25">
      <c r="A35" s="416" t="s">
        <v>673</v>
      </c>
      <c r="B35" s="419" t="s">
        <v>674</v>
      </c>
      <c r="C35" s="404">
        <v>3250</v>
      </c>
      <c r="D35" s="404">
        <v>3250</v>
      </c>
      <c r="E35" s="404">
        <v>3250</v>
      </c>
      <c r="F35" s="404">
        <v>3250</v>
      </c>
      <c r="G35" s="404">
        <v>3250</v>
      </c>
      <c r="H35" s="418">
        <f t="shared" si="2"/>
        <v>0</v>
      </c>
    </row>
    <row r="36" spans="1:8" x14ac:dyDescent="0.25">
      <c r="A36" s="416" t="s">
        <v>675</v>
      </c>
      <c r="B36" s="419" t="s">
        <v>676</v>
      </c>
      <c r="C36" s="404">
        <v>10000</v>
      </c>
      <c r="D36" s="404">
        <v>23000</v>
      </c>
      <c r="E36" s="404">
        <v>21649</v>
      </c>
      <c r="F36" s="404">
        <v>21649</v>
      </c>
      <c r="G36" s="404">
        <v>21649</v>
      </c>
      <c r="H36" s="418">
        <f t="shared" si="2"/>
        <v>0</v>
      </c>
    </row>
    <row r="37" spans="1:8" x14ac:dyDescent="0.25">
      <c r="A37" s="416" t="s">
        <v>677</v>
      </c>
      <c r="B37" s="419" t="s">
        <v>678</v>
      </c>
      <c r="C37" s="404">
        <v>1000</v>
      </c>
      <c r="D37" s="404">
        <v>1000</v>
      </c>
      <c r="E37" s="404">
        <v>1</v>
      </c>
      <c r="F37" s="404">
        <v>1</v>
      </c>
      <c r="G37" s="404">
        <v>1</v>
      </c>
      <c r="H37" s="418">
        <f t="shared" si="2"/>
        <v>0</v>
      </c>
    </row>
    <row r="38" spans="1:8" ht="33" x14ac:dyDescent="0.25">
      <c r="A38" s="416" t="s">
        <v>679</v>
      </c>
      <c r="B38" s="419" t="s">
        <v>680</v>
      </c>
      <c r="C38" s="404">
        <v>10000</v>
      </c>
      <c r="D38" s="404">
        <v>5000</v>
      </c>
      <c r="E38" s="404"/>
      <c r="F38" s="404"/>
      <c r="G38" s="404"/>
      <c r="H38" s="418">
        <f t="shared" si="2"/>
        <v>0</v>
      </c>
    </row>
    <row r="39" spans="1:8" x14ac:dyDescent="0.25">
      <c r="A39" s="416" t="s">
        <v>681</v>
      </c>
      <c r="B39" s="419" t="s">
        <v>682</v>
      </c>
      <c r="C39" s="404">
        <v>1000</v>
      </c>
      <c r="D39" s="404">
        <v>6600</v>
      </c>
      <c r="E39" s="404">
        <v>6330</v>
      </c>
      <c r="F39" s="404">
        <v>6330</v>
      </c>
      <c r="G39" s="404">
        <v>6330</v>
      </c>
      <c r="H39" s="418">
        <f t="shared" si="2"/>
        <v>0</v>
      </c>
    </row>
    <row r="40" spans="1:8" x14ac:dyDescent="0.25">
      <c r="A40" s="416" t="s">
        <v>683</v>
      </c>
      <c r="B40" s="419" t="s">
        <v>684</v>
      </c>
      <c r="C40" s="404">
        <v>1000</v>
      </c>
      <c r="D40" s="404">
        <v>300</v>
      </c>
      <c r="E40" s="404">
        <v>37</v>
      </c>
      <c r="F40" s="404">
        <v>37</v>
      </c>
      <c r="G40" s="404">
        <v>37</v>
      </c>
      <c r="H40" s="418">
        <f t="shared" si="2"/>
        <v>0</v>
      </c>
    </row>
    <row r="41" spans="1:8" x14ac:dyDescent="0.25">
      <c r="A41" s="416" t="s">
        <v>685</v>
      </c>
      <c r="B41" s="419" t="s">
        <v>686</v>
      </c>
      <c r="C41" s="404">
        <v>1000</v>
      </c>
      <c r="D41" s="404">
        <v>8000</v>
      </c>
      <c r="E41" s="404">
        <v>8022</v>
      </c>
      <c r="F41" s="404">
        <v>7615</v>
      </c>
      <c r="G41" s="404">
        <v>7615</v>
      </c>
      <c r="H41" s="418">
        <f t="shared" si="2"/>
        <v>-407</v>
      </c>
    </row>
    <row r="42" spans="1:8" ht="33" x14ac:dyDescent="0.25">
      <c r="A42" s="416" t="s">
        <v>687</v>
      </c>
      <c r="B42" s="419" t="s">
        <v>688</v>
      </c>
      <c r="C42" s="404">
        <v>1000</v>
      </c>
      <c r="D42" s="404">
        <v>2000</v>
      </c>
      <c r="E42" s="404">
        <v>1</v>
      </c>
      <c r="F42" s="404">
        <v>1</v>
      </c>
      <c r="G42" s="404">
        <v>1</v>
      </c>
      <c r="H42" s="418">
        <f t="shared" si="2"/>
        <v>0</v>
      </c>
    </row>
    <row r="43" spans="1:8" ht="33" x14ac:dyDescent="0.25">
      <c r="A43" s="416" t="s">
        <v>689</v>
      </c>
      <c r="B43" s="419" t="s">
        <v>690</v>
      </c>
      <c r="C43" s="404">
        <v>30</v>
      </c>
      <c r="D43" s="404">
        <v>30</v>
      </c>
      <c r="E43" s="404"/>
      <c r="F43" s="404">
        <v>774</v>
      </c>
      <c r="G43" s="404">
        <v>774</v>
      </c>
      <c r="H43" s="418">
        <f t="shared" si="2"/>
        <v>774</v>
      </c>
    </row>
    <row r="44" spans="1:8" x14ac:dyDescent="0.25">
      <c r="A44" s="416" t="s">
        <v>691</v>
      </c>
      <c r="B44" s="419" t="s">
        <v>692</v>
      </c>
      <c r="C44" s="404">
        <v>10000</v>
      </c>
      <c r="D44" s="404">
        <v>7000</v>
      </c>
      <c r="E44" s="404">
        <v>5523</v>
      </c>
      <c r="F44" s="404">
        <v>5523</v>
      </c>
      <c r="G44" s="404">
        <v>5523</v>
      </c>
      <c r="H44" s="418">
        <f t="shared" si="2"/>
        <v>0</v>
      </c>
    </row>
    <row r="45" spans="1:8" x14ac:dyDescent="0.25">
      <c r="A45" s="416" t="s">
        <v>693</v>
      </c>
      <c r="B45" s="419" t="s">
        <v>694</v>
      </c>
      <c r="C45" s="404">
        <v>1000</v>
      </c>
      <c r="D45" s="404"/>
      <c r="E45" s="404"/>
      <c r="F45" s="404"/>
      <c r="G45" s="404"/>
      <c r="H45" s="418">
        <f t="shared" si="2"/>
        <v>0</v>
      </c>
    </row>
    <row r="46" spans="1:8" ht="33" x14ac:dyDescent="0.25">
      <c r="A46" s="416" t="s">
        <v>695</v>
      </c>
      <c r="B46" s="419" t="s">
        <v>696</v>
      </c>
      <c r="C46" s="404">
        <v>1000</v>
      </c>
      <c r="D46" s="404">
        <v>1250</v>
      </c>
      <c r="E46" s="404">
        <v>1081</v>
      </c>
      <c r="F46" s="404">
        <v>1444</v>
      </c>
      <c r="G46" s="404">
        <f>1661-G111</f>
        <v>1444</v>
      </c>
      <c r="H46" s="418">
        <f t="shared" si="2"/>
        <v>363</v>
      </c>
    </row>
    <row r="47" spans="1:8" x14ac:dyDescent="0.25">
      <c r="A47" s="416" t="s">
        <v>697</v>
      </c>
      <c r="B47" s="419" t="s">
        <v>698</v>
      </c>
      <c r="C47" s="404">
        <v>3000</v>
      </c>
      <c r="D47" s="404">
        <v>3905</v>
      </c>
      <c r="E47" s="404">
        <v>2313</v>
      </c>
      <c r="F47" s="404">
        <v>2684</v>
      </c>
      <c r="G47" s="404">
        <v>2684</v>
      </c>
      <c r="H47" s="418">
        <f t="shared" si="2"/>
        <v>371</v>
      </c>
    </row>
    <row r="48" spans="1:8" x14ac:dyDescent="0.25">
      <c r="A48" s="416" t="s">
        <v>699</v>
      </c>
      <c r="B48" s="419" t="s">
        <v>700</v>
      </c>
      <c r="C48" s="404">
        <v>10000</v>
      </c>
      <c r="D48" s="404">
        <v>25000</v>
      </c>
      <c r="E48" s="404">
        <v>24217</v>
      </c>
      <c r="F48" s="404">
        <v>24218</v>
      </c>
      <c r="G48" s="404">
        <v>24218</v>
      </c>
      <c r="H48" s="418">
        <f t="shared" si="2"/>
        <v>1</v>
      </c>
    </row>
    <row r="49" spans="1:8" x14ac:dyDescent="0.25">
      <c r="A49" s="416" t="s">
        <v>701</v>
      </c>
      <c r="B49" s="419" t="s">
        <v>702</v>
      </c>
      <c r="C49" s="404">
        <v>10000</v>
      </c>
      <c r="D49" s="404">
        <v>21500</v>
      </c>
      <c r="E49" s="404">
        <v>19170</v>
      </c>
      <c r="F49" s="404">
        <v>19544</v>
      </c>
      <c r="G49" s="404">
        <v>19544</v>
      </c>
      <c r="H49" s="418">
        <f t="shared" si="2"/>
        <v>374</v>
      </c>
    </row>
    <row r="50" spans="1:8" x14ac:dyDescent="0.25">
      <c r="A50" s="416" t="s">
        <v>703</v>
      </c>
      <c r="B50" s="419" t="s">
        <v>704</v>
      </c>
      <c r="C50" s="404">
        <v>10000</v>
      </c>
      <c r="D50" s="404">
        <v>29100</v>
      </c>
      <c r="E50" s="404">
        <v>27717</v>
      </c>
      <c r="F50" s="404">
        <v>27645</v>
      </c>
      <c r="G50" s="404">
        <v>27645</v>
      </c>
      <c r="H50" s="418">
        <f t="shared" si="2"/>
        <v>-72</v>
      </c>
    </row>
    <row r="51" spans="1:8" x14ac:dyDescent="0.25">
      <c r="A51" s="416" t="s">
        <v>705</v>
      </c>
      <c r="B51" s="419" t="s">
        <v>706</v>
      </c>
      <c r="C51" s="404">
        <v>5000</v>
      </c>
      <c r="D51" s="404">
        <v>5030</v>
      </c>
      <c r="E51" s="404">
        <v>334</v>
      </c>
      <c r="F51" s="404">
        <v>334</v>
      </c>
      <c r="G51" s="404">
        <v>334</v>
      </c>
      <c r="H51" s="418">
        <f t="shared" si="2"/>
        <v>0</v>
      </c>
    </row>
    <row r="52" spans="1:8" x14ac:dyDescent="0.25">
      <c r="A52" s="416" t="s">
        <v>707</v>
      </c>
      <c r="B52" s="419" t="s">
        <v>708</v>
      </c>
      <c r="C52" s="404">
        <v>13000</v>
      </c>
      <c r="D52" s="404">
        <v>60900</v>
      </c>
      <c r="E52" s="404">
        <v>58554</v>
      </c>
      <c r="F52" s="404">
        <v>58364</v>
      </c>
      <c r="G52" s="404">
        <v>58364</v>
      </c>
      <c r="H52" s="418">
        <f t="shared" si="2"/>
        <v>-190</v>
      </c>
    </row>
    <row r="53" spans="1:8" x14ac:dyDescent="0.25">
      <c r="A53" s="416" t="s">
        <v>709</v>
      </c>
      <c r="B53" s="419" t="s">
        <v>710</v>
      </c>
      <c r="C53" s="404">
        <v>10000</v>
      </c>
      <c r="D53" s="404">
        <v>17600</v>
      </c>
      <c r="E53" s="404">
        <v>15277</v>
      </c>
      <c r="F53" s="404">
        <v>15689</v>
      </c>
      <c r="G53" s="404">
        <v>15689</v>
      </c>
      <c r="H53" s="386">
        <f t="shared" si="2"/>
        <v>412</v>
      </c>
    </row>
    <row r="54" spans="1:8" x14ac:dyDescent="0.25">
      <c r="A54" s="416" t="s">
        <v>711</v>
      </c>
      <c r="B54" s="419" t="s">
        <v>712</v>
      </c>
      <c r="C54" s="404">
        <v>500</v>
      </c>
      <c r="D54" s="404">
        <v>16200</v>
      </c>
      <c r="E54" s="404">
        <v>15653</v>
      </c>
      <c r="F54" s="404">
        <v>15653</v>
      </c>
      <c r="G54" s="404">
        <v>15653</v>
      </c>
      <c r="H54" s="418">
        <f t="shared" si="2"/>
        <v>0</v>
      </c>
    </row>
    <row r="55" spans="1:8" x14ac:dyDescent="0.25">
      <c r="A55" s="416" t="s">
        <v>713</v>
      </c>
      <c r="B55" s="419" t="s">
        <v>714</v>
      </c>
      <c r="C55" s="404">
        <v>3000</v>
      </c>
      <c r="D55" s="404">
        <v>32500</v>
      </c>
      <c r="E55" s="404">
        <v>22717</v>
      </c>
      <c r="F55" s="404">
        <f>22447+10</f>
        <v>22457</v>
      </c>
      <c r="G55" s="404">
        <v>22457</v>
      </c>
      <c r="H55" s="418">
        <f t="shared" si="2"/>
        <v>-260</v>
      </c>
    </row>
    <row r="56" spans="1:8" x14ac:dyDescent="0.25">
      <c r="A56" s="416" t="s">
        <v>715</v>
      </c>
      <c r="B56" s="419" t="s">
        <v>716</v>
      </c>
      <c r="C56" s="404">
        <v>3000</v>
      </c>
      <c r="D56" s="404">
        <v>8200</v>
      </c>
      <c r="E56" s="404">
        <v>6879</v>
      </c>
      <c r="F56" s="404">
        <v>6879</v>
      </c>
      <c r="G56" s="404">
        <v>6879</v>
      </c>
      <c r="H56" s="418">
        <f t="shared" si="2"/>
        <v>0</v>
      </c>
    </row>
    <row r="57" spans="1:8" x14ac:dyDescent="0.25">
      <c r="A57" s="416" t="s">
        <v>717</v>
      </c>
      <c r="B57" s="419" t="s">
        <v>718</v>
      </c>
      <c r="C57" s="404">
        <v>3000</v>
      </c>
      <c r="D57" s="404">
        <v>9400</v>
      </c>
      <c r="E57" s="404">
        <v>8495</v>
      </c>
      <c r="F57" s="404">
        <f>6159+2168</f>
        <v>8327</v>
      </c>
      <c r="G57" s="404">
        <v>8327</v>
      </c>
      <c r="H57" s="418">
        <f t="shared" si="2"/>
        <v>-168</v>
      </c>
    </row>
    <row r="58" spans="1:8" x14ac:dyDescent="0.25">
      <c r="A58" s="416" t="s">
        <v>719</v>
      </c>
      <c r="B58" s="419" t="s">
        <v>720</v>
      </c>
      <c r="C58" s="404">
        <v>3000</v>
      </c>
      <c r="D58" s="404">
        <v>5600</v>
      </c>
      <c r="E58" s="404">
        <v>4785</v>
      </c>
      <c r="F58" s="404">
        <v>4785</v>
      </c>
      <c r="G58" s="404">
        <v>4785</v>
      </c>
      <c r="H58" s="418">
        <f t="shared" si="2"/>
        <v>0</v>
      </c>
    </row>
    <row r="59" spans="1:8" x14ac:dyDescent="0.25">
      <c r="A59" s="416" t="s">
        <v>721</v>
      </c>
      <c r="B59" s="419" t="s">
        <v>722</v>
      </c>
      <c r="C59" s="404">
        <v>3000</v>
      </c>
      <c r="D59" s="404">
        <v>5100</v>
      </c>
      <c r="E59" s="404">
        <v>4380</v>
      </c>
      <c r="F59" s="404">
        <v>4380</v>
      </c>
      <c r="G59" s="404">
        <v>4380</v>
      </c>
      <c r="H59" s="418">
        <f t="shared" si="2"/>
        <v>0</v>
      </c>
    </row>
    <row r="60" spans="1:8" x14ac:dyDescent="0.25">
      <c r="A60" s="416" t="s">
        <v>723</v>
      </c>
      <c r="B60" s="419" t="s">
        <v>724</v>
      </c>
      <c r="C60" s="404">
        <v>3000</v>
      </c>
      <c r="D60" s="404">
        <v>5900</v>
      </c>
      <c r="E60" s="404">
        <v>4771</v>
      </c>
      <c r="F60" s="404">
        <v>4771</v>
      </c>
      <c r="G60" s="404">
        <v>4771</v>
      </c>
      <c r="H60" s="418">
        <f t="shared" si="2"/>
        <v>0</v>
      </c>
    </row>
    <row r="61" spans="1:8" x14ac:dyDescent="0.25">
      <c r="A61" s="416" t="s">
        <v>725</v>
      </c>
      <c r="B61" s="419" t="s">
        <v>726</v>
      </c>
      <c r="C61" s="404">
        <v>3000</v>
      </c>
      <c r="D61" s="404">
        <v>6000</v>
      </c>
      <c r="E61" s="404">
        <v>5044</v>
      </c>
      <c r="F61" s="404">
        <f>7212-2168</f>
        <v>5044</v>
      </c>
      <c r="G61" s="404">
        <v>5044</v>
      </c>
      <c r="H61" s="418">
        <f t="shared" si="2"/>
        <v>0</v>
      </c>
    </row>
    <row r="62" spans="1:8" x14ac:dyDescent="0.25">
      <c r="A62" s="416" t="s">
        <v>727</v>
      </c>
      <c r="B62" s="419" t="s">
        <v>728</v>
      </c>
      <c r="C62" s="404">
        <v>3000</v>
      </c>
      <c r="D62" s="404">
        <v>5000</v>
      </c>
      <c r="E62" s="404">
        <v>4344</v>
      </c>
      <c r="F62" s="404">
        <v>4344</v>
      </c>
      <c r="G62" s="404">
        <v>4344</v>
      </c>
      <c r="H62" s="418">
        <f t="shared" si="2"/>
        <v>0</v>
      </c>
    </row>
    <row r="63" spans="1:8" ht="17.25" thickBot="1" x14ac:dyDescent="0.3">
      <c r="A63" s="420" t="s">
        <v>729</v>
      </c>
      <c r="B63" s="421" t="s">
        <v>730</v>
      </c>
      <c r="C63" s="422">
        <v>320</v>
      </c>
      <c r="D63" s="422">
        <v>320</v>
      </c>
      <c r="E63" s="422"/>
      <c r="F63" s="422"/>
      <c r="G63" s="422"/>
      <c r="H63" s="418">
        <f t="shared" si="2"/>
        <v>0</v>
      </c>
    </row>
    <row r="64" spans="1:8" ht="33" x14ac:dyDescent="0.25">
      <c r="A64" s="423" t="s">
        <v>731</v>
      </c>
      <c r="B64" s="424" t="s">
        <v>732</v>
      </c>
      <c r="C64" s="411">
        <v>2700</v>
      </c>
      <c r="D64" s="411">
        <v>3750</v>
      </c>
      <c r="E64" s="411">
        <v>3571</v>
      </c>
      <c r="F64" s="411">
        <v>3571</v>
      </c>
      <c r="G64" s="411">
        <v>3571</v>
      </c>
      <c r="H64" s="418">
        <f t="shared" si="2"/>
        <v>0</v>
      </c>
    </row>
    <row r="65" spans="1:8" x14ac:dyDescent="0.25">
      <c r="A65" s="416" t="s">
        <v>733</v>
      </c>
      <c r="B65" s="425" t="s">
        <v>734</v>
      </c>
      <c r="C65" s="404">
        <v>8000</v>
      </c>
      <c r="D65" s="404">
        <v>1000</v>
      </c>
      <c r="E65" s="404">
        <v>134</v>
      </c>
      <c r="F65" s="404">
        <v>134</v>
      </c>
      <c r="G65" s="404">
        <v>134</v>
      </c>
      <c r="H65" s="418">
        <f t="shared" si="2"/>
        <v>0</v>
      </c>
    </row>
    <row r="66" spans="1:8" x14ac:dyDescent="0.25">
      <c r="A66" s="416" t="s">
        <v>735</v>
      </c>
      <c r="B66" s="425" t="s">
        <v>736</v>
      </c>
      <c r="C66" s="404">
        <v>8000</v>
      </c>
      <c r="D66" s="404">
        <v>1000</v>
      </c>
      <c r="E66" s="404"/>
      <c r="F66" s="404"/>
      <c r="G66" s="404"/>
      <c r="H66" s="418">
        <f t="shared" si="2"/>
        <v>0</v>
      </c>
    </row>
    <row r="67" spans="1:8" x14ac:dyDescent="0.25">
      <c r="A67" s="416" t="s">
        <v>737</v>
      </c>
      <c r="B67" s="425" t="s">
        <v>738</v>
      </c>
      <c r="C67" s="404">
        <v>8000</v>
      </c>
      <c r="D67" s="404">
        <v>1000</v>
      </c>
      <c r="E67" s="404"/>
      <c r="F67" s="404"/>
      <c r="G67" s="404"/>
      <c r="H67" s="418">
        <f t="shared" si="2"/>
        <v>0</v>
      </c>
    </row>
    <row r="68" spans="1:8" ht="33" x14ac:dyDescent="0.25">
      <c r="A68" s="416" t="s">
        <v>739</v>
      </c>
      <c r="B68" s="426" t="s">
        <v>740</v>
      </c>
      <c r="C68" s="404">
        <v>13603</v>
      </c>
      <c r="D68" s="404">
        <v>13603</v>
      </c>
      <c r="E68" s="404">
        <v>13602</v>
      </c>
      <c r="F68" s="404">
        <v>13602</v>
      </c>
      <c r="G68" s="404">
        <v>13602</v>
      </c>
      <c r="H68" s="418">
        <f t="shared" si="2"/>
        <v>0</v>
      </c>
    </row>
    <row r="69" spans="1:8" ht="33" x14ac:dyDescent="0.25">
      <c r="A69" s="416" t="s">
        <v>741</v>
      </c>
      <c r="B69" s="426" t="s">
        <v>742</v>
      </c>
      <c r="C69" s="404">
        <v>30000</v>
      </c>
      <c r="D69" s="404">
        <v>52613</v>
      </c>
      <c r="E69" s="404">
        <v>52612</v>
      </c>
      <c r="F69" s="404">
        <v>52612</v>
      </c>
      <c r="G69" s="404">
        <v>52612</v>
      </c>
      <c r="H69" s="418">
        <f t="shared" si="2"/>
        <v>0</v>
      </c>
    </row>
    <row r="70" spans="1:8" ht="33" x14ac:dyDescent="0.25">
      <c r="A70" s="416" t="s">
        <v>743</v>
      </c>
      <c r="B70" s="426" t="s">
        <v>744</v>
      </c>
      <c r="C70" s="404">
        <v>3000</v>
      </c>
      <c r="D70" s="404">
        <v>1000</v>
      </c>
      <c r="E70" s="404"/>
      <c r="F70" s="404"/>
      <c r="G70" s="404"/>
      <c r="H70" s="418">
        <f t="shared" si="2"/>
        <v>0</v>
      </c>
    </row>
    <row r="71" spans="1:8" x14ac:dyDescent="0.25">
      <c r="A71" s="416" t="s">
        <v>745</v>
      </c>
      <c r="B71" s="426" t="s">
        <v>746</v>
      </c>
      <c r="C71" s="404">
        <v>3000</v>
      </c>
      <c r="D71" s="404">
        <v>300</v>
      </c>
      <c r="E71" s="404"/>
      <c r="F71" s="404"/>
      <c r="G71" s="404"/>
      <c r="H71" s="418">
        <f t="shared" si="2"/>
        <v>0</v>
      </c>
    </row>
    <row r="72" spans="1:8" x14ac:dyDescent="0.25">
      <c r="A72" s="416" t="s">
        <v>747</v>
      </c>
      <c r="B72" s="426" t="s">
        <v>748</v>
      </c>
      <c r="C72" s="404">
        <v>3000</v>
      </c>
      <c r="D72" s="404">
        <v>500</v>
      </c>
      <c r="E72" s="404"/>
      <c r="F72" s="404"/>
      <c r="G72" s="404"/>
      <c r="H72" s="418">
        <f t="shared" si="2"/>
        <v>0</v>
      </c>
    </row>
    <row r="73" spans="1:8" ht="33" x14ac:dyDescent="0.25">
      <c r="A73" s="416" t="s">
        <v>749</v>
      </c>
      <c r="B73" s="426" t="s">
        <v>750</v>
      </c>
      <c r="C73" s="404">
        <v>3000</v>
      </c>
      <c r="D73" s="404">
        <v>1000</v>
      </c>
      <c r="E73" s="404"/>
      <c r="F73" s="404"/>
      <c r="G73" s="404"/>
      <c r="H73" s="418">
        <f t="shared" si="2"/>
        <v>0</v>
      </c>
    </row>
    <row r="74" spans="1:8" ht="33" x14ac:dyDescent="0.25">
      <c r="A74" s="416" t="s">
        <v>751</v>
      </c>
      <c r="B74" s="426" t="s">
        <v>752</v>
      </c>
      <c r="C74" s="404">
        <v>3000</v>
      </c>
      <c r="D74" s="404">
        <v>300</v>
      </c>
      <c r="E74" s="404"/>
      <c r="F74" s="404"/>
      <c r="G74" s="404"/>
      <c r="H74" s="418">
        <f t="shared" si="2"/>
        <v>0</v>
      </c>
    </row>
    <row r="75" spans="1:8" x14ac:dyDescent="0.25">
      <c r="A75" s="416" t="s">
        <v>753</v>
      </c>
      <c r="B75" s="426" t="s">
        <v>754</v>
      </c>
      <c r="C75" s="404">
        <v>3000</v>
      </c>
      <c r="D75" s="404">
        <v>500</v>
      </c>
      <c r="E75" s="404">
        <v>253</v>
      </c>
      <c r="F75" s="404">
        <v>253</v>
      </c>
      <c r="G75" s="404">
        <v>253</v>
      </c>
      <c r="H75" s="418">
        <f t="shared" si="2"/>
        <v>0</v>
      </c>
    </row>
    <row r="76" spans="1:8" x14ac:dyDescent="0.25">
      <c r="A76" s="416" t="s">
        <v>755</v>
      </c>
      <c r="B76" s="425" t="s">
        <v>756</v>
      </c>
      <c r="C76" s="404">
        <v>700</v>
      </c>
      <c r="D76" s="404">
        <v>950</v>
      </c>
      <c r="E76" s="404">
        <v>917</v>
      </c>
      <c r="F76" s="404">
        <v>917</v>
      </c>
      <c r="G76" s="404">
        <v>917</v>
      </c>
      <c r="H76" s="418">
        <f t="shared" si="2"/>
        <v>0</v>
      </c>
    </row>
    <row r="77" spans="1:8" x14ac:dyDescent="0.25">
      <c r="A77" s="416" t="s">
        <v>757</v>
      </c>
      <c r="B77" s="425" t="s">
        <v>758</v>
      </c>
      <c r="C77" s="404">
        <v>600</v>
      </c>
      <c r="D77" s="404">
        <v>600</v>
      </c>
      <c r="E77" s="404">
        <v>554</v>
      </c>
      <c r="F77" s="404">
        <v>554</v>
      </c>
      <c r="G77" s="404">
        <v>554</v>
      </c>
      <c r="H77" s="418">
        <f t="shared" si="2"/>
        <v>0</v>
      </c>
    </row>
    <row r="78" spans="1:8" ht="33" x14ac:dyDescent="0.25">
      <c r="A78" s="427">
        <v>5189</v>
      </c>
      <c r="B78" s="428" t="s">
        <v>759</v>
      </c>
      <c r="C78" s="404"/>
      <c r="D78" s="404">
        <v>800</v>
      </c>
      <c r="E78" s="404">
        <v>1</v>
      </c>
      <c r="F78" s="404">
        <v>1</v>
      </c>
      <c r="G78" s="404">
        <v>1</v>
      </c>
      <c r="H78" s="418">
        <f t="shared" si="2"/>
        <v>0</v>
      </c>
    </row>
    <row r="79" spans="1:8" x14ac:dyDescent="0.25">
      <c r="A79" s="427">
        <v>5190</v>
      </c>
      <c r="B79" s="429" t="s">
        <v>760</v>
      </c>
      <c r="C79" s="404"/>
      <c r="D79" s="404">
        <v>800</v>
      </c>
      <c r="E79" s="404"/>
      <c r="F79" s="404"/>
      <c r="G79" s="404"/>
      <c r="H79" s="418">
        <f t="shared" si="2"/>
        <v>0</v>
      </c>
    </row>
    <row r="80" spans="1:8" x14ac:dyDescent="0.25">
      <c r="A80" s="427">
        <v>5191</v>
      </c>
      <c r="B80" s="429" t="s">
        <v>761</v>
      </c>
      <c r="C80" s="404"/>
      <c r="D80" s="404">
        <v>800</v>
      </c>
      <c r="E80" s="404"/>
      <c r="F80" s="404"/>
      <c r="G80" s="404"/>
      <c r="H80" s="418">
        <f t="shared" si="2"/>
        <v>0</v>
      </c>
    </row>
    <row r="81" spans="1:9" ht="33" x14ac:dyDescent="0.25">
      <c r="A81" s="427">
        <v>5192</v>
      </c>
      <c r="B81" s="428" t="s">
        <v>762</v>
      </c>
      <c r="C81" s="404"/>
      <c r="D81" s="404">
        <v>800</v>
      </c>
      <c r="E81" s="404"/>
      <c r="F81" s="404"/>
      <c r="G81" s="404"/>
      <c r="H81" s="418">
        <f t="shared" si="2"/>
        <v>0</v>
      </c>
    </row>
    <row r="82" spans="1:9" x14ac:dyDescent="0.25">
      <c r="A82" s="427">
        <v>5194</v>
      </c>
      <c r="B82" s="428" t="s">
        <v>763</v>
      </c>
      <c r="C82" s="404"/>
      <c r="D82" s="404">
        <v>1500</v>
      </c>
      <c r="E82" s="404">
        <v>1449</v>
      </c>
      <c r="F82" s="404">
        <v>1449</v>
      </c>
      <c r="G82" s="404">
        <v>1449</v>
      </c>
      <c r="H82" s="418">
        <f t="shared" si="2"/>
        <v>0</v>
      </c>
    </row>
    <row r="83" spans="1:9" x14ac:dyDescent="0.25">
      <c r="A83" s="427">
        <v>5195</v>
      </c>
      <c r="B83" s="428" t="s">
        <v>764</v>
      </c>
      <c r="C83" s="404"/>
      <c r="D83" s="404">
        <v>800</v>
      </c>
      <c r="E83" s="404"/>
      <c r="F83" s="404"/>
      <c r="G83" s="404"/>
      <c r="H83" s="418">
        <f t="shared" ref="H83:H90" si="3">G83-E83</f>
        <v>0</v>
      </c>
    </row>
    <row r="84" spans="1:9" x14ac:dyDescent="0.25">
      <c r="A84" s="427">
        <v>5196</v>
      </c>
      <c r="B84" s="428" t="s">
        <v>765</v>
      </c>
      <c r="C84" s="404"/>
      <c r="D84" s="404">
        <v>2500</v>
      </c>
      <c r="E84" s="404">
        <v>2240</v>
      </c>
      <c r="F84" s="404">
        <v>2240</v>
      </c>
      <c r="G84" s="404">
        <v>2240</v>
      </c>
      <c r="H84" s="418">
        <f t="shared" si="3"/>
        <v>0</v>
      </c>
    </row>
    <row r="85" spans="1:9" x14ac:dyDescent="0.25">
      <c r="A85" s="427">
        <v>5197</v>
      </c>
      <c r="B85" s="428" t="s">
        <v>766</v>
      </c>
      <c r="C85" s="404"/>
      <c r="D85" s="404">
        <v>200</v>
      </c>
      <c r="E85" s="404"/>
      <c r="F85" s="404"/>
      <c r="G85" s="404"/>
      <c r="H85" s="418">
        <f t="shared" si="3"/>
        <v>0</v>
      </c>
    </row>
    <row r="86" spans="1:9" x14ac:dyDescent="0.25">
      <c r="A86" s="427">
        <v>5198</v>
      </c>
      <c r="B86" s="428" t="s">
        <v>767</v>
      </c>
      <c r="C86" s="404"/>
      <c r="D86" s="404">
        <v>500</v>
      </c>
      <c r="E86" s="404"/>
      <c r="F86" s="404"/>
      <c r="G86" s="404"/>
      <c r="H86" s="418">
        <f t="shared" si="3"/>
        <v>0</v>
      </c>
    </row>
    <row r="87" spans="1:9" ht="33" x14ac:dyDescent="0.25">
      <c r="A87" s="427">
        <v>5199</v>
      </c>
      <c r="B87" s="428" t="s">
        <v>768</v>
      </c>
      <c r="C87" s="404"/>
      <c r="D87" s="404">
        <v>500</v>
      </c>
      <c r="E87" s="404"/>
      <c r="F87" s="404"/>
      <c r="G87" s="404"/>
      <c r="H87" s="418">
        <f t="shared" si="3"/>
        <v>0</v>
      </c>
    </row>
    <row r="88" spans="1:9" ht="33" x14ac:dyDescent="0.25">
      <c r="A88" s="427">
        <v>5200</v>
      </c>
      <c r="B88" s="428" t="s">
        <v>769</v>
      </c>
      <c r="C88" s="404"/>
      <c r="D88" s="404">
        <v>800</v>
      </c>
      <c r="E88" s="404"/>
      <c r="F88" s="404"/>
      <c r="G88" s="404"/>
      <c r="H88" s="418">
        <f t="shared" si="3"/>
        <v>0</v>
      </c>
    </row>
    <row r="89" spans="1:9" x14ac:dyDescent="0.25">
      <c r="A89" s="427">
        <v>5201</v>
      </c>
      <c r="B89" s="428" t="s">
        <v>770</v>
      </c>
      <c r="C89" s="404"/>
      <c r="D89" s="404">
        <v>800</v>
      </c>
      <c r="E89" s="404"/>
      <c r="F89" s="404"/>
      <c r="G89" s="404"/>
      <c r="H89" s="418">
        <f t="shared" si="3"/>
        <v>0</v>
      </c>
    </row>
    <row r="90" spans="1:9" x14ac:dyDescent="0.25">
      <c r="A90" s="416" t="s">
        <v>771</v>
      </c>
      <c r="B90" s="419" t="s">
        <v>772</v>
      </c>
      <c r="C90" s="404">
        <v>20000</v>
      </c>
      <c r="D90" s="404"/>
      <c r="E90" s="404"/>
      <c r="F90" s="404"/>
      <c r="G90" s="404"/>
      <c r="H90" s="418">
        <f t="shared" si="3"/>
        <v>0</v>
      </c>
    </row>
    <row r="91" spans="1:9" x14ac:dyDescent="0.25">
      <c r="A91" s="416"/>
      <c r="B91" s="419"/>
      <c r="C91" s="404"/>
      <c r="D91" s="404"/>
      <c r="E91" s="404"/>
      <c r="F91" s="404"/>
      <c r="G91" s="404"/>
      <c r="H91" s="418"/>
    </row>
    <row r="92" spans="1:9" ht="17.25" thickBot="1" x14ac:dyDescent="0.3">
      <c r="A92" s="416"/>
      <c r="B92" s="430"/>
      <c r="C92" s="404"/>
      <c r="D92" s="404"/>
      <c r="E92" s="404"/>
      <c r="F92" s="404"/>
      <c r="G92" s="404"/>
      <c r="H92" s="418">
        <f>G92-E92</f>
        <v>0</v>
      </c>
    </row>
    <row r="93" spans="1:9" x14ac:dyDescent="0.25">
      <c r="A93" s="431"/>
      <c r="B93" s="417"/>
      <c r="C93" s="432"/>
      <c r="D93" s="432"/>
      <c r="E93" s="432"/>
      <c r="F93" s="432"/>
      <c r="G93" s="432"/>
    </row>
    <row r="94" spans="1:9" ht="17.25" thickBot="1" x14ac:dyDescent="0.3">
      <c r="A94" s="433" t="s">
        <v>63</v>
      </c>
      <c r="B94" s="413" t="s">
        <v>539</v>
      </c>
      <c r="C94" s="434">
        <f t="shared" ref="C94:H94" si="4">SUM(C95:C139)</f>
        <v>40000</v>
      </c>
      <c r="D94" s="434">
        <f t="shared" si="4"/>
        <v>62138</v>
      </c>
      <c r="E94" s="434">
        <f t="shared" si="4"/>
        <v>42223</v>
      </c>
      <c r="F94" s="434">
        <f t="shared" si="4"/>
        <v>35010</v>
      </c>
      <c r="G94" s="434">
        <f t="shared" si="4"/>
        <v>35010</v>
      </c>
      <c r="H94" s="434">
        <f t="shared" si="4"/>
        <v>-7213</v>
      </c>
    </row>
    <row r="95" spans="1:9" x14ac:dyDescent="0.25">
      <c r="A95" s="416" t="s">
        <v>643</v>
      </c>
      <c r="B95" s="417" t="s">
        <v>644</v>
      </c>
      <c r="C95" s="435">
        <v>200</v>
      </c>
      <c r="D95" s="404">
        <v>200</v>
      </c>
      <c r="E95" s="404">
        <v>162</v>
      </c>
      <c r="F95" s="404">
        <v>162</v>
      </c>
      <c r="G95" s="404">
        <v>162</v>
      </c>
      <c r="H95" s="418">
        <f t="shared" ref="H95:H138" si="5">G95-E95</f>
        <v>0</v>
      </c>
      <c r="I95" s="385"/>
    </row>
    <row r="96" spans="1:9" x14ac:dyDescent="0.25">
      <c r="A96" s="416" t="s">
        <v>773</v>
      </c>
      <c r="B96" s="419" t="s">
        <v>774</v>
      </c>
      <c r="C96" s="435"/>
      <c r="D96" s="404">
        <v>70</v>
      </c>
      <c r="E96" s="404">
        <v>62</v>
      </c>
      <c r="F96" s="404">
        <v>62</v>
      </c>
      <c r="G96" s="404">
        <v>62</v>
      </c>
      <c r="H96" s="386"/>
      <c r="I96" s="385"/>
    </row>
    <row r="97" spans="1:9" x14ac:dyDescent="0.25">
      <c r="A97" s="416" t="s">
        <v>647</v>
      </c>
      <c r="B97" s="419" t="s">
        <v>648</v>
      </c>
      <c r="C97" s="435">
        <v>200</v>
      </c>
      <c r="D97" s="404">
        <v>200</v>
      </c>
      <c r="E97" s="404">
        <v>153</v>
      </c>
      <c r="F97" s="404">
        <v>153</v>
      </c>
      <c r="G97" s="404">
        <v>153</v>
      </c>
      <c r="H97" s="418">
        <f t="shared" si="5"/>
        <v>0</v>
      </c>
      <c r="I97" s="385"/>
    </row>
    <row r="98" spans="1:9" ht="17.25" customHeight="1" x14ac:dyDescent="0.25">
      <c r="A98" s="416" t="s">
        <v>775</v>
      </c>
      <c r="B98" s="419" t="s">
        <v>776</v>
      </c>
      <c r="C98" s="435">
        <v>1656</v>
      </c>
      <c r="D98" s="404">
        <v>1656</v>
      </c>
      <c r="E98" s="404">
        <v>1269</v>
      </c>
      <c r="F98" s="404">
        <v>1269</v>
      </c>
      <c r="G98" s="404">
        <v>1269</v>
      </c>
      <c r="H98" s="418">
        <f t="shared" si="5"/>
        <v>0</v>
      </c>
    </row>
    <row r="99" spans="1:9" x14ac:dyDescent="0.25">
      <c r="A99" s="416" t="s">
        <v>663</v>
      </c>
      <c r="B99" s="419" t="s">
        <v>664</v>
      </c>
      <c r="C99" s="435">
        <v>50</v>
      </c>
      <c r="D99" s="404">
        <v>50</v>
      </c>
      <c r="E99" s="404">
        <v>48</v>
      </c>
      <c r="F99" s="404">
        <v>48</v>
      </c>
      <c r="G99" s="404">
        <v>48</v>
      </c>
      <c r="H99" s="418">
        <f t="shared" si="5"/>
        <v>0</v>
      </c>
    </row>
    <row r="100" spans="1:9" x14ac:dyDescent="0.25">
      <c r="A100" s="416" t="s">
        <v>665</v>
      </c>
      <c r="B100" s="419" t="s">
        <v>666</v>
      </c>
      <c r="C100" s="435"/>
      <c r="D100" s="404">
        <v>1100</v>
      </c>
      <c r="E100" s="404">
        <v>882</v>
      </c>
      <c r="F100" s="404">
        <v>882</v>
      </c>
      <c r="G100" s="404">
        <v>882</v>
      </c>
      <c r="H100" s="418">
        <f t="shared" si="5"/>
        <v>0</v>
      </c>
    </row>
    <row r="101" spans="1:9" x14ac:dyDescent="0.25">
      <c r="A101" s="416" t="s">
        <v>771</v>
      </c>
      <c r="B101" s="419" t="s">
        <v>777</v>
      </c>
      <c r="C101" s="435">
        <v>12838</v>
      </c>
      <c r="D101" s="404">
        <v>2898</v>
      </c>
      <c r="E101" s="404">
        <v>345</v>
      </c>
      <c r="F101" s="404">
        <v>345</v>
      </c>
      <c r="G101" s="404">
        <v>345</v>
      </c>
      <c r="H101" s="386">
        <f t="shared" si="5"/>
        <v>0</v>
      </c>
    </row>
    <row r="102" spans="1:9" ht="33" x14ac:dyDescent="0.25">
      <c r="A102" s="416" t="s">
        <v>778</v>
      </c>
      <c r="B102" s="419" t="s">
        <v>779</v>
      </c>
      <c r="C102" s="435">
        <v>605</v>
      </c>
      <c r="D102" s="404">
        <v>733</v>
      </c>
      <c r="E102" s="404">
        <v>732</v>
      </c>
      <c r="F102" s="404">
        <v>732</v>
      </c>
      <c r="G102" s="404">
        <v>732</v>
      </c>
      <c r="H102" s="418">
        <f t="shared" si="5"/>
        <v>0</v>
      </c>
    </row>
    <row r="103" spans="1:9" x14ac:dyDescent="0.25">
      <c r="A103" s="416" t="s">
        <v>671</v>
      </c>
      <c r="B103" s="419" t="s">
        <v>672</v>
      </c>
      <c r="C103" s="435">
        <v>120</v>
      </c>
      <c r="D103" s="404">
        <v>440</v>
      </c>
      <c r="E103" s="404">
        <v>345</v>
      </c>
      <c r="F103" s="404">
        <v>345</v>
      </c>
      <c r="G103" s="404">
        <v>345</v>
      </c>
      <c r="H103" s="418">
        <f t="shared" si="5"/>
        <v>0</v>
      </c>
    </row>
    <row r="104" spans="1:9" x14ac:dyDescent="0.25">
      <c r="A104" s="416" t="s">
        <v>780</v>
      </c>
      <c r="B104" s="419" t="s">
        <v>781</v>
      </c>
      <c r="C104" s="435">
        <v>260</v>
      </c>
      <c r="D104" s="404">
        <v>1823</v>
      </c>
      <c r="E104" s="404">
        <v>1713</v>
      </c>
      <c r="F104" s="404">
        <v>1713</v>
      </c>
      <c r="G104" s="404">
        <v>1713</v>
      </c>
      <c r="H104" s="418">
        <f t="shared" si="5"/>
        <v>0</v>
      </c>
    </row>
    <row r="105" spans="1:9" x14ac:dyDescent="0.25">
      <c r="A105" s="416" t="s">
        <v>782</v>
      </c>
      <c r="B105" s="419" t="s">
        <v>783</v>
      </c>
      <c r="C105" s="435"/>
      <c r="D105" s="404">
        <v>0</v>
      </c>
      <c r="E105" s="404"/>
      <c r="F105" s="404"/>
      <c r="G105" s="404"/>
      <c r="H105" s="418">
        <f t="shared" si="5"/>
        <v>0</v>
      </c>
    </row>
    <row r="106" spans="1:9" x14ac:dyDescent="0.25">
      <c r="A106" s="416" t="s">
        <v>784</v>
      </c>
      <c r="B106" s="419" t="s">
        <v>785</v>
      </c>
      <c r="C106" s="435">
        <v>200</v>
      </c>
      <c r="D106" s="404">
        <v>200</v>
      </c>
      <c r="E106" s="404">
        <v>45</v>
      </c>
      <c r="F106" s="404">
        <v>45</v>
      </c>
      <c r="G106" s="404">
        <v>45</v>
      </c>
      <c r="H106" s="418">
        <f t="shared" si="5"/>
        <v>0</v>
      </c>
    </row>
    <row r="107" spans="1:9" x14ac:dyDescent="0.25">
      <c r="A107" s="416" t="s">
        <v>786</v>
      </c>
      <c r="B107" s="419" t="s">
        <v>787</v>
      </c>
      <c r="C107" s="435">
        <v>605</v>
      </c>
      <c r="D107" s="404">
        <v>605</v>
      </c>
      <c r="E107" s="404">
        <v>605</v>
      </c>
      <c r="F107" s="404">
        <v>605</v>
      </c>
      <c r="G107" s="404">
        <v>605</v>
      </c>
      <c r="H107" s="418">
        <f t="shared" si="5"/>
        <v>0</v>
      </c>
    </row>
    <row r="108" spans="1:9" x14ac:dyDescent="0.25">
      <c r="A108" s="416" t="s">
        <v>788</v>
      </c>
      <c r="B108" s="419" t="s">
        <v>789</v>
      </c>
      <c r="C108" s="435">
        <v>605</v>
      </c>
      <c r="D108" s="404">
        <v>605</v>
      </c>
      <c r="E108" s="404">
        <v>605</v>
      </c>
      <c r="F108" s="404">
        <v>605</v>
      </c>
      <c r="G108" s="404">
        <v>605</v>
      </c>
      <c r="H108" s="418">
        <f t="shared" si="5"/>
        <v>0</v>
      </c>
    </row>
    <row r="109" spans="1:9" x14ac:dyDescent="0.25">
      <c r="A109" s="416" t="s">
        <v>673</v>
      </c>
      <c r="B109" s="419" t="s">
        <v>674</v>
      </c>
      <c r="C109" s="435">
        <v>3400</v>
      </c>
      <c r="D109" s="404">
        <v>3400</v>
      </c>
      <c r="E109" s="404">
        <v>3161</v>
      </c>
      <c r="F109" s="404">
        <v>3161</v>
      </c>
      <c r="G109" s="404">
        <v>3161</v>
      </c>
      <c r="H109" s="418">
        <f t="shared" si="5"/>
        <v>0</v>
      </c>
    </row>
    <row r="110" spans="1:9" x14ac:dyDescent="0.25">
      <c r="A110" s="416" t="s">
        <v>675</v>
      </c>
      <c r="B110" s="419" t="s">
        <v>676</v>
      </c>
      <c r="C110" s="435"/>
      <c r="D110" s="404">
        <v>1670</v>
      </c>
      <c r="E110" s="404">
        <v>1510</v>
      </c>
      <c r="F110" s="404">
        <v>1510</v>
      </c>
      <c r="G110" s="404">
        <v>1510</v>
      </c>
      <c r="H110" s="418">
        <f t="shared" si="5"/>
        <v>0</v>
      </c>
    </row>
    <row r="111" spans="1:9" ht="33" x14ac:dyDescent="0.25">
      <c r="A111" s="416" t="s">
        <v>695</v>
      </c>
      <c r="B111" s="419" t="s">
        <v>696</v>
      </c>
      <c r="C111" s="435"/>
      <c r="D111" s="404">
        <v>300</v>
      </c>
      <c r="E111" s="404">
        <v>217</v>
      </c>
      <c r="F111" s="404">
        <v>217</v>
      </c>
      <c r="G111" s="404">
        <v>217</v>
      </c>
      <c r="H111" s="418">
        <f t="shared" si="5"/>
        <v>0</v>
      </c>
    </row>
    <row r="112" spans="1:9" x14ac:dyDescent="0.25">
      <c r="A112" s="416" t="s">
        <v>790</v>
      </c>
      <c r="B112" s="419" t="s">
        <v>791</v>
      </c>
      <c r="C112" s="435"/>
      <c r="D112" s="404"/>
      <c r="E112" s="404"/>
      <c r="F112" s="404"/>
      <c r="G112" s="404"/>
      <c r="H112" s="418">
        <f t="shared" si="5"/>
        <v>0</v>
      </c>
    </row>
    <row r="113" spans="1:8" x14ac:dyDescent="0.25">
      <c r="A113" s="416" t="s">
        <v>703</v>
      </c>
      <c r="B113" s="419" t="s">
        <v>704</v>
      </c>
      <c r="C113" s="435"/>
      <c r="D113" s="435">
        <v>80</v>
      </c>
      <c r="E113" s="435"/>
      <c r="F113" s="435"/>
      <c r="G113" s="435"/>
      <c r="H113" s="418"/>
    </row>
    <row r="114" spans="1:8" x14ac:dyDescent="0.25">
      <c r="A114" s="416" t="s">
        <v>707</v>
      </c>
      <c r="B114" s="419" t="s">
        <v>708</v>
      </c>
      <c r="C114" s="435"/>
      <c r="D114" s="435">
        <v>80</v>
      </c>
      <c r="E114" s="435"/>
      <c r="F114" s="435"/>
      <c r="G114" s="435"/>
      <c r="H114" s="418"/>
    </row>
    <row r="115" spans="1:8" ht="17.25" thickBot="1" x14ac:dyDescent="0.3">
      <c r="A115" s="420" t="s">
        <v>792</v>
      </c>
      <c r="B115" s="421" t="s">
        <v>710</v>
      </c>
      <c r="C115" s="436"/>
      <c r="D115" s="436">
        <v>80</v>
      </c>
      <c r="E115" s="436"/>
      <c r="F115" s="436"/>
      <c r="G115" s="436"/>
      <c r="H115" s="418"/>
    </row>
    <row r="116" spans="1:8" x14ac:dyDescent="0.25">
      <c r="A116" s="423" t="s">
        <v>793</v>
      </c>
      <c r="B116" s="417" t="s">
        <v>794</v>
      </c>
      <c r="C116" s="432">
        <v>165</v>
      </c>
      <c r="D116" s="432">
        <v>220</v>
      </c>
      <c r="E116" s="432">
        <v>204</v>
      </c>
      <c r="F116" s="432">
        <v>204</v>
      </c>
      <c r="G116" s="432">
        <v>204</v>
      </c>
      <c r="H116" s="418">
        <f t="shared" si="5"/>
        <v>0</v>
      </c>
    </row>
    <row r="117" spans="1:8" x14ac:dyDescent="0.25">
      <c r="A117" s="416" t="s">
        <v>795</v>
      </c>
      <c r="B117" s="419" t="s">
        <v>796</v>
      </c>
      <c r="C117" s="435">
        <v>610</v>
      </c>
      <c r="D117" s="435">
        <v>860</v>
      </c>
      <c r="E117" s="435">
        <v>674</v>
      </c>
      <c r="F117" s="435">
        <v>674</v>
      </c>
      <c r="G117" s="435">
        <v>674</v>
      </c>
      <c r="H117" s="418">
        <f t="shared" si="5"/>
        <v>0</v>
      </c>
    </row>
    <row r="118" spans="1:8" x14ac:dyDescent="0.25">
      <c r="A118" s="416" t="s">
        <v>797</v>
      </c>
      <c r="B118" s="419" t="s">
        <v>798</v>
      </c>
      <c r="C118" s="435">
        <v>450</v>
      </c>
      <c r="D118" s="435">
        <v>650</v>
      </c>
      <c r="E118" s="435">
        <v>485</v>
      </c>
      <c r="F118" s="435">
        <v>485</v>
      </c>
      <c r="G118" s="435">
        <v>485</v>
      </c>
      <c r="H118" s="418">
        <f t="shared" si="5"/>
        <v>0</v>
      </c>
    </row>
    <row r="119" spans="1:8" x14ac:dyDescent="0.25">
      <c r="A119" s="416" t="s">
        <v>799</v>
      </c>
      <c r="B119" s="419" t="s">
        <v>800</v>
      </c>
      <c r="C119" s="435">
        <v>941</v>
      </c>
      <c r="D119" s="435">
        <v>2629</v>
      </c>
      <c r="E119" s="435">
        <v>2497</v>
      </c>
      <c r="F119" s="435">
        <f>2573-76</f>
        <v>2497</v>
      </c>
      <c r="G119" s="435">
        <f>2573-76</f>
        <v>2497</v>
      </c>
      <c r="H119" s="418">
        <f t="shared" si="5"/>
        <v>0</v>
      </c>
    </row>
    <row r="120" spans="1:8" x14ac:dyDescent="0.25">
      <c r="A120" s="416" t="s">
        <v>729</v>
      </c>
      <c r="B120" s="419" t="s">
        <v>730</v>
      </c>
      <c r="C120" s="435">
        <v>3347</v>
      </c>
      <c r="D120" s="435">
        <v>3347</v>
      </c>
      <c r="E120" s="435">
        <v>1629</v>
      </c>
      <c r="F120" s="435">
        <v>1389</v>
      </c>
      <c r="G120" s="435">
        <v>1389</v>
      </c>
      <c r="H120" s="418">
        <f t="shared" si="5"/>
        <v>-240</v>
      </c>
    </row>
    <row r="121" spans="1:8" x14ac:dyDescent="0.25">
      <c r="A121" s="416" t="s">
        <v>801</v>
      </c>
      <c r="B121" s="425" t="s">
        <v>802</v>
      </c>
      <c r="C121" s="435">
        <v>1225</v>
      </c>
      <c r="D121" s="435">
        <v>1931</v>
      </c>
      <c r="E121" s="435">
        <v>1890</v>
      </c>
      <c r="F121" s="435">
        <v>1890</v>
      </c>
      <c r="G121" s="435">
        <v>1890</v>
      </c>
      <c r="H121" s="418">
        <f t="shared" si="5"/>
        <v>0</v>
      </c>
    </row>
    <row r="122" spans="1:8" x14ac:dyDescent="0.25">
      <c r="A122" s="416" t="s">
        <v>803</v>
      </c>
      <c r="B122" s="425" t="s">
        <v>804</v>
      </c>
      <c r="C122" s="435">
        <v>1423</v>
      </c>
      <c r="D122" s="435">
        <v>1473</v>
      </c>
      <c r="E122" s="435">
        <v>593</v>
      </c>
      <c r="F122" s="435">
        <v>569</v>
      </c>
      <c r="G122" s="435">
        <v>569</v>
      </c>
      <c r="H122" s="418">
        <f>G122-E122</f>
        <v>-24</v>
      </c>
    </row>
    <row r="123" spans="1:8" ht="33" x14ac:dyDescent="0.25">
      <c r="A123" s="416" t="s">
        <v>731</v>
      </c>
      <c r="B123" s="419" t="s">
        <v>805</v>
      </c>
      <c r="C123" s="435"/>
      <c r="D123" s="435">
        <v>35</v>
      </c>
      <c r="E123" s="435">
        <v>5</v>
      </c>
      <c r="F123" s="435">
        <v>5</v>
      </c>
      <c r="G123" s="435">
        <v>5</v>
      </c>
      <c r="H123" s="418">
        <f t="shared" si="5"/>
        <v>0</v>
      </c>
    </row>
    <row r="124" spans="1:8" x14ac:dyDescent="0.25">
      <c r="A124" s="416" t="s">
        <v>806</v>
      </c>
      <c r="B124" s="425" t="s">
        <v>807</v>
      </c>
      <c r="C124" s="435">
        <v>1600</v>
      </c>
      <c r="D124" s="435">
        <v>2000</v>
      </c>
      <c r="E124" s="435">
        <v>1990</v>
      </c>
      <c r="F124" s="435">
        <v>1990</v>
      </c>
      <c r="G124" s="435">
        <v>1990</v>
      </c>
      <c r="H124" s="418">
        <f t="shared" si="5"/>
        <v>0</v>
      </c>
    </row>
    <row r="125" spans="1:8" x14ac:dyDescent="0.25">
      <c r="A125" s="416" t="s">
        <v>808</v>
      </c>
      <c r="B125" s="425" t="s">
        <v>809</v>
      </c>
      <c r="C125" s="435">
        <v>200</v>
      </c>
      <c r="D125" s="435">
        <v>295</v>
      </c>
      <c r="E125" s="435">
        <v>259</v>
      </c>
      <c r="F125" s="435">
        <v>259</v>
      </c>
      <c r="G125" s="435">
        <v>259</v>
      </c>
      <c r="H125" s="418">
        <f t="shared" si="5"/>
        <v>0</v>
      </c>
    </row>
    <row r="126" spans="1:8" x14ac:dyDescent="0.25">
      <c r="A126" s="416" t="s">
        <v>810</v>
      </c>
      <c r="B126" s="425" t="s">
        <v>811</v>
      </c>
      <c r="C126" s="435">
        <v>550</v>
      </c>
      <c r="D126" s="435">
        <v>637</v>
      </c>
      <c r="E126" s="435">
        <v>637</v>
      </c>
      <c r="F126" s="435">
        <v>637</v>
      </c>
      <c r="G126" s="435">
        <v>637</v>
      </c>
      <c r="H126" s="418">
        <f t="shared" si="5"/>
        <v>0</v>
      </c>
    </row>
    <row r="127" spans="1:8" ht="33" x14ac:dyDescent="0.25">
      <c r="A127" s="416" t="s">
        <v>812</v>
      </c>
      <c r="B127" s="425" t="s">
        <v>813</v>
      </c>
      <c r="C127" s="435">
        <v>1000</v>
      </c>
      <c r="D127" s="435">
        <v>1232</v>
      </c>
      <c r="E127" s="435">
        <v>1110</v>
      </c>
      <c r="F127" s="435">
        <v>1110</v>
      </c>
      <c r="G127" s="435">
        <v>1110</v>
      </c>
      <c r="H127" s="418">
        <f t="shared" si="5"/>
        <v>0</v>
      </c>
    </row>
    <row r="128" spans="1:8" ht="33" x14ac:dyDescent="0.25">
      <c r="A128" s="416" t="s">
        <v>814</v>
      </c>
      <c r="B128" s="425" t="s">
        <v>815</v>
      </c>
      <c r="C128" s="435">
        <v>1000</v>
      </c>
      <c r="D128" s="435">
        <v>1623</v>
      </c>
      <c r="E128" s="435">
        <v>1412</v>
      </c>
      <c r="F128" s="435">
        <v>1412</v>
      </c>
      <c r="G128" s="435">
        <v>1412</v>
      </c>
      <c r="H128" s="418">
        <f t="shared" si="5"/>
        <v>0</v>
      </c>
    </row>
    <row r="129" spans="1:12" x14ac:dyDescent="0.25">
      <c r="A129" s="416" t="s">
        <v>733</v>
      </c>
      <c r="B129" s="425" t="s">
        <v>734</v>
      </c>
      <c r="C129" s="435">
        <v>150</v>
      </c>
      <c r="D129" s="435">
        <v>250</v>
      </c>
      <c r="E129" s="435">
        <v>130</v>
      </c>
      <c r="F129" s="435">
        <v>130</v>
      </c>
      <c r="G129" s="435">
        <v>130</v>
      </c>
      <c r="H129" s="418">
        <f t="shared" si="5"/>
        <v>0</v>
      </c>
    </row>
    <row r="130" spans="1:12" x14ac:dyDescent="0.25">
      <c r="A130" s="416" t="s">
        <v>735</v>
      </c>
      <c r="B130" s="425" t="s">
        <v>736</v>
      </c>
      <c r="C130" s="435">
        <v>150</v>
      </c>
      <c r="D130" s="435">
        <v>210</v>
      </c>
      <c r="E130" s="435">
        <v>55</v>
      </c>
      <c r="F130" s="435">
        <v>55</v>
      </c>
      <c r="G130" s="435">
        <v>55</v>
      </c>
      <c r="H130" s="418">
        <f t="shared" si="5"/>
        <v>0</v>
      </c>
    </row>
    <row r="131" spans="1:12" x14ac:dyDescent="0.25">
      <c r="A131" s="416" t="s">
        <v>737</v>
      </c>
      <c r="B131" s="425" t="s">
        <v>738</v>
      </c>
      <c r="C131" s="435">
        <v>150</v>
      </c>
      <c r="D131" s="435">
        <v>210</v>
      </c>
      <c r="E131" s="435">
        <v>46</v>
      </c>
      <c r="F131" s="435">
        <v>46</v>
      </c>
      <c r="G131" s="435">
        <v>46</v>
      </c>
      <c r="H131" s="418">
        <f t="shared" si="5"/>
        <v>0</v>
      </c>
    </row>
    <row r="132" spans="1:12" ht="33" x14ac:dyDescent="0.25">
      <c r="A132" s="416" t="s">
        <v>816</v>
      </c>
      <c r="B132" s="419" t="s">
        <v>817</v>
      </c>
      <c r="C132" s="435">
        <v>1000</v>
      </c>
      <c r="D132" s="435">
        <v>1200</v>
      </c>
      <c r="E132" s="435">
        <v>1108</v>
      </c>
      <c r="F132" s="435">
        <v>1108</v>
      </c>
      <c r="G132" s="435">
        <v>1108</v>
      </c>
      <c r="H132" s="418">
        <f t="shared" si="5"/>
        <v>0</v>
      </c>
    </row>
    <row r="133" spans="1:12" ht="33" x14ac:dyDescent="0.25">
      <c r="A133" s="416" t="s">
        <v>818</v>
      </c>
      <c r="B133" s="419" t="s">
        <v>819</v>
      </c>
      <c r="C133" s="435">
        <v>1800</v>
      </c>
      <c r="D133" s="435">
        <v>1800</v>
      </c>
      <c r="E133" s="435">
        <v>684</v>
      </c>
      <c r="F133" s="435">
        <v>684</v>
      </c>
      <c r="G133" s="435">
        <v>684</v>
      </c>
      <c r="H133" s="418">
        <f t="shared" si="5"/>
        <v>0</v>
      </c>
    </row>
    <row r="134" spans="1:12" ht="33" x14ac:dyDescent="0.25">
      <c r="A134" s="416" t="s">
        <v>820</v>
      </c>
      <c r="B134" s="419" t="s">
        <v>821</v>
      </c>
      <c r="C134" s="435">
        <v>3500</v>
      </c>
      <c r="D134" s="435">
        <v>2700</v>
      </c>
      <c r="E134" s="435">
        <v>1940</v>
      </c>
      <c r="F134" s="435">
        <v>1940</v>
      </c>
      <c r="G134" s="435">
        <v>1940</v>
      </c>
      <c r="H134" s="418">
        <f t="shared" si="5"/>
        <v>0</v>
      </c>
    </row>
    <row r="135" spans="1:12" x14ac:dyDescent="0.25">
      <c r="A135" s="416" t="s">
        <v>822</v>
      </c>
      <c r="B135" s="419" t="s">
        <v>823</v>
      </c>
      <c r="C135" s="435"/>
      <c r="D135" s="435">
        <v>22244</v>
      </c>
      <c r="E135" s="435">
        <v>12621</v>
      </c>
      <c r="F135" s="435">
        <v>5672</v>
      </c>
      <c r="G135" s="435">
        <v>5672</v>
      </c>
      <c r="H135" s="418">
        <f t="shared" si="5"/>
        <v>-6949</v>
      </c>
    </row>
    <row r="136" spans="1:12" x14ac:dyDescent="0.25">
      <c r="A136" s="427">
        <v>5194</v>
      </c>
      <c r="B136" s="428" t="s">
        <v>763</v>
      </c>
      <c r="C136" s="435"/>
      <c r="D136" s="435">
        <v>7</v>
      </c>
      <c r="E136" s="435">
        <v>7</v>
      </c>
      <c r="F136" s="435">
        <v>7</v>
      </c>
      <c r="G136" s="435">
        <v>7</v>
      </c>
      <c r="H136" s="418">
        <f t="shared" si="5"/>
        <v>0</v>
      </c>
    </row>
    <row r="137" spans="1:12" x14ac:dyDescent="0.25">
      <c r="A137" s="427">
        <v>5196</v>
      </c>
      <c r="B137" s="428" t="s">
        <v>765</v>
      </c>
      <c r="C137" s="435"/>
      <c r="D137" s="435">
        <v>222</v>
      </c>
      <c r="E137" s="435">
        <v>221</v>
      </c>
      <c r="F137" s="435">
        <v>221</v>
      </c>
      <c r="G137" s="435">
        <v>221</v>
      </c>
      <c r="H137" s="418">
        <f t="shared" si="5"/>
        <v>0</v>
      </c>
    </row>
    <row r="138" spans="1:12" x14ac:dyDescent="0.25">
      <c r="A138" s="427">
        <v>5202</v>
      </c>
      <c r="B138" s="428" t="s">
        <v>824</v>
      </c>
      <c r="C138" s="435"/>
      <c r="D138" s="435">
        <v>173</v>
      </c>
      <c r="E138" s="435">
        <v>172</v>
      </c>
      <c r="F138" s="435">
        <v>172</v>
      </c>
      <c r="G138" s="435">
        <v>172</v>
      </c>
      <c r="H138" s="418">
        <f t="shared" si="5"/>
        <v>0</v>
      </c>
    </row>
    <row r="139" spans="1:12" ht="17.25" thickBot="1" x14ac:dyDescent="0.3">
      <c r="A139" s="416"/>
      <c r="B139" s="421"/>
      <c r="C139" s="435"/>
      <c r="D139" s="435"/>
      <c r="E139" s="435"/>
      <c r="F139" s="435"/>
      <c r="G139" s="435"/>
      <c r="H139" s="418"/>
    </row>
    <row r="140" spans="1:12" ht="17.25" thickBot="1" x14ac:dyDescent="0.3">
      <c r="A140" s="400"/>
      <c r="B140" s="437" t="s">
        <v>5</v>
      </c>
      <c r="C140" s="438">
        <f>C4-C15</f>
        <v>0</v>
      </c>
      <c r="D140" s="438">
        <f>D4-D15</f>
        <v>131817</v>
      </c>
      <c r="E140" s="438">
        <f>E4-E15</f>
        <v>-24211</v>
      </c>
      <c r="F140" s="438">
        <f>F4-F15</f>
        <v>146946</v>
      </c>
      <c r="G140" s="438">
        <f>G4-G15</f>
        <v>-18103</v>
      </c>
      <c r="H140" s="439"/>
      <c r="J140" s="405"/>
      <c r="K140" s="405"/>
      <c r="L140" s="405"/>
    </row>
    <row r="141" spans="1:12" ht="17.25" thickBot="1" x14ac:dyDescent="0.3">
      <c r="B141" s="440"/>
      <c r="C141" s="439"/>
      <c r="D141" s="439"/>
      <c r="E141" s="439"/>
      <c r="F141" s="439"/>
      <c r="G141" s="439"/>
      <c r="H141" s="439"/>
    </row>
    <row r="142" spans="1:12" ht="17.25" thickBot="1" x14ac:dyDescent="0.3">
      <c r="A142" s="441" t="s">
        <v>825</v>
      </c>
      <c r="B142" s="442"/>
      <c r="C142" s="442"/>
      <c r="D142" s="442"/>
      <c r="E142" s="442"/>
      <c r="F142" s="442"/>
      <c r="G142" s="443" t="s">
        <v>0</v>
      </c>
      <c r="H142" s="386"/>
      <c r="J142" s="405"/>
      <c r="K142" s="405"/>
    </row>
    <row r="143" spans="1:12" x14ac:dyDescent="0.25">
      <c r="A143" s="444" t="s">
        <v>619</v>
      </c>
      <c r="B143" s="445"/>
      <c r="C143" s="445"/>
      <c r="D143" s="445"/>
      <c r="E143" s="445"/>
      <c r="F143" s="446"/>
      <c r="G143" s="447">
        <v>-18103</v>
      </c>
      <c r="H143" s="448">
        <v>-18103391.559999999</v>
      </c>
    </row>
    <row r="144" spans="1:12" x14ac:dyDescent="0.25">
      <c r="A144" s="449" t="s">
        <v>826</v>
      </c>
      <c r="B144" s="450"/>
      <c r="C144" s="450"/>
      <c r="D144" s="450"/>
      <c r="E144" s="450"/>
      <c r="F144" s="450"/>
      <c r="G144" s="451">
        <f>(240+24)*-1</f>
        <v>-264</v>
      </c>
      <c r="H144" s="405">
        <f>(240292.85+23544.86)*-1</f>
        <v>-263837.71000000002</v>
      </c>
    </row>
    <row r="145" spans="1:8" x14ac:dyDescent="0.25">
      <c r="A145" s="449" t="s">
        <v>827</v>
      </c>
      <c r="B145" s="450"/>
      <c r="C145" s="452"/>
      <c r="D145" s="452"/>
      <c r="E145" s="452"/>
      <c r="F145" s="452"/>
      <c r="G145" s="451">
        <v>15</v>
      </c>
      <c r="H145" s="448">
        <v>14526</v>
      </c>
    </row>
    <row r="146" spans="1:8" s="458" customFormat="1" ht="15.75" customHeight="1" thickBot="1" x14ac:dyDescent="0.3">
      <c r="A146" s="453" t="s">
        <v>828</v>
      </c>
      <c r="B146" s="454"/>
      <c r="C146" s="455"/>
      <c r="D146" s="455"/>
      <c r="E146" s="455"/>
      <c r="F146" s="455"/>
      <c r="G146" s="456">
        <f>SUBTOTAL(9,G143:G145)</f>
        <v>-18352</v>
      </c>
      <c r="H146" s="457">
        <f>SUBTOTAL(9,H143:H145)</f>
        <v>-18352703.27</v>
      </c>
    </row>
    <row r="147" spans="1:8" x14ac:dyDescent="0.25">
      <c r="B147" s="459"/>
      <c r="C147" s="460"/>
      <c r="D147" s="460"/>
      <c r="E147" s="460"/>
      <c r="F147" s="460"/>
      <c r="G147" s="460"/>
    </row>
    <row r="148" spans="1:8" s="465" customFormat="1" x14ac:dyDescent="0.25">
      <c r="A148" s="461"/>
      <c r="B148" s="462"/>
      <c r="C148" s="463"/>
      <c r="D148" s="463"/>
      <c r="E148" s="463"/>
      <c r="F148" s="463" t="s">
        <v>829</v>
      </c>
      <c r="G148" s="463">
        <f>1016732.77+1079750.38+407068.3+71821.88+189222.74+259988.77+167640.3</f>
        <v>3192225.1399999992</v>
      </c>
      <c r="H148" s="464"/>
    </row>
    <row r="149" spans="1:8" s="464" customFormat="1" x14ac:dyDescent="0.25">
      <c r="A149" s="466"/>
      <c r="B149" s="467"/>
      <c r="C149" s="463"/>
      <c r="D149" s="463"/>
      <c r="E149" s="463"/>
      <c r="F149" s="463"/>
      <c r="G149" s="463"/>
    </row>
    <row r="150" spans="1:8" s="464" customFormat="1" x14ac:dyDescent="0.25">
      <c r="A150" s="466"/>
      <c r="B150" s="467"/>
      <c r="C150" s="463"/>
      <c r="D150" s="463"/>
      <c r="E150" s="463"/>
      <c r="F150" s="463"/>
      <c r="G150" s="463"/>
    </row>
    <row r="151" spans="1:8" s="464" customFormat="1" x14ac:dyDescent="0.25">
      <c r="A151" s="466"/>
      <c r="B151" s="467"/>
      <c r="C151" s="463"/>
      <c r="D151" s="463"/>
      <c r="E151" s="463"/>
      <c r="F151" s="463"/>
      <c r="G151" s="463"/>
    </row>
    <row r="152" spans="1:8" s="464" customFormat="1" x14ac:dyDescent="0.25">
      <c r="A152" s="466"/>
      <c r="B152" s="467"/>
      <c r="C152" s="463"/>
      <c r="D152" s="463"/>
      <c r="E152" s="463"/>
      <c r="F152" s="463"/>
      <c r="G152" s="463"/>
    </row>
    <row r="153" spans="1:8" s="464" customFormat="1" x14ac:dyDescent="0.25">
      <c r="A153" s="466"/>
      <c r="B153" s="467"/>
      <c r="C153" s="463"/>
      <c r="D153" s="463"/>
      <c r="E153" s="463"/>
      <c r="F153" s="463"/>
      <c r="G153" s="463"/>
    </row>
    <row r="154" spans="1:8" s="464" customFormat="1" x14ac:dyDescent="0.25">
      <c r="A154" s="466"/>
      <c r="B154" s="467"/>
      <c r="C154" s="463"/>
      <c r="D154" s="463"/>
      <c r="E154" s="463"/>
      <c r="F154" s="463"/>
      <c r="G154" s="463"/>
    </row>
    <row r="155" spans="1:8" s="385" customFormat="1" x14ac:dyDescent="0.25">
      <c r="A155" s="466"/>
      <c r="B155" s="467"/>
      <c r="C155" s="468"/>
      <c r="D155" s="468"/>
      <c r="E155" s="468"/>
      <c r="F155" s="468"/>
      <c r="G155" s="468"/>
    </row>
    <row r="156" spans="1:8" s="385" customFormat="1" x14ac:dyDescent="0.25">
      <c r="A156" s="466"/>
      <c r="B156" s="467"/>
      <c r="C156" s="468"/>
      <c r="D156" s="468"/>
      <c r="E156" s="468"/>
      <c r="F156" s="468"/>
      <c r="G156" s="468"/>
    </row>
    <row r="157" spans="1:8" x14ac:dyDescent="0.25">
      <c r="B157" s="468"/>
      <c r="C157" s="468"/>
      <c r="D157" s="468"/>
      <c r="E157" s="468"/>
      <c r="F157" s="468"/>
      <c r="G157" s="468"/>
    </row>
    <row r="158" spans="1:8" x14ac:dyDescent="0.25">
      <c r="B158" s="468"/>
      <c r="C158" s="468"/>
      <c r="D158" s="468"/>
      <c r="E158" s="468"/>
      <c r="F158" s="468"/>
      <c r="G158" s="468"/>
    </row>
    <row r="159" spans="1:8" x14ac:dyDescent="0.25">
      <c r="B159" s="468"/>
      <c r="C159" s="468"/>
      <c r="D159" s="468"/>
      <c r="E159" s="468"/>
      <c r="F159" s="468"/>
      <c r="G159" s="468"/>
    </row>
    <row r="160" spans="1:8" x14ac:dyDescent="0.25">
      <c r="B160" s="469"/>
      <c r="C160" s="469"/>
      <c r="D160" s="469"/>
      <c r="E160" s="469"/>
      <c r="F160" s="469"/>
      <c r="G160" s="469"/>
    </row>
    <row r="161" spans="2:7" x14ac:dyDescent="0.25">
      <c r="B161" s="469"/>
      <c r="C161" s="469"/>
      <c r="D161" s="469"/>
      <c r="E161" s="469"/>
      <c r="F161" s="469"/>
      <c r="G161" s="469"/>
    </row>
    <row r="162" spans="2:7" x14ac:dyDescent="0.25">
      <c r="B162" s="469"/>
      <c r="C162" s="469"/>
      <c r="D162" s="469"/>
      <c r="E162" s="469"/>
      <c r="F162" s="469"/>
      <c r="G162" s="469"/>
    </row>
    <row r="163" spans="2:7" x14ac:dyDescent="0.25">
      <c r="B163" s="469"/>
      <c r="C163" s="469"/>
      <c r="D163" s="469"/>
      <c r="E163" s="469"/>
      <c r="F163" s="469"/>
      <c r="G163" s="469"/>
    </row>
    <row r="164" spans="2:7" x14ac:dyDescent="0.25">
      <c r="B164" s="469"/>
      <c r="C164" s="469"/>
      <c r="D164" s="469"/>
      <c r="E164" s="469"/>
      <c r="F164" s="469"/>
      <c r="G164" s="469"/>
    </row>
    <row r="165" spans="2:7" x14ac:dyDescent="0.25">
      <c r="B165" s="469"/>
      <c r="C165" s="469"/>
      <c r="D165" s="469"/>
      <c r="E165" s="469"/>
      <c r="F165" s="469"/>
      <c r="G165" s="469"/>
    </row>
    <row r="166" spans="2:7" x14ac:dyDescent="0.25">
      <c r="B166" s="469"/>
      <c r="C166" s="469"/>
      <c r="D166" s="469"/>
      <c r="E166" s="469"/>
      <c r="F166" s="469"/>
      <c r="G166" s="469"/>
    </row>
    <row r="167" spans="2:7" x14ac:dyDescent="0.25">
      <c r="B167" s="469"/>
      <c r="C167" s="469"/>
      <c r="D167" s="469"/>
      <c r="E167" s="469"/>
      <c r="F167" s="469"/>
      <c r="G167" s="469"/>
    </row>
    <row r="168" spans="2:7" x14ac:dyDescent="0.25">
      <c r="B168" s="469"/>
      <c r="C168" s="469"/>
      <c r="D168" s="469"/>
      <c r="E168" s="469"/>
      <c r="F168" s="469"/>
      <c r="G168" s="469"/>
    </row>
    <row r="169" spans="2:7" x14ac:dyDescent="0.25">
      <c r="B169" s="469"/>
      <c r="C169" s="469"/>
      <c r="D169" s="469"/>
      <c r="E169" s="469"/>
      <c r="F169" s="469"/>
      <c r="G169" s="469"/>
    </row>
    <row r="170" spans="2:7" x14ac:dyDescent="0.25">
      <c r="B170" s="469"/>
      <c r="C170" s="469"/>
      <c r="D170" s="469"/>
      <c r="E170" s="469"/>
      <c r="F170" s="469"/>
      <c r="G170" s="469"/>
    </row>
    <row r="171" spans="2:7" x14ac:dyDescent="0.25">
      <c r="B171" s="469"/>
      <c r="C171" s="469"/>
      <c r="D171" s="469"/>
      <c r="E171" s="469"/>
      <c r="F171" s="469"/>
      <c r="G171" s="469"/>
    </row>
    <row r="172" spans="2:7" x14ac:dyDescent="0.25">
      <c r="B172" s="469"/>
      <c r="C172" s="469"/>
      <c r="D172" s="469"/>
      <c r="E172" s="469"/>
      <c r="F172" s="469"/>
      <c r="G172" s="469"/>
    </row>
    <row r="173" spans="2:7" x14ac:dyDescent="0.25">
      <c r="B173" s="470"/>
      <c r="C173" s="469"/>
      <c r="D173" s="469"/>
      <c r="E173" s="469"/>
      <c r="F173" s="469"/>
      <c r="G173" s="469"/>
    </row>
    <row r="174" spans="2:7" x14ac:dyDescent="0.25">
      <c r="B174" s="469"/>
      <c r="C174" s="469"/>
      <c r="D174" s="469"/>
      <c r="E174" s="469"/>
      <c r="F174" s="469"/>
      <c r="G174" s="469"/>
    </row>
    <row r="175" spans="2:7" x14ac:dyDescent="0.25">
      <c r="B175" s="469"/>
      <c r="C175" s="469"/>
      <c r="D175" s="469"/>
      <c r="E175" s="469"/>
      <c r="F175" s="469"/>
      <c r="G175" s="469"/>
    </row>
    <row r="176" spans="2:7" x14ac:dyDescent="0.25">
      <c r="B176" s="469"/>
      <c r="C176" s="469"/>
      <c r="D176" s="469"/>
      <c r="E176" s="469"/>
      <c r="F176" s="469"/>
      <c r="G176" s="469"/>
    </row>
    <row r="177" spans="2:7" x14ac:dyDescent="0.25">
      <c r="B177" s="469"/>
      <c r="C177" s="469"/>
      <c r="D177" s="469"/>
      <c r="E177" s="469"/>
      <c r="F177" s="469"/>
      <c r="G177" s="469"/>
    </row>
    <row r="178" spans="2:7" x14ac:dyDescent="0.25">
      <c r="B178" s="469"/>
      <c r="C178" s="469"/>
      <c r="D178" s="469"/>
      <c r="E178" s="469"/>
      <c r="F178" s="469"/>
      <c r="G178" s="469"/>
    </row>
    <row r="179" spans="2:7" x14ac:dyDescent="0.25">
      <c r="B179" s="469"/>
      <c r="C179" s="469"/>
      <c r="D179" s="469"/>
      <c r="E179" s="469"/>
      <c r="F179" s="469"/>
      <c r="G179" s="469"/>
    </row>
    <row r="180" spans="2:7" x14ac:dyDescent="0.25">
      <c r="B180" s="469"/>
      <c r="C180" s="469"/>
      <c r="D180" s="469"/>
      <c r="E180" s="469"/>
      <c r="F180" s="469"/>
      <c r="G180" s="469"/>
    </row>
    <row r="181" spans="2:7" x14ac:dyDescent="0.25">
      <c r="B181" s="469"/>
      <c r="C181" s="469"/>
      <c r="D181" s="469"/>
      <c r="E181" s="469"/>
      <c r="F181" s="469"/>
      <c r="G181" s="469"/>
    </row>
    <row r="182" spans="2:7" x14ac:dyDescent="0.25">
      <c r="B182" s="469"/>
      <c r="C182" s="469"/>
      <c r="D182" s="469"/>
      <c r="E182" s="469"/>
      <c r="F182" s="469"/>
      <c r="G182" s="469"/>
    </row>
    <row r="183" spans="2:7" x14ac:dyDescent="0.25">
      <c r="B183" s="469"/>
      <c r="C183" s="469"/>
      <c r="D183" s="469"/>
      <c r="E183" s="469"/>
      <c r="F183" s="469"/>
      <c r="G183" s="469"/>
    </row>
    <row r="184" spans="2:7" x14ac:dyDescent="0.25">
      <c r="B184" s="469"/>
      <c r="C184" s="469"/>
      <c r="D184" s="469"/>
      <c r="E184" s="469"/>
      <c r="F184" s="469"/>
      <c r="G184" s="469"/>
    </row>
    <row r="185" spans="2:7" x14ac:dyDescent="0.25">
      <c r="B185" s="469"/>
      <c r="C185" s="469"/>
      <c r="D185" s="469"/>
      <c r="E185" s="469"/>
      <c r="F185" s="469"/>
      <c r="G185" s="469"/>
    </row>
    <row r="186" spans="2:7" x14ac:dyDescent="0.25">
      <c r="B186" s="469"/>
      <c r="C186" s="469"/>
      <c r="D186" s="469"/>
      <c r="E186" s="469"/>
      <c r="F186" s="469"/>
      <c r="G186" s="469"/>
    </row>
    <row r="187" spans="2:7" x14ac:dyDescent="0.25">
      <c r="B187" s="469"/>
      <c r="C187" s="469"/>
      <c r="D187" s="469"/>
      <c r="E187" s="469"/>
      <c r="F187" s="469"/>
      <c r="G187" s="469"/>
    </row>
    <row r="188" spans="2:7" x14ac:dyDescent="0.25">
      <c r="B188" s="469"/>
      <c r="C188" s="469"/>
      <c r="D188" s="469"/>
      <c r="E188" s="469"/>
      <c r="F188" s="469"/>
      <c r="G188" s="469"/>
    </row>
    <row r="189" spans="2:7" x14ac:dyDescent="0.25">
      <c r="B189" s="469"/>
      <c r="C189" s="469"/>
      <c r="D189" s="469"/>
      <c r="E189" s="469"/>
      <c r="F189" s="469"/>
      <c r="G189" s="469"/>
    </row>
    <row r="190" spans="2:7" x14ac:dyDescent="0.25">
      <c r="B190" s="469"/>
      <c r="C190" s="469"/>
      <c r="D190" s="469"/>
      <c r="E190" s="469"/>
      <c r="F190" s="469"/>
      <c r="G190" s="469"/>
    </row>
    <row r="191" spans="2:7" x14ac:dyDescent="0.25">
      <c r="B191" s="469"/>
      <c r="C191" s="469"/>
      <c r="D191" s="469"/>
      <c r="E191" s="469"/>
      <c r="F191" s="469"/>
      <c r="G191" s="469"/>
    </row>
    <row r="192" spans="2:7" x14ac:dyDescent="0.25">
      <c r="B192" s="469"/>
      <c r="C192" s="469"/>
      <c r="D192" s="469"/>
      <c r="E192" s="469"/>
      <c r="F192" s="469"/>
      <c r="G192" s="469"/>
    </row>
    <row r="193" spans="2:7" x14ac:dyDescent="0.25">
      <c r="B193" s="469"/>
      <c r="C193" s="469"/>
      <c r="D193" s="469"/>
      <c r="E193" s="469"/>
      <c r="F193" s="469"/>
      <c r="G193" s="469"/>
    </row>
    <row r="194" spans="2:7" x14ac:dyDescent="0.25">
      <c r="B194" s="469"/>
      <c r="C194" s="469"/>
      <c r="D194" s="469"/>
      <c r="E194" s="469"/>
      <c r="F194" s="469"/>
      <c r="G194" s="469"/>
    </row>
    <row r="195" spans="2:7" x14ac:dyDescent="0.25">
      <c r="B195" s="469"/>
      <c r="C195" s="469"/>
      <c r="D195" s="469"/>
      <c r="E195" s="469"/>
      <c r="F195" s="469"/>
      <c r="G195" s="469"/>
    </row>
    <row r="196" spans="2:7" x14ac:dyDescent="0.25">
      <c r="B196" s="469"/>
      <c r="C196" s="469"/>
      <c r="D196" s="469"/>
      <c r="E196" s="469"/>
      <c r="F196" s="469"/>
      <c r="G196" s="469"/>
    </row>
    <row r="197" spans="2:7" x14ac:dyDescent="0.25">
      <c r="B197" s="469"/>
      <c r="C197" s="469"/>
      <c r="D197" s="469"/>
      <c r="E197" s="469"/>
      <c r="F197" s="469"/>
      <c r="G197" s="469"/>
    </row>
    <row r="198" spans="2:7" x14ac:dyDescent="0.25">
      <c r="B198" s="469"/>
      <c r="C198" s="469"/>
      <c r="D198" s="469"/>
      <c r="E198" s="469"/>
      <c r="F198" s="469"/>
      <c r="G198" s="469"/>
    </row>
    <row r="199" spans="2:7" x14ac:dyDescent="0.25">
      <c r="B199" s="469"/>
      <c r="C199" s="469"/>
      <c r="D199" s="469"/>
      <c r="E199" s="469"/>
      <c r="F199" s="469"/>
      <c r="G199" s="469"/>
    </row>
    <row r="200" spans="2:7" x14ac:dyDescent="0.25">
      <c r="B200" s="469"/>
      <c r="C200" s="469"/>
      <c r="D200" s="469"/>
      <c r="E200" s="469"/>
      <c r="F200" s="469"/>
      <c r="G200" s="469"/>
    </row>
    <row r="201" spans="2:7" x14ac:dyDescent="0.25">
      <c r="B201" s="469"/>
      <c r="C201" s="469"/>
      <c r="D201" s="469"/>
      <c r="E201" s="469"/>
      <c r="F201" s="469"/>
      <c r="G201" s="469"/>
    </row>
    <row r="202" spans="2:7" x14ac:dyDescent="0.25">
      <c r="B202" s="469"/>
      <c r="C202" s="469"/>
      <c r="D202" s="469"/>
      <c r="E202" s="469"/>
      <c r="F202" s="469"/>
      <c r="G202" s="469"/>
    </row>
    <row r="203" spans="2:7" x14ac:dyDescent="0.25">
      <c r="B203" s="469"/>
      <c r="C203" s="469"/>
      <c r="D203" s="469"/>
      <c r="E203" s="469"/>
      <c r="F203" s="469"/>
      <c r="G203" s="469"/>
    </row>
    <row r="204" spans="2:7" x14ac:dyDescent="0.25">
      <c r="B204" s="469"/>
      <c r="C204" s="469"/>
      <c r="D204" s="469"/>
      <c r="E204" s="469"/>
      <c r="F204" s="469"/>
      <c r="G204" s="469"/>
    </row>
    <row r="205" spans="2:7" x14ac:dyDescent="0.25">
      <c r="B205" s="469"/>
      <c r="C205" s="469"/>
      <c r="D205" s="469"/>
      <c r="E205" s="469"/>
      <c r="F205" s="469"/>
      <c r="G205" s="469"/>
    </row>
  </sheetData>
  <mergeCells count="2">
    <mergeCell ref="C2:C3"/>
    <mergeCell ref="F2:G2"/>
  </mergeCells>
  <pageMargins left="0.43307086614173229" right="0.39370078740157483" top="0.31496062992125984" bottom="0.23622047244094491" header="0.51181102362204722" footer="0.23622047244094491"/>
  <pageSetup paperSize="9" scale="73" fitToHeight="50" orientation="portrait" r:id="rId1"/>
  <headerFooter alignWithMargins="0">
    <oddFooter>&amp;R&amp;P</oddFooter>
  </headerFooter>
  <rowBreaks count="1" manualBreakCount="1">
    <brk id="115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Zeros="0" zoomScale="70" zoomScaleNormal="70" zoomScaleSheetLayoutView="70" workbookViewId="0">
      <selection activeCell="A50" sqref="A50"/>
    </sheetView>
  </sheetViews>
  <sheetFormatPr defaultRowHeight="12.75" x14ac:dyDescent="0.2"/>
  <cols>
    <col min="1" max="1" width="67.42578125" customWidth="1"/>
    <col min="2" max="3" width="20.140625" customWidth="1"/>
    <col min="4" max="4" width="22.42578125" customWidth="1"/>
    <col min="5" max="5" width="20.140625" hidden="1" customWidth="1"/>
    <col min="6" max="6" width="23.5703125" customWidth="1"/>
  </cols>
  <sheetData>
    <row r="1" spans="1:8" s="474" customFormat="1" ht="16.5" thickBot="1" x14ac:dyDescent="0.3">
      <c r="A1" s="471"/>
      <c r="B1" s="472"/>
      <c r="C1" s="472"/>
      <c r="D1" s="472"/>
      <c r="E1" s="472"/>
      <c r="F1" s="473" t="s">
        <v>0</v>
      </c>
    </row>
    <row r="2" spans="1:8" s="474" customFormat="1" ht="16.5" customHeight="1" thickBot="1" x14ac:dyDescent="0.3">
      <c r="A2" s="475" t="s">
        <v>830</v>
      </c>
      <c r="B2" s="476" t="s">
        <v>831</v>
      </c>
      <c r="C2" s="476" t="s">
        <v>6</v>
      </c>
      <c r="D2" s="477" t="s">
        <v>832</v>
      </c>
      <c r="E2" s="478" t="s">
        <v>833</v>
      </c>
      <c r="F2" s="479"/>
      <c r="G2" s="480"/>
    </row>
    <row r="3" spans="1:8" s="474" customFormat="1" ht="16.5" thickBot="1" x14ac:dyDescent="0.3">
      <c r="A3" s="481" t="s">
        <v>834</v>
      </c>
      <c r="B3" s="482" t="s">
        <v>528</v>
      </c>
      <c r="C3" s="482" t="s">
        <v>529</v>
      </c>
      <c r="D3" s="483" t="s">
        <v>835</v>
      </c>
      <c r="E3" s="482" t="s">
        <v>836</v>
      </c>
      <c r="F3" s="482" t="s">
        <v>47</v>
      </c>
      <c r="G3" s="480"/>
    </row>
    <row r="4" spans="1:8" ht="19.5" thickBot="1" x14ac:dyDescent="0.35">
      <c r="A4" s="484" t="s">
        <v>3</v>
      </c>
      <c r="B4" s="485">
        <f>SUM(B5:B14)</f>
        <v>29421</v>
      </c>
      <c r="C4" s="485">
        <f>SUM(C5:C14)</f>
        <v>37059</v>
      </c>
      <c r="D4" s="485">
        <f>SUM(D5:D14)</f>
        <v>41159</v>
      </c>
      <c r="E4" s="485">
        <f>SUM(E5:E14)</f>
        <v>37350</v>
      </c>
      <c r="F4" s="485">
        <f>SUM(F5:F14)</f>
        <v>37350</v>
      </c>
    </row>
    <row r="5" spans="1:8" ht="18.75" x14ac:dyDescent="0.3">
      <c r="A5" s="486" t="s">
        <v>7</v>
      </c>
      <c r="B5" s="487"/>
      <c r="C5" s="487">
        <v>7082</v>
      </c>
      <c r="D5" s="487">
        <v>7082</v>
      </c>
      <c r="E5" s="487">
        <v>7082</v>
      </c>
      <c r="F5" s="487">
        <v>7082</v>
      </c>
      <c r="G5" s="488"/>
      <c r="H5" s="489"/>
    </row>
    <row r="6" spans="1:8" ht="18.75" x14ac:dyDescent="0.3">
      <c r="A6" s="486" t="s">
        <v>837</v>
      </c>
      <c r="B6" s="487"/>
      <c r="C6" s="487">
        <v>556</v>
      </c>
      <c r="D6" s="487">
        <v>556</v>
      </c>
      <c r="E6" s="487">
        <v>556</v>
      </c>
      <c r="F6" s="487">
        <v>556</v>
      </c>
      <c r="G6" s="488"/>
      <c r="H6" s="489"/>
    </row>
    <row r="7" spans="1:8" ht="18.75" x14ac:dyDescent="0.3">
      <c r="A7" s="486" t="s">
        <v>838</v>
      </c>
      <c r="B7" s="487">
        <v>300</v>
      </c>
      <c r="C7" s="487">
        <v>300</v>
      </c>
      <c r="D7" s="487">
        <v>339</v>
      </c>
      <c r="E7" s="487">
        <v>339</v>
      </c>
      <c r="F7" s="487">
        <v>339</v>
      </c>
      <c r="G7" s="488"/>
      <c r="H7" s="489"/>
    </row>
    <row r="8" spans="1:8" ht="18.75" x14ac:dyDescent="0.3">
      <c r="A8" s="490" t="s">
        <v>839</v>
      </c>
      <c r="B8" s="487">
        <v>60</v>
      </c>
      <c r="C8" s="487">
        <v>60</v>
      </c>
      <c r="D8" s="487">
        <v>88</v>
      </c>
      <c r="E8" s="487">
        <v>88</v>
      </c>
      <c r="F8" s="487">
        <v>88</v>
      </c>
      <c r="G8" s="491"/>
      <c r="H8" s="489"/>
    </row>
    <row r="9" spans="1:8" ht="18.75" x14ac:dyDescent="0.3">
      <c r="A9" s="490" t="s">
        <v>840</v>
      </c>
      <c r="B9" s="487">
        <v>3</v>
      </c>
      <c r="C9" s="487">
        <v>3</v>
      </c>
      <c r="D9" s="487"/>
      <c r="E9" s="487"/>
      <c r="F9" s="487"/>
      <c r="G9" s="491"/>
      <c r="H9" s="489"/>
    </row>
    <row r="10" spans="1:8" ht="18.75" x14ac:dyDescent="0.3">
      <c r="A10" s="490" t="s">
        <v>841</v>
      </c>
      <c r="B10" s="487"/>
      <c r="C10" s="487"/>
      <c r="D10" s="487">
        <v>3727</v>
      </c>
      <c r="E10" s="487">
        <v>3727</v>
      </c>
      <c r="F10" s="487">
        <v>3727</v>
      </c>
      <c r="G10" s="492"/>
      <c r="H10" s="489"/>
    </row>
    <row r="11" spans="1:8" ht="18.75" x14ac:dyDescent="0.3">
      <c r="A11" s="490" t="s">
        <v>842</v>
      </c>
      <c r="B11" s="487"/>
      <c r="C11" s="487"/>
      <c r="D11" s="487">
        <v>13</v>
      </c>
      <c r="E11" s="487">
        <f>13-55</f>
        <v>-42</v>
      </c>
      <c r="F11" s="487">
        <f>13-55</f>
        <v>-42</v>
      </c>
      <c r="G11" s="492"/>
      <c r="H11" s="489"/>
    </row>
    <row r="12" spans="1:8" ht="18.75" x14ac:dyDescent="0.3">
      <c r="A12" s="486" t="s">
        <v>843</v>
      </c>
      <c r="B12" s="487"/>
      <c r="C12" s="487"/>
      <c r="D12" s="487"/>
      <c r="E12" s="487">
        <v>25600</v>
      </c>
      <c r="F12" s="487">
        <v>25600</v>
      </c>
      <c r="G12" s="488"/>
      <c r="H12" s="489"/>
    </row>
    <row r="13" spans="1:8" ht="18.75" x14ac:dyDescent="0.3">
      <c r="A13" s="486" t="s">
        <v>844</v>
      </c>
      <c r="B13" s="487">
        <f>18659</f>
        <v>18659</v>
      </c>
      <c r="C13" s="487">
        <v>18659</v>
      </c>
      <c r="D13" s="487">
        <v>29354</v>
      </c>
      <c r="E13" s="493"/>
      <c r="F13" s="493"/>
      <c r="G13" s="488"/>
      <c r="H13" s="489"/>
    </row>
    <row r="14" spans="1:8" ht="18.75" x14ac:dyDescent="0.3">
      <c r="A14" s="486" t="s">
        <v>845</v>
      </c>
      <c r="B14" s="494">
        <v>10399</v>
      </c>
      <c r="C14" s="494">
        <v>10399</v>
      </c>
      <c r="D14" s="494"/>
      <c r="E14" s="493"/>
      <c r="F14" s="493"/>
      <c r="G14" s="488"/>
      <c r="H14" s="489"/>
    </row>
    <row r="15" spans="1:8" ht="19.5" thickBot="1" x14ac:dyDescent="0.35">
      <c r="A15" s="486"/>
      <c r="B15" s="494"/>
      <c r="C15" s="494"/>
      <c r="D15" s="494"/>
      <c r="E15" s="493"/>
      <c r="F15" s="493"/>
      <c r="G15" s="488"/>
      <c r="H15" s="489"/>
    </row>
    <row r="16" spans="1:8" ht="19.5" thickBot="1" x14ac:dyDescent="0.35">
      <c r="A16" s="484" t="s">
        <v>4</v>
      </c>
      <c r="B16" s="495">
        <f>B18+B22</f>
        <v>29421</v>
      </c>
      <c r="C16" s="495">
        <f>C18+C22</f>
        <v>37059</v>
      </c>
      <c r="D16" s="495">
        <f>D18+D22</f>
        <v>34145</v>
      </c>
      <c r="E16" s="495">
        <f>E18+E22</f>
        <v>34139</v>
      </c>
      <c r="F16" s="495">
        <f>F18+F22</f>
        <v>34139</v>
      </c>
      <c r="G16" s="489"/>
      <c r="H16" s="489"/>
    </row>
    <row r="17" spans="1:8" ht="18.75" x14ac:dyDescent="0.3">
      <c r="A17" s="496"/>
      <c r="B17" s="497"/>
      <c r="C17" s="497"/>
      <c r="D17" s="497"/>
      <c r="E17" s="497"/>
      <c r="F17" s="497"/>
      <c r="G17" s="488"/>
      <c r="H17" s="489"/>
    </row>
    <row r="18" spans="1:8" ht="18.75" x14ac:dyDescent="0.3">
      <c r="A18" s="498" t="s">
        <v>536</v>
      </c>
      <c r="B18" s="499"/>
      <c r="C18" s="499">
        <f>SUM(C20)</f>
        <v>230</v>
      </c>
      <c r="D18" s="499">
        <f>SUM(D20:D20)</f>
        <v>230</v>
      </c>
      <c r="E18" s="499">
        <f>SUM(E20:E20)</f>
        <v>230</v>
      </c>
      <c r="F18" s="499">
        <f>SUM(F20:F20)</f>
        <v>230</v>
      </c>
      <c r="G18" s="488"/>
      <c r="H18" s="489"/>
    </row>
    <row r="19" spans="1:8" ht="18.75" x14ac:dyDescent="0.3">
      <c r="A19" s="500" t="s">
        <v>846</v>
      </c>
      <c r="B19" s="501"/>
      <c r="C19" s="501"/>
      <c r="D19" s="501"/>
      <c r="E19" s="501"/>
      <c r="F19" s="501"/>
      <c r="G19" s="488"/>
      <c r="H19" s="489"/>
    </row>
    <row r="20" spans="1:8" ht="18.75" x14ac:dyDescent="0.3">
      <c r="A20" s="486" t="s">
        <v>847</v>
      </c>
      <c r="B20" s="494"/>
      <c r="C20" s="494">
        <v>230</v>
      </c>
      <c r="D20" s="494">
        <v>230</v>
      </c>
      <c r="E20" s="494">
        <v>230</v>
      </c>
      <c r="F20" s="494">
        <v>230</v>
      </c>
      <c r="G20" s="502"/>
      <c r="H20" s="489"/>
    </row>
    <row r="21" spans="1:8" ht="18.75" x14ac:dyDescent="0.3">
      <c r="A21" s="486"/>
      <c r="B21" s="503"/>
      <c r="C21" s="494"/>
      <c r="D21" s="494"/>
      <c r="E21" s="494"/>
      <c r="F21" s="494"/>
      <c r="G21" s="488"/>
      <c r="H21" s="489"/>
    </row>
    <row r="22" spans="1:8" ht="18.75" x14ac:dyDescent="0.3">
      <c r="A22" s="498" t="s">
        <v>539</v>
      </c>
      <c r="B22" s="499">
        <f>B23+B32</f>
        <v>29421</v>
      </c>
      <c r="C22" s="499">
        <f>C23+C32</f>
        <v>36829</v>
      </c>
      <c r="D22" s="499">
        <f>D23+D32</f>
        <v>33915</v>
      </c>
      <c r="E22" s="499">
        <f>E23+E32</f>
        <v>33909</v>
      </c>
      <c r="F22" s="499">
        <f>F23+F32</f>
        <v>33909</v>
      </c>
      <c r="G22" s="488"/>
      <c r="H22" s="489"/>
    </row>
    <row r="23" spans="1:8" ht="18.75" x14ac:dyDescent="0.3">
      <c r="A23" s="500" t="s">
        <v>848</v>
      </c>
      <c r="B23" s="501">
        <f>SUM(B24:B30)</f>
        <v>18722</v>
      </c>
      <c r="C23" s="501">
        <f>SUM(C24:C30)</f>
        <v>25638</v>
      </c>
      <c r="D23" s="501">
        <f>SUM(D24:D30)</f>
        <v>23950</v>
      </c>
      <c r="E23" s="501">
        <f>SUM(E24:E30)</f>
        <v>23948</v>
      </c>
      <c r="F23" s="501">
        <f>SUM(F24:F30)</f>
        <v>23948</v>
      </c>
      <c r="G23" s="489"/>
      <c r="H23" s="489"/>
    </row>
    <row r="24" spans="1:8" ht="34.5" customHeight="1" x14ac:dyDescent="0.3">
      <c r="A24" s="504" t="s">
        <v>849</v>
      </c>
      <c r="B24" s="494">
        <v>10558</v>
      </c>
      <c r="C24" s="494">
        <v>16455</v>
      </c>
      <c r="D24" s="494">
        <v>16269</v>
      </c>
      <c r="E24" s="494">
        <v>16269</v>
      </c>
      <c r="F24" s="494">
        <v>16269</v>
      </c>
      <c r="G24" s="492"/>
      <c r="H24" s="489"/>
    </row>
    <row r="25" spans="1:8" ht="18.75" x14ac:dyDescent="0.3">
      <c r="A25" s="486" t="s">
        <v>850</v>
      </c>
      <c r="B25" s="494">
        <v>2790</v>
      </c>
      <c r="C25" s="494">
        <v>3993</v>
      </c>
      <c r="D25" s="494">
        <v>3309</v>
      </c>
      <c r="E25" s="494">
        <v>3309</v>
      </c>
      <c r="F25" s="494">
        <v>3309</v>
      </c>
      <c r="G25" s="488"/>
      <c r="H25" s="489"/>
    </row>
    <row r="26" spans="1:8" ht="18.75" x14ac:dyDescent="0.3">
      <c r="A26" s="486" t="s">
        <v>851</v>
      </c>
      <c r="B26" s="494">
        <v>390</v>
      </c>
      <c r="C26" s="494">
        <v>390</v>
      </c>
      <c r="D26" s="494">
        <v>391</v>
      </c>
      <c r="E26" s="494">
        <v>391</v>
      </c>
      <c r="F26" s="494">
        <v>391</v>
      </c>
      <c r="G26" s="488"/>
      <c r="H26" s="489"/>
    </row>
    <row r="27" spans="1:8" ht="18.75" customHeight="1" x14ac:dyDescent="0.3">
      <c r="A27" s="505" t="s">
        <v>852</v>
      </c>
      <c r="B27" s="494">
        <v>330</v>
      </c>
      <c r="C27" s="494">
        <v>340</v>
      </c>
      <c r="D27" s="494">
        <v>232</v>
      </c>
      <c r="E27" s="494">
        <v>230</v>
      </c>
      <c r="F27" s="494">
        <v>230</v>
      </c>
      <c r="G27" s="502"/>
      <c r="H27" s="489"/>
    </row>
    <row r="28" spans="1:8" ht="34.5" customHeight="1" x14ac:dyDescent="0.3">
      <c r="A28" s="505" t="s">
        <v>853</v>
      </c>
      <c r="B28" s="494">
        <v>240</v>
      </c>
      <c r="C28" s="494">
        <v>240</v>
      </c>
      <c r="D28" s="494">
        <v>166</v>
      </c>
      <c r="E28" s="494">
        <v>166</v>
      </c>
      <c r="F28" s="494">
        <v>166</v>
      </c>
      <c r="G28" s="492"/>
      <c r="H28" s="489"/>
    </row>
    <row r="29" spans="1:8" ht="18.75" customHeight="1" x14ac:dyDescent="0.3">
      <c r="A29" s="506" t="s">
        <v>854</v>
      </c>
      <c r="B29" s="494">
        <v>800</v>
      </c>
      <c r="C29" s="494">
        <v>730</v>
      </c>
      <c r="D29" s="494">
        <v>166</v>
      </c>
      <c r="E29" s="494">
        <v>166</v>
      </c>
      <c r="F29" s="494">
        <v>166</v>
      </c>
      <c r="G29" s="488"/>
      <c r="H29" s="489"/>
    </row>
    <row r="30" spans="1:8" ht="18.75" x14ac:dyDescent="0.3">
      <c r="A30" s="486" t="s">
        <v>855</v>
      </c>
      <c r="B30" s="494">
        <v>3614</v>
      </c>
      <c r="C30" s="494">
        <v>3490</v>
      </c>
      <c r="D30" s="494">
        <v>3417</v>
      </c>
      <c r="E30" s="494">
        <v>3417</v>
      </c>
      <c r="F30" s="494">
        <v>3417</v>
      </c>
      <c r="G30" s="488"/>
      <c r="H30" s="489"/>
    </row>
    <row r="31" spans="1:8" ht="18.75" x14ac:dyDescent="0.3">
      <c r="A31" s="486"/>
      <c r="B31" s="494"/>
      <c r="C31" s="494"/>
      <c r="D31" s="494"/>
      <c r="E31" s="494"/>
      <c r="F31" s="494"/>
      <c r="G31" s="488"/>
      <c r="H31" s="489"/>
    </row>
    <row r="32" spans="1:8" s="508" customFormat="1" ht="18.75" x14ac:dyDescent="0.3">
      <c r="A32" s="500" t="s">
        <v>846</v>
      </c>
      <c r="B32" s="497">
        <f>SUM(B33:B41)</f>
        <v>10699</v>
      </c>
      <c r="C32" s="497">
        <f>SUM(C33:C41)</f>
        <v>11191</v>
      </c>
      <c r="D32" s="497">
        <f>SUM(D33:D41)</f>
        <v>9965</v>
      </c>
      <c r="E32" s="497">
        <f>SUM(E33:E41)</f>
        <v>9961</v>
      </c>
      <c r="F32" s="497">
        <f>SUM(F33:F41)</f>
        <v>9961</v>
      </c>
      <c r="G32" s="507"/>
      <c r="H32" s="489"/>
    </row>
    <row r="33" spans="1:8" ht="18.75" x14ac:dyDescent="0.3">
      <c r="A33" s="486" t="s">
        <v>850</v>
      </c>
      <c r="B33" s="494">
        <v>1720</v>
      </c>
      <c r="C33" s="494">
        <v>1720</v>
      </c>
      <c r="D33" s="494">
        <v>1707</v>
      </c>
      <c r="E33" s="494">
        <v>1707</v>
      </c>
      <c r="F33" s="494">
        <v>1707</v>
      </c>
      <c r="G33" s="488"/>
      <c r="H33" s="489"/>
    </row>
    <row r="34" spans="1:8" ht="18.75" x14ac:dyDescent="0.3">
      <c r="A34" s="486" t="s">
        <v>851</v>
      </c>
      <c r="B34" s="494">
        <v>220</v>
      </c>
      <c r="C34" s="494">
        <v>220</v>
      </c>
      <c r="D34" s="494">
        <v>185</v>
      </c>
      <c r="E34" s="494">
        <v>185</v>
      </c>
      <c r="F34" s="494">
        <v>185</v>
      </c>
      <c r="G34" s="488"/>
      <c r="H34" s="489"/>
    </row>
    <row r="35" spans="1:8" ht="18.75" x14ac:dyDescent="0.3">
      <c r="A35" s="506" t="s">
        <v>856</v>
      </c>
      <c r="B35" s="494">
        <v>1224</v>
      </c>
      <c r="C35" s="494">
        <v>1432</v>
      </c>
      <c r="D35" s="494">
        <v>964</v>
      </c>
      <c r="E35" s="494">
        <f>964-4</f>
        <v>960</v>
      </c>
      <c r="F35" s="494">
        <f>964-4</f>
        <v>960</v>
      </c>
      <c r="G35" s="502"/>
      <c r="H35" s="489"/>
    </row>
    <row r="36" spans="1:8" ht="35.25" customHeight="1" x14ac:dyDescent="0.3">
      <c r="A36" s="506" t="s">
        <v>853</v>
      </c>
      <c r="B36" s="494">
        <v>154</v>
      </c>
      <c r="C36" s="494">
        <v>200</v>
      </c>
      <c r="D36" s="494">
        <v>200</v>
      </c>
      <c r="E36" s="494">
        <v>200</v>
      </c>
      <c r="F36" s="494">
        <v>200</v>
      </c>
      <c r="G36" s="488"/>
      <c r="H36" s="489"/>
    </row>
    <row r="37" spans="1:8" ht="18.75" customHeight="1" x14ac:dyDescent="0.3">
      <c r="A37" s="506" t="s">
        <v>857</v>
      </c>
      <c r="B37" s="494">
        <v>70</v>
      </c>
      <c r="C37" s="494">
        <v>70</v>
      </c>
      <c r="D37" s="494">
        <v>45</v>
      </c>
      <c r="E37" s="494">
        <v>45</v>
      </c>
      <c r="F37" s="494">
        <v>45</v>
      </c>
      <c r="G37" s="488"/>
      <c r="H37" s="489"/>
    </row>
    <row r="38" spans="1:8" ht="18.75" x14ac:dyDescent="0.3">
      <c r="A38" s="506" t="s">
        <v>858</v>
      </c>
      <c r="B38" s="494">
        <v>5</v>
      </c>
      <c r="C38" s="494">
        <v>5</v>
      </c>
      <c r="D38" s="494"/>
      <c r="E38" s="494"/>
      <c r="F38" s="494"/>
      <c r="G38" s="488"/>
      <c r="H38" s="489"/>
    </row>
    <row r="39" spans="1:8" ht="18.75" x14ac:dyDescent="0.3">
      <c r="A39" s="486" t="s">
        <v>859</v>
      </c>
      <c r="B39" s="494">
        <v>325</v>
      </c>
      <c r="C39" s="494">
        <v>340</v>
      </c>
      <c r="D39" s="494">
        <v>337</v>
      </c>
      <c r="E39" s="494">
        <v>337</v>
      </c>
      <c r="F39" s="494">
        <v>337</v>
      </c>
      <c r="G39" s="488"/>
      <c r="H39" s="489"/>
    </row>
    <row r="40" spans="1:8" ht="18" customHeight="1" x14ac:dyDescent="0.3">
      <c r="A40" s="486" t="s">
        <v>860</v>
      </c>
      <c r="B40" s="494">
        <v>6971</v>
      </c>
      <c r="C40" s="494">
        <v>7194</v>
      </c>
      <c r="D40" s="494">
        <v>6527</v>
      </c>
      <c r="E40" s="494">
        <v>6527</v>
      </c>
      <c r="F40" s="494">
        <v>6527</v>
      </c>
      <c r="G40" s="488"/>
      <c r="H40" s="489"/>
    </row>
    <row r="41" spans="1:8" ht="19.5" thickBot="1" x14ac:dyDescent="0.35">
      <c r="A41" s="486" t="s">
        <v>861</v>
      </c>
      <c r="B41" s="494">
        <v>10</v>
      </c>
      <c r="C41" s="494">
        <v>10</v>
      </c>
      <c r="D41" s="494"/>
      <c r="E41" s="494"/>
      <c r="F41" s="494"/>
      <c r="G41" s="488"/>
      <c r="H41" s="489"/>
    </row>
    <row r="42" spans="1:8" ht="20.25" customHeight="1" thickBot="1" x14ac:dyDescent="0.35">
      <c r="A42" s="484" t="s">
        <v>5</v>
      </c>
      <c r="B42" s="495">
        <f>+B4-B16</f>
        <v>0</v>
      </c>
      <c r="C42" s="495">
        <f>+C4-C16</f>
        <v>0</v>
      </c>
      <c r="D42" s="495">
        <f>+D4-D16</f>
        <v>7014</v>
      </c>
      <c r="E42" s="495">
        <f>+E4-E16</f>
        <v>3211</v>
      </c>
      <c r="F42" s="495">
        <f>+F4-F16</f>
        <v>3211</v>
      </c>
      <c r="G42" s="489"/>
      <c r="H42" s="489"/>
    </row>
    <row r="43" spans="1:8" s="511" customFormat="1" ht="18" customHeight="1" x14ac:dyDescent="0.3">
      <c r="A43" s="509"/>
      <c r="B43" s="502"/>
      <c r="C43" s="502"/>
      <c r="D43" s="502"/>
      <c r="E43" s="502"/>
      <c r="F43" s="510"/>
      <c r="H43" s="489"/>
    </row>
    <row r="44" spans="1:8" s="513" customFormat="1" ht="18.75" customHeight="1" thickBot="1" x14ac:dyDescent="0.35">
      <c r="A44" s="509"/>
      <c r="B44" s="512"/>
      <c r="C44" s="512"/>
      <c r="D44" s="512"/>
      <c r="E44" s="511"/>
      <c r="H44" s="489"/>
    </row>
    <row r="45" spans="1:8" ht="16.5" thickBot="1" x14ac:dyDescent="0.3">
      <c r="A45" s="514" t="s">
        <v>825</v>
      </c>
      <c r="B45" s="515"/>
      <c r="C45" s="516"/>
      <c r="D45" s="516"/>
      <c r="E45" s="517"/>
      <c r="F45" s="518" t="s">
        <v>0</v>
      </c>
    </row>
    <row r="46" spans="1:8" ht="18.75" x14ac:dyDescent="0.3">
      <c r="A46" s="519" t="s">
        <v>619</v>
      </c>
      <c r="B46" s="520"/>
      <c r="C46" s="521"/>
      <c r="D46" s="521"/>
      <c r="E46" s="522"/>
      <c r="F46" s="523">
        <f>F42</f>
        <v>3211</v>
      </c>
    </row>
    <row r="47" spans="1:8" ht="18.75" x14ac:dyDescent="0.3">
      <c r="A47" s="524" t="s">
        <v>862</v>
      </c>
      <c r="B47" s="525"/>
      <c r="C47" s="526"/>
      <c r="D47" s="526"/>
      <c r="E47" s="527"/>
      <c r="F47" s="528">
        <f>D42-E42</f>
        <v>3803</v>
      </c>
    </row>
    <row r="48" spans="1:8" ht="19.5" thickBot="1" x14ac:dyDescent="0.35">
      <c r="A48" s="529" t="s">
        <v>863</v>
      </c>
      <c r="B48" s="529"/>
      <c r="C48" s="530"/>
      <c r="D48" s="530"/>
      <c r="E48" s="531"/>
      <c r="F48" s="532">
        <f>F46+F47</f>
        <v>7014</v>
      </c>
    </row>
  </sheetData>
  <mergeCells count="1">
    <mergeCell ref="E2:F2"/>
  </mergeCells>
  <printOptions horizontalCentered="1"/>
  <pageMargins left="0.47244094488188981" right="0.55118110236220474" top="0.9055118110236221" bottom="0.98425196850393704" header="0.51181102362204722" footer="0.51181102362204722"/>
  <pageSetup paperSize="9" scale="6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showZeros="0" zoomScale="90" zoomScaleNormal="90" workbookViewId="0"/>
  </sheetViews>
  <sheetFormatPr defaultRowHeight="15" x14ac:dyDescent="0.2"/>
  <cols>
    <col min="1" max="1" width="62.5703125" style="537" customWidth="1"/>
    <col min="2" max="2" width="23" style="537" customWidth="1"/>
    <col min="3" max="3" width="22.7109375" style="537" customWidth="1"/>
    <col min="4" max="4" width="22.140625" style="537" customWidth="1"/>
    <col min="5" max="5" width="10.7109375" style="537" customWidth="1"/>
    <col min="6" max="256" width="9.140625" style="537"/>
    <col min="257" max="257" width="62.5703125" style="537" customWidth="1"/>
    <col min="258" max="258" width="23" style="537" customWidth="1"/>
    <col min="259" max="259" width="22.7109375" style="537" customWidth="1"/>
    <col min="260" max="260" width="22.140625" style="537" customWidth="1"/>
    <col min="261" max="261" width="10.7109375" style="537" customWidth="1"/>
    <col min="262" max="512" width="9.140625" style="537"/>
    <col min="513" max="513" width="62.5703125" style="537" customWidth="1"/>
    <col min="514" max="514" width="23" style="537" customWidth="1"/>
    <col min="515" max="515" width="22.7109375" style="537" customWidth="1"/>
    <col min="516" max="516" width="22.140625" style="537" customWidth="1"/>
    <col min="517" max="517" width="10.7109375" style="537" customWidth="1"/>
    <col min="518" max="768" width="9.140625" style="537"/>
    <col min="769" max="769" width="62.5703125" style="537" customWidth="1"/>
    <col min="770" max="770" width="23" style="537" customWidth="1"/>
    <col min="771" max="771" width="22.7109375" style="537" customWidth="1"/>
    <col min="772" max="772" width="22.140625" style="537" customWidth="1"/>
    <col min="773" max="773" width="10.7109375" style="537" customWidth="1"/>
    <col min="774" max="1024" width="9.140625" style="537"/>
    <col min="1025" max="1025" width="62.5703125" style="537" customWidth="1"/>
    <col min="1026" max="1026" width="23" style="537" customWidth="1"/>
    <col min="1027" max="1027" width="22.7109375" style="537" customWidth="1"/>
    <col min="1028" max="1028" width="22.140625" style="537" customWidth="1"/>
    <col min="1029" max="1029" width="10.7109375" style="537" customWidth="1"/>
    <col min="1030" max="1280" width="9.140625" style="537"/>
    <col min="1281" max="1281" width="62.5703125" style="537" customWidth="1"/>
    <col min="1282" max="1282" width="23" style="537" customWidth="1"/>
    <col min="1283" max="1283" width="22.7109375" style="537" customWidth="1"/>
    <col min="1284" max="1284" width="22.140625" style="537" customWidth="1"/>
    <col min="1285" max="1285" width="10.7109375" style="537" customWidth="1"/>
    <col min="1286" max="1536" width="9.140625" style="537"/>
    <col min="1537" max="1537" width="62.5703125" style="537" customWidth="1"/>
    <col min="1538" max="1538" width="23" style="537" customWidth="1"/>
    <col min="1539" max="1539" width="22.7109375" style="537" customWidth="1"/>
    <col min="1540" max="1540" width="22.140625" style="537" customWidth="1"/>
    <col min="1541" max="1541" width="10.7109375" style="537" customWidth="1"/>
    <col min="1542" max="1792" width="9.140625" style="537"/>
    <col min="1793" max="1793" width="62.5703125" style="537" customWidth="1"/>
    <col min="1794" max="1794" width="23" style="537" customWidth="1"/>
    <col min="1795" max="1795" width="22.7109375" style="537" customWidth="1"/>
    <col min="1796" max="1796" width="22.140625" style="537" customWidth="1"/>
    <col min="1797" max="1797" width="10.7109375" style="537" customWidth="1"/>
    <col min="1798" max="2048" width="9.140625" style="537"/>
    <col min="2049" max="2049" width="62.5703125" style="537" customWidth="1"/>
    <col min="2050" max="2050" width="23" style="537" customWidth="1"/>
    <col min="2051" max="2051" width="22.7109375" style="537" customWidth="1"/>
    <col min="2052" max="2052" width="22.140625" style="537" customWidth="1"/>
    <col min="2053" max="2053" width="10.7109375" style="537" customWidth="1"/>
    <col min="2054" max="2304" width="9.140625" style="537"/>
    <col min="2305" max="2305" width="62.5703125" style="537" customWidth="1"/>
    <col min="2306" max="2306" width="23" style="537" customWidth="1"/>
    <col min="2307" max="2307" width="22.7109375" style="537" customWidth="1"/>
    <col min="2308" max="2308" width="22.140625" style="537" customWidth="1"/>
    <col min="2309" max="2309" width="10.7109375" style="537" customWidth="1"/>
    <col min="2310" max="2560" width="9.140625" style="537"/>
    <col min="2561" max="2561" width="62.5703125" style="537" customWidth="1"/>
    <col min="2562" max="2562" width="23" style="537" customWidth="1"/>
    <col min="2563" max="2563" width="22.7109375" style="537" customWidth="1"/>
    <col min="2564" max="2564" width="22.140625" style="537" customWidth="1"/>
    <col min="2565" max="2565" width="10.7109375" style="537" customWidth="1"/>
    <col min="2566" max="2816" width="9.140625" style="537"/>
    <col min="2817" max="2817" width="62.5703125" style="537" customWidth="1"/>
    <col min="2818" max="2818" width="23" style="537" customWidth="1"/>
    <col min="2819" max="2819" width="22.7109375" style="537" customWidth="1"/>
    <col min="2820" max="2820" width="22.140625" style="537" customWidth="1"/>
    <col min="2821" max="2821" width="10.7109375" style="537" customWidth="1"/>
    <col min="2822" max="3072" width="9.140625" style="537"/>
    <col min="3073" max="3073" width="62.5703125" style="537" customWidth="1"/>
    <col min="3074" max="3074" width="23" style="537" customWidth="1"/>
    <col min="3075" max="3075" width="22.7109375" style="537" customWidth="1"/>
    <col min="3076" max="3076" width="22.140625" style="537" customWidth="1"/>
    <col min="3077" max="3077" width="10.7109375" style="537" customWidth="1"/>
    <col min="3078" max="3328" width="9.140625" style="537"/>
    <col min="3329" max="3329" width="62.5703125" style="537" customWidth="1"/>
    <col min="3330" max="3330" width="23" style="537" customWidth="1"/>
    <col min="3331" max="3331" width="22.7109375" style="537" customWidth="1"/>
    <col min="3332" max="3332" width="22.140625" style="537" customWidth="1"/>
    <col min="3333" max="3333" width="10.7109375" style="537" customWidth="1"/>
    <col min="3334" max="3584" width="9.140625" style="537"/>
    <col min="3585" max="3585" width="62.5703125" style="537" customWidth="1"/>
    <col min="3586" max="3586" width="23" style="537" customWidth="1"/>
    <col min="3587" max="3587" width="22.7109375" style="537" customWidth="1"/>
    <col min="3588" max="3588" width="22.140625" style="537" customWidth="1"/>
    <col min="3589" max="3589" width="10.7109375" style="537" customWidth="1"/>
    <col min="3590" max="3840" width="9.140625" style="537"/>
    <col min="3841" max="3841" width="62.5703125" style="537" customWidth="1"/>
    <col min="3842" max="3842" width="23" style="537" customWidth="1"/>
    <col min="3843" max="3843" width="22.7109375" style="537" customWidth="1"/>
    <col min="3844" max="3844" width="22.140625" style="537" customWidth="1"/>
    <col min="3845" max="3845" width="10.7109375" style="537" customWidth="1"/>
    <col min="3846" max="4096" width="9.140625" style="537"/>
    <col min="4097" max="4097" width="62.5703125" style="537" customWidth="1"/>
    <col min="4098" max="4098" width="23" style="537" customWidth="1"/>
    <col min="4099" max="4099" width="22.7109375" style="537" customWidth="1"/>
    <col min="4100" max="4100" width="22.140625" style="537" customWidth="1"/>
    <col min="4101" max="4101" width="10.7109375" style="537" customWidth="1"/>
    <col min="4102" max="4352" width="9.140625" style="537"/>
    <col min="4353" max="4353" width="62.5703125" style="537" customWidth="1"/>
    <col min="4354" max="4354" width="23" style="537" customWidth="1"/>
    <col min="4355" max="4355" width="22.7109375" style="537" customWidth="1"/>
    <col min="4356" max="4356" width="22.140625" style="537" customWidth="1"/>
    <col min="4357" max="4357" width="10.7109375" style="537" customWidth="1"/>
    <col min="4358" max="4608" width="9.140625" style="537"/>
    <col min="4609" max="4609" width="62.5703125" style="537" customWidth="1"/>
    <col min="4610" max="4610" width="23" style="537" customWidth="1"/>
    <col min="4611" max="4611" width="22.7109375" style="537" customWidth="1"/>
    <col min="4612" max="4612" width="22.140625" style="537" customWidth="1"/>
    <col min="4613" max="4613" width="10.7109375" style="537" customWidth="1"/>
    <col min="4614" max="4864" width="9.140625" style="537"/>
    <col min="4865" max="4865" width="62.5703125" style="537" customWidth="1"/>
    <col min="4866" max="4866" width="23" style="537" customWidth="1"/>
    <col min="4867" max="4867" width="22.7109375" style="537" customWidth="1"/>
    <col min="4868" max="4868" width="22.140625" style="537" customWidth="1"/>
    <col min="4869" max="4869" width="10.7109375" style="537" customWidth="1"/>
    <col min="4870" max="5120" width="9.140625" style="537"/>
    <col min="5121" max="5121" width="62.5703125" style="537" customWidth="1"/>
    <col min="5122" max="5122" width="23" style="537" customWidth="1"/>
    <col min="5123" max="5123" width="22.7109375" style="537" customWidth="1"/>
    <col min="5124" max="5124" width="22.140625" style="537" customWidth="1"/>
    <col min="5125" max="5125" width="10.7109375" style="537" customWidth="1"/>
    <col min="5126" max="5376" width="9.140625" style="537"/>
    <col min="5377" max="5377" width="62.5703125" style="537" customWidth="1"/>
    <col min="5378" max="5378" width="23" style="537" customWidth="1"/>
    <col min="5379" max="5379" width="22.7109375" style="537" customWidth="1"/>
    <col min="5380" max="5380" width="22.140625" style="537" customWidth="1"/>
    <col min="5381" max="5381" width="10.7109375" style="537" customWidth="1"/>
    <col min="5382" max="5632" width="9.140625" style="537"/>
    <col min="5633" max="5633" width="62.5703125" style="537" customWidth="1"/>
    <col min="5634" max="5634" width="23" style="537" customWidth="1"/>
    <col min="5635" max="5635" width="22.7109375" style="537" customWidth="1"/>
    <col min="5636" max="5636" width="22.140625" style="537" customWidth="1"/>
    <col min="5637" max="5637" width="10.7109375" style="537" customWidth="1"/>
    <col min="5638" max="5888" width="9.140625" style="537"/>
    <col min="5889" max="5889" width="62.5703125" style="537" customWidth="1"/>
    <col min="5890" max="5890" width="23" style="537" customWidth="1"/>
    <col min="5891" max="5891" width="22.7109375" style="537" customWidth="1"/>
    <col min="5892" max="5892" width="22.140625" style="537" customWidth="1"/>
    <col min="5893" max="5893" width="10.7109375" style="537" customWidth="1"/>
    <col min="5894" max="6144" width="9.140625" style="537"/>
    <col min="6145" max="6145" width="62.5703125" style="537" customWidth="1"/>
    <col min="6146" max="6146" width="23" style="537" customWidth="1"/>
    <col min="6147" max="6147" width="22.7109375" style="537" customWidth="1"/>
    <col min="6148" max="6148" width="22.140625" style="537" customWidth="1"/>
    <col min="6149" max="6149" width="10.7109375" style="537" customWidth="1"/>
    <col min="6150" max="6400" width="9.140625" style="537"/>
    <col min="6401" max="6401" width="62.5703125" style="537" customWidth="1"/>
    <col min="6402" max="6402" width="23" style="537" customWidth="1"/>
    <col min="6403" max="6403" width="22.7109375" style="537" customWidth="1"/>
    <col min="6404" max="6404" width="22.140625" style="537" customWidth="1"/>
    <col min="6405" max="6405" width="10.7109375" style="537" customWidth="1"/>
    <col min="6406" max="6656" width="9.140625" style="537"/>
    <col min="6657" max="6657" width="62.5703125" style="537" customWidth="1"/>
    <col min="6658" max="6658" width="23" style="537" customWidth="1"/>
    <col min="6659" max="6659" width="22.7109375" style="537" customWidth="1"/>
    <col min="6660" max="6660" width="22.140625" style="537" customWidth="1"/>
    <col min="6661" max="6661" width="10.7109375" style="537" customWidth="1"/>
    <col min="6662" max="6912" width="9.140625" style="537"/>
    <col min="6913" max="6913" width="62.5703125" style="537" customWidth="1"/>
    <col min="6914" max="6914" width="23" style="537" customWidth="1"/>
    <col min="6915" max="6915" width="22.7109375" style="537" customWidth="1"/>
    <col min="6916" max="6916" width="22.140625" style="537" customWidth="1"/>
    <col min="6917" max="6917" width="10.7109375" style="537" customWidth="1"/>
    <col min="6918" max="7168" width="9.140625" style="537"/>
    <col min="7169" max="7169" width="62.5703125" style="537" customWidth="1"/>
    <col min="7170" max="7170" width="23" style="537" customWidth="1"/>
    <col min="7171" max="7171" width="22.7109375" style="537" customWidth="1"/>
    <col min="7172" max="7172" width="22.140625" style="537" customWidth="1"/>
    <col min="7173" max="7173" width="10.7109375" style="537" customWidth="1"/>
    <col min="7174" max="7424" width="9.140625" style="537"/>
    <col min="7425" max="7425" width="62.5703125" style="537" customWidth="1"/>
    <col min="7426" max="7426" width="23" style="537" customWidth="1"/>
    <col min="7427" max="7427" width="22.7109375" style="537" customWidth="1"/>
    <col min="7428" max="7428" width="22.140625" style="537" customWidth="1"/>
    <col min="7429" max="7429" width="10.7109375" style="537" customWidth="1"/>
    <col min="7430" max="7680" width="9.140625" style="537"/>
    <col min="7681" max="7681" width="62.5703125" style="537" customWidth="1"/>
    <col min="7682" max="7682" width="23" style="537" customWidth="1"/>
    <col min="7683" max="7683" width="22.7109375" style="537" customWidth="1"/>
    <col min="7684" max="7684" width="22.140625" style="537" customWidth="1"/>
    <col min="7685" max="7685" width="10.7109375" style="537" customWidth="1"/>
    <col min="7686" max="7936" width="9.140625" style="537"/>
    <col min="7937" max="7937" width="62.5703125" style="537" customWidth="1"/>
    <col min="7938" max="7938" width="23" style="537" customWidth="1"/>
    <col min="7939" max="7939" width="22.7109375" style="537" customWidth="1"/>
    <col min="7940" max="7940" width="22.140625" style="537" customWidth="1"/>
    <col min="7941" max="7941" width="10.7109375" style="537" customWidth="1"/>
    <col min="7942" max="8192" width="9.140625" style="537"/>
    <col min="8193" max="8193" width="62.5703125" style="537" customWidth="1"/>
    <col min="8194" max="8194" width="23" style="537" customWidth="1"/>
    <col min="8195" max="8195" width="22.7109375" style="537" customWidth="1"/>
    <col min="8196" max="8196" width="22.140625" style="537" customWidth="1"/>
    <col min="8197" max="8197" width="10.7109375" style="537" customWidth="1"/>
    <col min="8198" max="8448" width="9.140625" style="537"/>
    <col min="8449" max="8449" width="62.5703125" style="537" customWidth="1"/>
    <col min="8450" max="8450" width="23" style="537" customWidth="1"/>
    <col min="8451" max="8451" width="22.7109375" style="537" customWidth="1"/>
    <col min="8452" max="8452" width="22.140625" style="537" customWidth="1"/>
    <col min="8453" max="8453" width="10.7109375" style="537" customWidth="1"/>
    <col min="8454" max="8704" width="9.140625" style="537"/>
    <col min="8705" max="8705" width="62.5703125" style="537" customWidth="1"/>
    <col min="8706" max="8706" width="23" style="537" customWidth="1"/>
    <col min="8707" max="8707" width="22.7109375" style="537" customWidth="1"/>
    <col min="8708" max="8708" width="22.140625" style="537" customWidth="1"/>
    <col min="8709" max="8709" width="10.7109375" style="537" customWidth="1"/>
    <col min="8710" max="8960" width="9.140625" style="537"/>
    <col min="8961" max="8961" width="62.5703125" style="537" customWidth="1"/>
    <col min="8962" max="8962" width="23" style="537" customWidth="1"/>
    <col min="8963" max="8963" width="22.7109375" style="537" customWidth="1"/>
    <col min="8964" max="8964" width="22.140625" style="537" customWidth="1"/>
    <col min="8965" max="8965" width="10.7109375" style="537" customWidth="1"/>
    <col min="8966" max="9216" width="9.140625" style="537"/>
    <col min="9217" max="9217" width="62.5703125" style="537" customWidth="1"/>
    <col min="9218" max="9218" width="23" style="537" customWidth="1"/>
    <col min="9219" max="9219" width="22.7109375" style="537" customWidth="1"/>
    <col min="9220" max="9220" width="22.140625" style="537" customWidth="1"/>
    <col min="9221" max="9221" width="10.7109375" style="537" customWidth="1"/>
    <col min="9222" max="9472" width="9.140625" style="537"/>
    <col min="9473" max="9473" width="62.5703125" style="537" customWidth="1"/>
    <col min="9474" max="9474" width="23" style="537" customWidth="1"/>
    <col min="9475" max="9475" width="22.7109375" style="537" customWidth="1"/>
    <col min="9476" max="9476" width="22.140625" style="537" customWidth="1"/>
    <col min="9477" max="9477" width="10.7109375" style="537" customWidth="1"/>
    <col min="9478" max="9728" width="9.140625" style="537"/>
    <col min="9729" max="9729" width="62.5703125" style="537" customWidth="1"/>
    <col min="9730" max="9730" width="23" style="537" customWidth="1"/>
    <col min="9731" max="9731" width="22.7109375" style="537" customWidth="1"/>
    <col min="9732" max="9732" width="22.140625" style="537" customWidth="1"/>
    <col min="9733" max="9733" width="10.7109375" style="537" customWidth="1"/>
    <col min="9734" max="9984" width="9.140625" style="537"/>
    <col min="9985" max="9985" width="62.5703125" style="537" customWidth="1"/>
    <col min="9986" max="9986" width="23" style="537" customWidth="1"/>
    <col min="9987" max="9987" width="22.7109375" style="537" customWidth="1"/>
    <col min="9988" max="9988" width="22.140625" style="537" customWidth="1"/>
    <col min="9989" max="9989" width="10.7109375" style="537" customWidth="1"/>
    <col min="9990" max="10240" width="9.140625" style="537"/>
    <col min="10241" max="10241" width="62.5703125" style="537" customWidth="1"/>
    <col min="10242" max="10242" width="23" style="537" customWidth="1"/>
    <col min="10243" max="10243" width="22.7109375" style="537" customWidth="1"/>
    <col min="10244" max="10244" width="22.140625" style="537" customWidth="1"/>
    <col min="10245" max="10245" width="10.7109375" style="537" customWidth="1"/>
    <col min="10246" max="10496" width="9.140625" style="537"/>
    <col min="10497" max="10497" width="62.5703125" style="537" customWidth="1"/>
    <col min="10498" max="10498" width="23" style="537" customWidth="1"/>
    <col min="10499" max="10499" width="22.7109375" style="537" customWidth="1"/>
    <col min="10500" max="10500" width="22.140625" style="537" customWidth="1"/>
    <col min="10501" max="10501" width="10.7109375" style="537" customWidth="1"/>
    <col min="10502" max="10752" width="9.140625" style="537"/>
    <col min="10753" max="10753" width="62.5703125" style="537" customWidth="1"/>
    <col min="10754" max="10754" width="23" style="537" customWidth="1"/>
    <col min="10755" max="10755" width="22.7109375" style="537" customWidth="1"/>
    <col min="10756" max="10756" width="22.140625" style="537" customWidth="1"/>
    <col min="10757" max="10757" width="10.7109375" style="537" customWidth="1"/>
    <col min="10758" max="11008" width="9.140625" style="537"/>
    <col min="11009" max="11009" width="62.5703125" style="537" customWidth="1"/>
    <col min="11010" max="11010" width="23" style="537" customWidth="1"/>
    <col min="11011" max="11011" width="22.7109375" style="537" customWidth="1"/>
    <col min="11012" max="11012" width="22.140625" style="537" customWidth="1"/>
    <col min="11013" max="11013" width="10.7109375" style="537" customWidth="1"/>
    <col min="11014" max="11264" width="9.140625" style="537"/>
    <col min="11265" max="11265" width="62.5703125" style="537" customWidth="1"/>
    <col min="11266" max="11266" width="23" style="537" customWidth="1"/>
    <col min="11267" max="11267" width="22.7109375" style="537" customWidth="1"/>
    <col min="11268" max="11268" width="22.140625" style="537" customWidth="1"/>
    <col min="11269" max="11269" width="10.7109375" style="537" customWidth="1"/>
    <col min="11270" max="11520" width="9.140625" style="537"/>
    <col min="11521" max="11521" width="62.5703125" style="537" customWidth="1"/>
    <col min="11522" max="11522" width="23" style="537" customWidth="1"/>
    <col min="11523" max="11523" width="22.7109375" style="537" customWidth="1"/>
    <col min="11524" max="11524" width="22.140625" style="537" customWidth="1"/>
    <col min="11525" max="11525" width="10.7109375" style="537" customWidth="1"/>
    <col min="11526" max="11776" width="9.140625" style="537"/>
    <col min="11777" max="11777" width="62.5703125" style="537" customWidth="1"/>
    <col min="11778" max="11778" width="23" style="537" customWidth="1"/>
    <col min="11779" max="11779" width="22.7109375" style="537" customWidth="1"/>
    <col min="11780" max="11780" width="22.140625" style="537" customWidth="1"/>
    <col min="11781" max="11781" width="10.7109375" style="537" customWidth="1"/>
    <col min="11782" max="12032" width="9.140625" style="537"/>
    <col min="12033" max="12033" width="62.5703125" style="537" customWidth="1"/>
    <col min="12034" max="12034" width="23" style="537" customWidth="1"/>
    <col min="12035" max="12035" width="22.7109375" style="537" customWidth="1"/>
    <col min="12036" max="12036" width="22.140625" style="537" customWidth="1"/>
    <col min="12037" max="12037" width="10.7109375" style="537" customWidth="1"/>
    <col min="12038" max="12288" width="9.140625" style="537"/>
    <col min="12289" max="12289" width="62.5703125" style="537" customWidth="1"/>
    <col min="12290" max="12290" width="23" style="537" customWidth="1"/>
    <col min="12291" max="12291" width="22.7109375" style="537" customWidth="1"/>
    <col min="12292" max="12292" width="22.140625" style="537" customWidth="1"/>
    <col min="12293" max="12293" width="10.7109375" style="537" customWidth="1"/>
    <col min="12294" max="12544" width="9.140625" style="537"/>
    <col min="12545" max="12545" width="62.5703125" style="537" customWidth="1"/>
    <col min="12546" max="12546" width="23" style="537" customWidth="1"/>
    <col min="12547" max="12547" width="22.7109375" style="537" customWidth="1"/>
    <col min="12548" max="12548" width="22.140625" style="537" customWidth="1"/>
    <col min="12549" max="12549" width="10.7109375" style="537" customWidth="1"/>
    <col min="12550" max="12800" width="9.140625" style="537"/>
    <col min="12801" max="12801" width="62.5703125" style="537" customWidth="1"/>
    <col min="12802" max="12802" width="23" style="537" customWidth="1"/>
    <col min="12803" max="12803" width="22.7109375" style="537" customWidth="1"/>
    <col min="12804" max="12804" width="22.140625" style="537" customWidth="1"/>
    <col min="12805" max="12805" width="10.7109375" style="537" customWidth="1"/>
    <col min="12806" max="13056" width="9.140625" style="537"/>
    <col min="13057" max="13057" width="62.5703125" style="537" customWidth="1"/>
    <col min="13058" max="13058" width="23" style="537" customWidth="1"/>
    <col min="13059" max="13059" width="22.7109375" style="537" customWidth="1"/>
    <col min="13060" max="13060" width="22.140625" style="537" customWidth="1"/>
    <col min="13061" max="13061" width="10.7109375" style="537" customWidth="1"/>
    <col min="13062" max="13312" width="9.140625" style="537"/>
    <col min="13313" max="13313" width="62.5703125" style="537" customWidth="1"/>
    <col min="13314" max="13314" width="23" style="537" customWidth="1"/>
    <col min="13315" max="13315" width="22.7109375" style="537" customWidth="1"/>
    <col min="13316" max="13316" width="22.140625" style="537" customWidth="1"/>
    <col min="13317" max="13317" width="10.7109375" style="537" customWidth="1"/>
    <col min="13318" max="13568" width="9.140625" style="537"/>
    <col min="13569" max="13569" width="62.5703125" style="537" customWidth="1"/>
    <col min="13570" max="13570" width="23" style="537" customWidth="1"/>
    <col min="13571" max="13571" width="22.7109375" style="537" customWidth="1"/>
    <col min="13572" max="13572" width="22.140625" style="537" customWidth="1"/>
    <col min="13573" max="13573" width="10.7109375" style="537" customWidth="1"/>
    <col min="13574" max="13824" width="9.140625" style="537"/>
    <col min="13825" max="13825" width="62.5703125" style="537" customWidth="1"/>
    <col min="13826" max="13826" width="23" style="537" customWidth="1"/>
    <col min="13827" max="13827" width="22.7109375" style="537" customWidth="1"/>
    <col min="13828" max="13828" width="22.140625" style="537" customWidth="1"/>
    <col min="13829" max="13829" width="10.7109375" style="537" customWidth="1"/>
    <col min="13830" max="14080" width="9.140625" style="537"/>
    <col min="14081" max="14081" width="62.5703125" style="537" customWidth="1"/>
    <col min="14082" max="14082" width="23" style="537" customWidth="1"/>
    <col min="14083" max="14083" width="22.7109375" style="537" customWidth="1"/>
    <col min="14084" max="14084" width="22.140625" style="537" customWidth="1"/>
    <col min="14085" max="14085" width="10.7109375" style="537" customWidth="1"/>
    <col min="14086" max="14336" width="9.140625" style="537"/>
    <col min="14337" max="14337" width="62.5703125" style="537" customWidth="1"/>
    <col min="14338" max="14338" width="23" style="537" customWidth="1"/>
    <col min="14339" max="14339" width="22.7109375" style="537" customWidth="1"/>
    <col min="14340" max="14340" width="22.140625" style="537" customWidth="1"/>
    <col min="14341" max="14341" width="10.7109375" style="537" customWidth="1"/>
    <col min="14342" max="14592" width="9.140625" style="537"/>
    <col min="14593" max="14593" width="62.5703125" style="537" customWidth="1"/>
    <col min="14594" max="14594" width="23" style="537" customWidth="1"/>
    <col min="14595" max="14595" width="22.7109375" style="537" customWidth="1"/>
    <col min="14596" max="14596" width="22.140625" style="537" customWidth="1"/>
    <col min="14597" max="14597" width="10.7109375" style="537" customWidth="1"/>
    <col min="14598" max="14848" width="9.140625" style="537"/>
    <col min="14849" max="14849" width="62.5703125" style="537" customWidth="1"/>
    <col min="14850" max="14850" width="23" style="537" customWidth="1"/>
    <col min="14851" max="14851" width="22.7109375" style="537" customWidth="1"/>
    <col min="14852" max="14852" width="22.140625" style="537" customWidth="1"/>
    <col min="14853" max="14853" width="10.7109375" style="537" customWidth="1"/>
    <col min="14854" max="15104" width="9.140625" style="537"/>
    <col min="15105" max="15105" width="62.5703125" style="537" customWidth="1"/>
    <col min="15106" max="15106" width="23" style="537" customWidth="1"/>
    <col min="15107" max="15107" width="22.7109375" style="537" customWidth="1"/>
    <col min="15108" max="15108" width="22.140625" style="537" customWidth="1"/>
    <col min="15109" max="15109" width="10.7109375" style="537" customWidth="1"/>
    <col min="15110" max="15360" width="9.140625" style="537"/>
    <col min="15361" max="15361" width="62.5703125" style="537" customWidth="1"/>
    <col min="15362" max="15362" width="23" style="537" customWidth="1"/>
    <col min="15363" max="15363" width="22.7109375" style="537" customWidth="1"/>
    <col min="15364" max="15364" width="22.140625" style="537" customWidth="1"/>
    <col min="15365" max="15365" width="10.7109375" style="537" customWidth="1"/>
    <col min="15366" max="15616" width="9.140625" style="537"/>
    <col min="15617" max="15617" width="62.5703125" style="537" customWidth="1"/>
    <col min="15618" max="15618" width="23" style="537" customWidth="1"/>
    <col min="15619" max="15619" width="22.7109375" style="537" customWidth="1"/>
    <col min="15620" max="15620" width="22.140625" style="537" customWidth="1"/>
    <col min="15621" max="15621" width="10.7109375" style="537" customWidth="1"/>
    <col min="15622" max="15872" width="9.140625" style="537"/>
    <col min="15873" max="15873" width="62.5703125" style="537" customWidth="1"/>
    <col min="15874" max="15874" width="23" style="537" customWidth="1"/>
    <col min="15875" max="15875" width="22.7109375" style="537" customWidth="1"/>
    <col min="15876" max="15876" width="22.140625" style="537" customWidth="1"/>
    <col min="15877" max="15877" width="10.7109375" style="537" customWidth="1"/>
    <col min="15878" max="16128" width="9.140625" style="537"/>
    <col min="16129" max="16129" width="62.5703125" style="537" customWidth="1"/>
    <col min="16130" max="16130" width="23" style="537" customWidth="1"/>
    <col min="16131" max="16131" width="22.7109375" style="537" customWidth="1"/>
    <col min="16132" max="16132" width="22.140625" style="537" customWidth="1"/>
    <col min="16133" max="16133" width="10.7109375" style="537" customWidth="1"/>
    <col min="16134" max="16384" width="9.140625" style="537"/>
  </cols>
  <sheetData>
    <row r="2" spans="1:4" ht="16.5" thickBot="1" x14ac:dyDescent="0.3">
      <c r="A2" s="533"/>
      <c r="B2" s="534"/>
      <c r="C2" s="535"/>
      <c r="D2" s="536" t="s">
        <v>0</v>
      </c>
    </row>
    <row r="3" spans="1:4" x14ac:dyDescent="0.2">
      <c r="A3" s="538" t="s">
        <v>864</v>
      </c>
      <c r="B3" s="539" t="s">
        <v>2</v>
      </c>
      <c r="C3" s="539" t="s">
        <v>560</v>
      </c>
      <c r="D3" s="540" t="s">
        <v>527</v>
      </c>
    </row>
    <row r="4" spans="1:4" ht="15.75" thickBot="1" x14ac:dyDescent="0.25">
      <c r="A4" s="397"/>
      <c r="B4" s="541">
        <v>2014</v>
      </c>
      <c r="C4" s="541" t="s">
        <v>529</v>
      </c>
      <c r="D4" s="397" t="s">
        <v>47</v>
      </c>
    </row>
    <row r="5" spans="1:4" ht="16.5" thickBot="1" x14ac:dyDescent="0.3">
      <c r="A5" s="542" t="s">
        <v>3</v>
      </c>
      <c r="B5" s="543">
        <f>SUM(B6:B8)</f>
        <v>150</v>
      </c>
      <c r="C5" s="543">
        <f>SUM(C6:C8)</f>
        <v>196</v>
      </c>
      <c r="D5" s="543">
        <f>SUM(D6:D8)</f>
        <v>406</v>
      </c>
    </row>
    <row r="6" spans="1:4" ht="15.75" x14ac:dyDescent="0.25">
      <c r="A6" s="544" t="s">
        <v>7</v>
      </c>
      <c r="B6" s="545">
        <v>50</v>
      </c>
      <c r="C6" s="545">
        <v>96</v>
      </c>
      <c r="D6" s="545">
        <v>96</v>
      </c>
    </row>
    <row r="7" spans="1:4" ht="15.75" x14ac:dyDescent="0.25">
      <c r="A7" s="544" t="s">
        <v>865</v>
      </c>
      <c r="B7" s="545">
        <v>100</v>
      </c>
      <c r="C7" s="545">
        <v>100</v>
      </c>
      <c r="D7" s="545">
        <v>310</v>
      </c>
    </row>
    <row r="8" spans="1:4" ht="16.5" thickBot="1" x14ac:dyDescent="0.3">
      <c r="A8" s="544"/>
      <c r="B8" s="545"/>
      <c r="C8" s="545"/>
      <c r="D8" s="545"/>
    </row>
    <row r="9" spans="1:4" ht="16.5" thickBot="1" x14ac:dyDescent="0.3">
      <c r="A9" s="542" t="s">
        <v>4</v>
      </c>
      <c r="B9" s="546">
        <f>SUM(B10:B10)</f>
        <v>100</v>
      </c>
      <c r="C9" s="546">
        <f>SUM(C10:C10)</f>
        <v>100</v>
      </c>
      <c r="D9" s="546">
        <f>D10</f>
        <v>0</v>
      </c>
    </row>
    <row r="10" spans="1:4" ht="32.25" thickBot="1" x14ac:dyDescent="0.3">
      <c r="A10" s="547" t="s">
        <v>866</v>
      </c>
      <c r="B10" s="548">
        <v>100</v>
      </c>
      <c r="C10" s="548">
        <v>100</v>
      </c>
      <c r="D10" s="548"/>
    </row>
    <row r="11" spans="1:4" ht="16.5" thickBot="1" x14ac:dyDescent="0.3">
      <c r="A11" s="549" t="s">
        <v>5</v>
      </c>
      <c r="B11" s="546">
        <f>+B5-B9</f>
        <v>50</v>
      </c>
      <c r="C11" s="546">
        <f>+C5-C9</f>
        <v>96</v>
      </c>
      <c r="D11" s="546">
        <f>+D5-D9</f>
        <v>406</v>
      </c>
    </row>
    <row r="12" spans="1:4" ht="15.75" x14ac:dyDescent="0.25">
      <c r="A12" s="550"/>
      <c r="B12" s="551"/>
      <c r="C12" s="551"/>
      <c r="D12" s="551"/>
    </row>
    <row r="13" spans="1:4" ht="30.75" customHeight="1" x14ac:dyDescent="0.25">
      <c r="A13" s="552" t="s">
        <v>867</v>
      </c>
      <c r="B13" s="552"/>
      <c r="C13" s="552"/>
      <c r="D13" s="552"/>
    </row>
    <row r="14" spans="1:4" ht="15.75" x14ac:dyDescent="0.25">
      <c r="A14" s="553"/>
    </row>
    <row r="15" spans="1:4" ht="15.75" x14ac:dyDescent="0.25">
      <c r="A15" s="553"/>
    </row>
  </sheetData>
  <mergeCells count="1">
    <mergeCell ref="A13:D13"/>
  </mergeCells>
  <printOptions horizontalCentered="1"/>
  <pageMargins left="0.59055118110236227" right="0.62992125984251968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G43"/>
  <sheetViews>
    <sheetView workbookViewId="0">
      <selection activeCell="C27" sqref="C27:E28"/>
    </sheetView>
  </sheetViews>
  <sheetFormatPr defaultRowHeight="12.75" x14ac:dyDescent="0.2"/>
  <cols>
    <col min="1" max="1" width="48.7109375" style="6" customWidth="1"/>
    <col min="2" max="5" width="17.42578125" style="6" customWidth="1"/>
    <col min="6" max="6" width="22.140625" style="6" customWidth="1"/>
    <col min="7" max="7" width="17.28515625" style="6" customWidth="1"/>
    <col min="8" max="8" width="16.85546875" style="6" customWidth="1"/>
    <col min="9" max="16384" width="9.140625" style="6"/>
  </cols>
  <sheetData>
    <row r="1" spans="1:7" ht="13.5" thickBot="1" x14ac:dyDescent="0.25">
      <c r="B1" s="122"/>
      <c r="C1" s="122"/>
      <c r="D1" s="122"/>
      <c r="E1" s="122" t="s">
        <v>0</v>
      </c>
      <c r="F1" s="122"/>
    </row>
    <row r="2" spans="1:7" ht="13.5" thickBot="1" x14ac:dyDescent="0.25">
      <c r="A2" s="213" t="s">
        <v>1</v>
      </c>
      <c r="B2" s="123" t="s">
        <v>2</v>
      </c>
      <c r="C2" s="123" t="s">
        <v>6</v>
      </c>
      <c r="D2" s="217" t="s">
        <v>524</v>
      </c>
      <c r="E2" s="218"/>
      <c r="F2" s="134"/>
    </row>
    <row r="3" spans="1:7" ht="13.5" thickBot="1" x14ac:dyDescent="0.25">
      <c r="A3" s="214"/>
      <c r="B3" s="125">
        <v>2014</v>
      </c>
      <c r="C3" s="125" t="s">
        <v>523</v>
      </c>
      <c r="D3" s="135" t="s">
        <v>10</v>
      </c>
      <c r="E3" s="5" t="s">
        <v>11</v>
      </c>
      <c r="F3" s="136"/>
    </row>
    <row r="4" spans="1:7" ht="13.5" thickBot="1" x14ac:dyDescent="0.25">
      <c r="A4" s="127" t="s">
        <v>3</v>
      </c>
      <c r="B4" s="128">
        <f>SUM(B5:B10)</f>
        <v>12995</v>
      </c>
      <c r="C4" s="128">
        <f>SUM(C5:C10)</f>
        <v>219828</v>
      </c>
      <c r="D4" s="128">
        <f>SUM(D5:D10)</f>
        <v>219828</v>
      </c>
      <c r="E4" s="128">
        <f>SUM(E5:E10)</f>
        <v>219828</v>
      </c>
      <c r="F4" s="32">
        <f>'FRR Kč'!D4</f>
        <v>219827598.26999998</v>
      </c>
      <c r="G4" s="32">
        <f>'FRR Kč'!E4</f>
        <v>219827598.26999998</v>
      </c>
    </row>
    <row r="5" spans="1:7" x14ac:dyDescent="0.2">
      <c r="A5" s="31" t="s">
        <v>7</v>
      </c>
      <c r="B5" s="47">
        <v>12995</v>
      </c>
      <c r="C5" s="46">
        <v>12995</v>
      </c>
      <c r="D5" s="47">
        <v>12995</v>
      </c>
      <c r="E5" s="47">
        <v>12995</v>
      </c>
      <c r="F5" s="32">
        <f>'FRR Kč'!D5</f>
        <v>12995000</v>
      </c>
      <c r="G5" s="32">
        <f>'FRR Kč'!E5</f>
        <v>12995000</v>
      </c>
    </row>
    <row r="6" spans="1:7" x14ac:dyDescent="0.2">
      <c r="A6" s="31" t="s">
        <v>126</v>
      </c>
      <c r="B6" s="49"/>
      <c r="C6" s="137">
        <v>4090</v>
      </c>
      <c r="D6" s="49">
        <v>4090</v>
      </c>
      <c r="E6" s="49">
        <v>4090</v>
      </c>
      <c r="F6" s="32">
        <f>'FRR Kč'!D6+'FRR Kč'!D7</f>
        <v>4089794.69</v>
      </c>
      <c r="G6" s="32">
        <f>'FRR Kč'!E6+'FRR Kč'!E7</f>
        <v>4089794.69</v>
      </c>
    </row>
    <row r="7" spans="1:7" x14ac:dyDescent="0.2">
      <c r="A7" s="31" t="s">
        <v>181</v>
      </c>
      <c r="B7" s="49"/>
      <c r="C7" s="138">
        <v>64251</v>
      </c>
      <c r="D7" s="49">
        <v>64251</v>
      </c>
      <c r="E7" s="49">
        <v>64251</v>
      </c>
      <c r="F7" s="32">
        <f>'FRR Kč'!D8</f>
        <v>64251139</v>
      </c>
      <c r="G7" s="32">
        <f>'FRR Kč'!E8</f>
        <v>64251139</v>
      </c>
    </row>
    <row r="8" spans="1:7" ht="25.5" x14ac:dyDescent="0.2">
      <c r="A8" s="28" t="s">
        <v>183</v>
      </c>
      <c r="B8" s="49"/>
      <c r="C8" s="138">
        <v>50000</v>
      </c>
      <c r="D8" s="49">
        <v>50000</v>
      </c>
      <c r="E8" s="49">
        <v>50000</v>
      </c>
      <c r="F8" s="32">
        <f>'FRR Kč'!D9</f>
        <v>50000000</v>
      </c>
      <c r="G8" s="32">
        <f>'FRR Kč'!E9</f>
        <v>50000000</v>
      </c>
    </row>
    <row r="9" spans="1:7" x14ac:dyDescent="0.2">
      <c r="A9" s="31" t="s">
        <v>186</v>
      </c>
      <c r="B9" s="49"/>
      <c r="C9" s="139">
        <v>88492</v>
      </c>
      <c r="D9" s="49">
        <v>88492</v>
      </c>
      <c r="E9" s="49">
        <v>88492</v>
      </c>
      <c r="F9" s="32">
        <f>'FRR Kč'!D10</f>
        <v>88491664.579999998</v>
      </c>
      <c r="G9" s="32">
        <f>'FRR Kč'!E10</f>
        <v>88491664.579999998</v>
      </c>
    </row>
    <row r="10" spans="1:7" ht="13.5" thickBot="1" x14ac:dyDescent="0.25">
      <c r="A10" s="31"/>
      <c r="B10" s="57"/>
      <c r="C10" s="49"/>
      <c r="D10" s="49"/>
      <c r="E10" s="49"/>
      <c r="F10" s="32"/>
      <c r="G10" s="32"/>
    </row>
    <row r="11" spans="1:7" ht="13.5" thickBot="1" x14ac:dyDescent="0.25">
      <c r="A11" s="127" t="s">
        <v>4</v>
      </c>
      <c r="B11" s="129">
        <f>SUM(B14:B14)</f>
        <v>0</v>
      </c>
      <c r="C11" s="129">
        <f>SUM(C12:C14)</f>
        <v>206833</v>
      </c>
      <c r="D11" s="129">
        <f>SUM(D12:D14)</f>
        <v>206833</v>
      </c>
      <c r="E11" s="129">
        <f>SUM(E12:E14)</f>
        <v>206833</v>
      </c>
      <c r="F11" s="32">
        <f>'FRR Kč'!D12</f>
        <v>206832598.26999998</v>
      </c>
      <c r="G11" s="32">
        <f>'FRR Kč'!E12</f>
        <v>206832598.26999998</v>
      </c>
    </row>
    <row r="12" spans="1:7" x14ac:dyDescent="0.2">
      <c r="A12" s="24" t="s">
        <v>189</v>
      </c>
      <c r="B12" s="140"/>
      <c r="C12" s="138">
        <v>119721</v>
      </c>
      <c r="D12" s="49">
        <v>119721</v>
      </c>
      <c r="E12" s="49">
        <v>119721</v>
      </c>
      <c r="F12" s="32">
        <f>'FRR Kč'!D13+'FRR Kč'!D14</f>
        <v>119720317.7</v>
      </c>
      <c r="G12" s="32">
        <f>'FRR Kč'!E13+'FRR Kč'!E14</f>
        <v>119720317.7</v>
      </c>
    </row>
    <row r="13" spans="1:7" x14ac:dyDescent="0.2">
      <c r="A13" s="31" t="s">
        <v>191</v>
      </c>
      <c r="B13" s="140"/>
      <c r="C13" s="48">
        <v>87112</v>
      </c>
      <c r="D13" s="49">
        <v>87112</v>
      </c>
      <c r="E13" s="49">
        <v>87112</v>
      </c>
      <c r="F13" s="32">
        <f>'FRR Kč'!D15</f>
        <v>87112280.569999993</v>
      </c>
      <c r="G13" s="32">
        <f>'FRR Kč'!E15</f>
        <v>87112280.569999993</v>
      </c>
    </row>
    <row r="14" spans="1:7" ht="13.5" thickBot="1" x14ac:dyDescent="0.25">
      <c r="A14" s="130"/>
      <c r="B14" s="49"/>
      <c r="C14" s="49"/>
      <c r="D14" s="49"/>
      <c r="E14" s="49"/>
      <c r="F14" s="32"/>
      <c r="G14" s="32"/>
    </row>
    <row r="15" spans="1:7" ht="13.5" thickBot="1" x14ac:dyDescent="0.25">
      <c r="A15" s="127" t="s">
        <v>5</v>
      </c>
      <c r="B15" s="129">
        <f>+B4-B11</f>
        <v>12995</v>
      </c>
      <c r="C15" s="129">
        <f>+C4-C11</f>
        <v>12995</v>
      </c>
      <c r="D15" s="129">
        <f>+D4-D11</f>
        <v>12995</v>
      </c>
      <c r="E15" s="129">
        <f>+E4-E11</f>
        <v>12995</v>
      </c>
      <c r="F15" s="32">
        <f>'FRR Kč'!D17</f>
        <v>12995000</v>
      </c>
      <c r="G15" s="32">
        <f>'FRR Kč'!E17</f>
        <v>12995000</v>
      </c>
    </row>
    <row r="16" spans="1:7" x14ac:dyDescent="0.2">
      <c r="A16" s="131"/>
      <c r="B16" s="132"/>
      <c r="C16" s="98"/>
      <c r="F16" s="32"/>
      <c r="G16" s="32"/>
    </row>
    <row r="17" spans="1:5" x14ac:dyDescent="0.2">
      <c r="A17" s="20" t="s">
        <v>46</v>
      </c>
    </row>
    <row r="18" spans="1:5" x14ac:dyDescent="0.2">
      <c r="A18" s="37"/>
    </row>
    <row r="19" spans="1:5" x14ac:dyDescent="0.2">
      <c r="A19" s="37"/>
    </row>
    <row r="23" spans="1:5" x14ac:dyDescent="0.2">
      <c r="A23" s="37"/>
    </row>
    <row r="24" spans="1:5" x14ac:dyDescent="0.2">
      <c r="A24" s="37"/>
    </row>
    <row r="26" spans="1:5" ht="13.5" thickBot="1" x14ac:dyDescent="0.25">
      <c r="A26" s="1"/>
      <c r="B26" s="21"/>
      <c r="C26" s="21"/>
      <c r="D26" s="21"/>
      <c r="E26" s="21" t="s">
        <v>0</v>
      </c>
    </row>
    <row r="27" spans="1:5" ht="13.5" thickBot="1" x14ac:dyDescent="0.25">
      <c r="A27" s="215" t="s">
        <v>125</v>
      </c>
      <c r="B27" s="123" t="s">
        <v>2</v>
      </c>
      <c r="C27" s="123" t="s">
        <v>6</v>
      </c>
      <c r="D27" s="217" t="s">
        <v>524</v>
      </c>
      <c r="E27" s="218"/>
    </row>
    <row r="28" spans="1:5" ht="13.5" thickBot="1" x14ac:dyDescent="0.25">
      <c r="A28" s="216"/>
      <c r="B28" s="125">
        <v>2014</v>
      </c>
      <c r="C28" s="125" t="s">
        <v>523</v>
      </c>
      <c r="D28" s="135" t="s">
        <v>10</v>
      </c>
      <c r="E28" s="5" t="s">
        <v>11</v>
      </c>
    </row>
    <row r="29" spans="1:5" ht="13.5" thickBot="1" x14ac:dyDescent="0.25">
      <c r="A29" s="23" t="s">
        <v>3</v>
      </c>
      <c r="B29" s="45">
        <f>SUM(B30:B33)</f>
        <v>119990</v>
      </c>
      <c r="C29" s="45">
        <f>SUM(C30:C33)</f>
        <v>119158</v>
      </c>
      <c r="D29" s="45">
        <f>SUM(D30:D33)</f>
        <v>119157.53328</v>
      </c>
      <c r="E29" s="45">
        <f>SUM(E30:E33)</f>
        <v>119157.53328</v>
      </c>
    </row>
    <row r="30" spans="1:5" x14ac:dyDescent="0.2">
      <c r="A30" s="24" t="s">
        <v>8</v>
      </c>
      <c r="B30" s="46">
        <f>'FKŠ Kč'!B5/1000</f>
        <v>109990</v>
      </c>
      <c r="C30" s="46">
        <f>'FKŠ Kč'!C5/1000</f>
        <v>109158</v>
      </c>
      <c r="D30" s="47">
        <f>'FKŠ Kč'!D5/1000-1</f>
        <v>109157.53328</v>
      </c>
      <c r="E30" s="46">
        <f>'FKŠ Kč'!E5/1000-1</f>
        <v>109157.53328</v>
      </c>
    </row>
    <row r="31" spans="1:5" x14ac:dyDescent="0.2">
      <c r="A31" s="24" t="s">
        <v>48</v>
      </c>
      <c r="B31" s="46">
        <f>'FKŠ Kč'!B6/1000</f>
        <v>10000</v>
      </c>
      <c r="C31" s="46">
        <f>'FKŠ Kč'!C6/1000</f>
        <v>10000</v>
      </c>
      <c r="D31" s="46">
        <f>'FKŠ Kč'!D6/1000</f>
        <v>10000</v>
      </c>
      <c r="E31" s="46">
        <f>'FKŠ Kč'!E6/1000</f>
        <v>10000</v>
      </c>
    </row>
    <row r="32" spans="1:5" x14ac:dyDescent="0.2">
      <c r="A32" s="24"/>
      <c r="B32" s="46"/>
      <c r="C32" s="46"/>
      <c r="D32" s="46"/>
      <c r="E32" s="46"/>
    </row>
    <row r="33" spans="1:5" ht="13.5" thickBot="1" x14ac:dyDescent="0.25">
      <c r="A33" s="24"/>
      <c r="B33" s="46"/>
      <c r="C33" s="46"/>
      <c r="D33" s="46"/>
      <c r="E33" s="46"/>
    </row>
    <row r="34" spans="1:5" ht="13.5" thickBot="1" x14ac:dyDescent="0.25">
      <c r="A34" s="23" t="s">
        <v>4</v>
      </c>
      <c r="B34" s="45"/>
      <c r="C34" s="45">
        <f>SUM(C35:C39)</f>
        <v>626</v>
      </c>
      <c r="D34" s="45">
        <f>SUM(D35:D39)</f>
        <v>625.66499999999996</v>
      </c>
      <c r="E34" s="45">
        <f>SUM(E35:E39)</f>
        <v>625.66499999999996</v>
      </c>
    </row>
    <row r="35" spans="1:5" ht="25.5" x14ac:dyDescent="0.2">
      <c r="A35" s="203" t="str">
        <f>'FKŠ Kč'!A10</f>
        <v>Škodní událost - vytopení sklepních prostor Dětského rehabilitačního centra, Kyjevská 5, po přívalovém dešti</v>
      </c>
      <c r="B35" s="133">
        <f>'FKŠ Kč'!B10/1000</f>
        <v>0</v>
      </c>
      <c r="C35" s="46">
        <f>'FKŠ Kč'!C10/1000</f>
        <v>234</v>
      </c>
      <c r="D35" s="133">
        <f>'FKŠ Kč'!D10/1000</f>
        <v>233.852</v>
      </c>
      <c r="E35" s="133">
        <f>'FKŠ Kč'!E10/1000</f>
        <v>233.852</v>
      </c>
    </row>
    <row r="36" spans="1:5" ht="25.5" x14ac:dyDescent="0.2">
      <c r="A36" s="31" t="str">
        <f>'FKŠ Kč'!A11</f>
        <v>Škodní událost - vytopení objektu správní budovy Městského fotbalového stadionu v Srbské ulici</v>
      </c>
      <c r="B36" s="48">
        <f>'FKŠ Kč'!B11/1000</f>
        <v>0</v>
      </c>
      <c r="C36" s="48">
        <f>'FKŠ Kč'!C11/1000</f>
        <v>392</v>
      </c>
      <c r="D36" s="48">
        <f>'FKŠ Kč'!D11/1000</f>
        <v>391.81299999999999</v>
      </c>
      <c r="E36" s="48">
        <f>'FKŠ Kč'!E11/1000</f>
        <v>391.81299999999999</v>
      </c>
    </row>
    <row r="37" spans="1:5" x14ac:dyDescent="0.2">
      <c r="A37" s="204">
        <f>'FKŠ Kč'!A12</f>
        <v>0</v>
      </c>
      <c r="B37" s="48">
        <f>'FKŠ Kč'!B12/1000</f>
        <v>0</v>
      </c>
      <c r="C37" s="46">
        <f>'FKŠ Kč'!C12/1000</f>
        <v>0</v>
      </c>
      <c r="D37" s="48">
        <f>'FKŠ Kč'!D12/1000</f>
        <v>0</v>
      </c>
      <c r="E37" s="48">
        <f>'FKŠ Kč'!E12/1000</f>
        <v>0</v>
      </c>
    </row>
    <row r="38" spans="1:5" x14ac:dyDescent="0.2">
      <c r="A38" s="204">
        <f>'FKŠ Kč'!A13</f>
        <v>0</v>
      </c>
      <c r="B38" s="46">
        <f>'FKŠ Kč'!B13/1000</f>
        <v>0</v>
      </c>
      <c r="C38" s="46">
        <f>'FKŠ Kč'!C13/1000</f>
        <v>0</v>
      </c>
      <c r="D38" s="48">
        <f>'FKŠ Kč'!D13/1000</f>
        <v>0</v>
      </c>
      <c r="E38" s="48">
        <f>'FKŠ Kč'!E13/1000</f>
        <v>0</v>
      </c>
    </row>
    <row r="39" spans="1:5" ht="13.5" thickBot="1" x14ac:dyDescent="0.25">
      <c r="A39" s="204">
        <f>'FKŠ Kč'!A14</f>
        <v>0</v>
      </c>
      <c r="B39" s="46">
        <f>'FKŠ Kč'!B14/1000</f>
        <v>0</v>
      </c>
      <c r="C39" s="46">
        <f>'FKŠ Kč'!C14/1000</f>
        <v>0</v>
      </c>
      <c r="D39" s="46">
        <f>'FKŠ Kč'!D14/1000</f>
        <v>0</v>
      </c>
      <c r="E39" s="46">
        <f>'FKŠ Kč'!E14/1000</f>
        <v>0</v>
      </c>
    </row>
    <row r="40" spans="1:5" ht="13.5" thickBot="1" x14ac:dyDescent="0.25">
      <c r="A40" s="23" t="s">
        <v>5</v>
      </c>
      <c r="B40" s="50">
        <f>+B29-B34</f>
        <v>119990</v>
      </c>
      <c r="C40" s="50">
        <f>+C29-C34</f>
        <v>118532</v>
      </c>
      <c r="D40" s="50">
        <f>+D29-D34</f>
        <v>118531.86828000001</v>
      </c>
      <c r="E40" s="50">
        <f>+E29-E34</f>
        <v>118531.86828000001</v>
      </c>
    </row>
    <row r="42" spans="1:5" x14ac:dyDescent="0.2">
      <c r="A42" s="20"/>
    </row>
    <row r="43" spans="1:5" x14ac:dyDescent="0.2">
      <c r="A43" s="20"/>
    </row>
  </sheetData>
  <mergeCells count="4">
    <mergeCell ref="D2:E2"/>
    <mergeCell ref="D27:E27"/>
    <mergeCell ref="A27:A28"/>
    <mergeCell ref="A2:A3"/>
  </mergeCells>
  <phoneticPr fontId="0" type="noConversion"/>
  <printOptions horizontalCentered="1"/>
  <pageMargins left="0.47244094488188981" right="0.35433070866141736" top="1.0629921259842521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E23"/>
  <sheetViews>
    <sheetView workbookViewId="0">
      <selection activeCell="C27" sqref="C27:E28"/>
    </sheetView>
  </sheetViews>
  <sheetFormatPr defaultRowHeight="12.75" x14ac:dyDescent="0.2"/>
  <cols>
    <col min="1" max="1" width="62.28515625" style="1" bestFit="1" customWidth="1"/>
    <col min="2" max="2" width="16" style="1" bestFit="1" customWidth="1"/>
    <col min="3" max="3" width="15.28515625" style="1" bestFit="1" customWidth="1"/>
    <col min="4" max="5" width="13.42578125" style="1" bestFit="1" customWidth="1"/>
    <col min="6" max="16384" width="9.140625" style="1"/>
  </cols>
  <sheetData>
    <row r="1" spans="1:5" ht="13.5" thickBot="1" x14ac:dyDescent="0.25">
      <c r="B1" s="21"/>
      <c r="C1" s="21"/>
      <c r="D1" s="21"/>
      <c r="E1" s="21" t="s">
        <v>9</v>
      </c>
    </row>
    <row r="2" spans="1:5" ht="13.5" thickBot="1" x14ac:dyDescent="0.25">
      <c r="A2" s="215" t="s">
        <v>125</v>
      </c>
      <c r="B2" s="123" t="s">
        <v>2</v>
      </c>
      <c r="C2" s="123" t="s">
        <v>6</v>
      </c>
      <c r="D2" s="217" t="s">
        <v>524</v>
      </c>
      <c r="E2" s="218"/>
    </row>
    <row r="3" spans="1:5" ht="13.5" thickBot="1" x14ac:dyDescent="0.25">
      <c r="A3" s="216"/>
      <c r="B3" s="125">
        <v>2014</v>
      </c>
      <c r="C3" s="125" t="s">
        <v>523</v>
      </c>
      <c r="D3" s="135" t="s">
        <v>10</v>
      </c>
      <c r="E3" s="5" t="s">
        <v>11</v>
      </c>
    </row>
    <row r="4" spans="1:5" ht="13.5" thickBot="1" x14ac:dyDescent="0.25">
      <c r="A4" s="23" t="s">
        <v>3</v>
      </c>
      <c r="B4" s="59">
        <f>SUM(B5:B8)</f>
        <v>119990000</v>
      </c>
      <c r="C4" s="59">
        <f>SUM(C5:C8)</f>
        <v>119158000</v>
      </c>
      <c r="D4" s="150">
        <f>SUM(D5:D8)</f>
        <v>119158533.28</v>
      </c>
      <c r="E4" s="150">
        <f>SUM(E5:E8)</f>
        <v>119158533.28</v>
      </c>
    </row>
    <row r="5" spans="1:5" x14ac:dyDescent="0.2">
      <c r="A5" s="24" t="s">
        <v>8</v>
      </c>
      <c r="B5" s="147">
        <v>109990000</v>
      </c>
      <c r="C5" s="147">
        <v>109158000</v>
      </c>
      <c r="D5" s="56">
        <v>109158533.28</v>
      </c>
      <c r="E5" s="56">
        <v>109158533.28</v>
      </c>
    </row>
    <row r="6" spans="1:5" x14ac:dyDescent="0.2">
      <c r="A6" s="24" t="s">
        <v>48</v>
      </c>
      <c r="B6" s="147">
        <v>10000000</v>
      </c>
      <c r="C6" s="147">
        <v>10000000</v>
      </c>
      <c r="D6" s="147">
        <v>10000000</v>
      </c>
      <c r="E6" s="147">
        <v>10000000</v>
      </c>
    </row>
    <row r="7" spans="1:5" x14ac:dyDescent="0.2">
      <c r="A7" s="24"/>
      <c r="B7" s="46"/>
      <c r="C7" s="46"/>
      <c r="D7" s="46"/>
      <c r="E7" s="46"/>
    </row>
    <row r="8" spans="1:5" ht="13.5" thickBot="1" x14ac:dyDescent="0.25">
      <c r="A8" s="24"/>
      <c r="B8" s="46"/>
      <c r="C8" s="46"/>
      <c r="D8" s="46"/>
      <c r="E8" s="46"/>
    </row>
    <row r="9" spans="1:5" ht="13.5" thickBot="1" x14ac:dyDescent="0.25">
      <c r="A9" s="23" t="s">
        <v>4</v>
      </c>
      <c r="B9" s="50"/>
      <c r="C9" s="150">
        <f>SUM(C10:C13)</f>
        <v>626000</v>
      </c>
      <c r="D9" s="150">
        <f>SUM(D10:D13)</f>
        <v>625665</v>
      </c>
      <c r="E9" s="150">
        <f>SUM(E10:E13)</f>
        <v>625665</v>
      </c>
    </row>
    <row r="10" spans="1:5" ht="25.5" x14ac:dyDescent="0.2">
      <c r="A10" s="203" t="s">
        <v>519</v>
      </c>
      <c r="B10" s="133"/>
      <c r="C10" s="133">
        <v>234000</v>
      </c>
      <c r="D10" s="151">
        <v>233852</v>
      </c>
      <c r="E10" s="151">
        <v>233852</v>
      </c>
    </row>
    <row r="11" spans="1:5" ht="25.5" x14ac:dyDescent="0.2">
      <c r="A11" s="206" t="s">
        <v>520</v>
      </c>
      <c r="B11" s="48"/>
      <c r="C11" s="48">
        <v>392000</v>
      </c>
      <c r="D11" s="57">
        <v>391813</v>
      </c>
      <c r="E11" s="57">
        <v>391813</v>
      </c>
    </row>
    <row r="12" spans="1:5" x14ac:dyDescent="0.2">
      <c r="A12" s="31"/>
      <c r="B12" s="46"/>
      <c r="C12" s="46"/>
      <c r="D12" s="57"/>
      <c r="E12" s="57"/>
    </row>
    <row r="13" spans="1:5" x14ac:dyDescent="0.2">
      <c r="A13" s="31"/>
      <c r="B13" s="46"/>
      <c r="C13" s="46"/>
      <c r="D13" s="57"/>
      <c r="E13" s="57"/>
    </row>
    <row r="14" spans="1:5" x14ac:dyDescent="0.2">
      <c r="A14" s="24"/>
      <c r="B14" s="46"/>
      <c r="C14" s="46"/>
      <c r="D14" s="57"/>
      <c r="E14" s="46"/>
    </row>
    <row r="15" spans="1:5" ht="13.5" thickBot="1" x14ac:dyDescent="0.25">
      <c r="A15" s="24"/>
      <c r="B15" s="46"/>
      <c r="C15" s="46"/>
      <c r="D15" s="46"/>
      <c r="E15" s="46"/>
    </row>
    <row r="16" spans="1:5" ht="13.5" thickBot="1" x14ac:dyDescent="0.25">
      <c r="A16" s="23" t="s">
        <v>5</v>
      </c>
      <c r="B16" s="58">
        <f>+B4-B9</f>
        <v>119990000</v>
      </c>
      <c r="C16" s="58">
        <f>+C4-C9</f>
        <v>118532000</v>
      </c>
      <c r="D16" s="14">
        <f>+D4-D9</f>
        <v>118532868.28</v>
      </c>
      <c r="E16" s="14">
        <f>+E4-E9</f>
        <v>118532868.28</v>
      </c>
    </row>
    <row r="17" spans="1:4" x14ac:dyDescent="0.2">
      <c r="A17" s="152"/>
    </row>
    <row r="18" spans="1:4" x14ac:dyDescent="0.2">
      <c r="A18" s="153"/>
      <c r="B18" s="20"/>
      <c r="C18" s="20"/>
      <c r="D18" s="20"/>
    </row>
    <row r="19" spans="1:4" x14ac:dyDescent="0.2">
      <c r="A19" s="20"/>
      <c r="B19" s="20"/>
      <c r="C19" s="20"/>
      <c r="D19" s="20"/>
    </row>
    <row r="20" spans="1:4" x14ac:dyDescent="0.2">
      <c r="A20" s="20"/>
      <c r="B20" s="20"/>
      <c r="C20" s="20"/>
      <c r="D20" s="20"/>
    </row>
    <row r="21" spans="1:4" x14ac:dyDescent="0.2">
      <c r="A21" s="20"/>
      <c r="B21" s="20"/>
      <c r="C21" s="20"/>
      <c r="D21" s="20"/>
    </row>
    <row r="22" spans="1:4" x14ac:dyDescent="0.2">
      <c r="A22" s="20"/>
      <c r="B22" s="20"/>
      <c r="C22" s="20"/>
      <c r="D22" s="20"/>
    </row>
    <row r="23" spans="1:4" x14ac:dyDescent="0.2">
      <c r="A23" s="20"/>
      <c r="B23" s="20"/>
      <c r="C23" s="20"/>
      <c r="D23" s="20"/>
    </row>
  </sheetData>
  <mergeCells count="2">
    <mergeCell ref="D2:E2"/>
    <mergeCell ref="A2:A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horizontalDpi="12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J31"/>
  <sheetViews>
    <sheetView workbookViewId="0">
      <selection activeCell="C27" sqref="C27:E28"/>
    </sheetView>
  </sheetViews>
  <sheetFormatPr defaultRowHeight="12.75" x14ac:dyDescent="0.2"/>
  <cols>
    <col min="1" max="1" width="47.5703125" style="1" customWidth="1"/>
    <col min="2" max="2" width="17.7109375" style="1" customWidth="1"/>
    <col min="3" max="3" width="17.5703125" style="1" customWidth="1"/>
    <col min="4" max="4" width="17.140625" style="1" customWidth="1"/>
    <col min="5" max="5" width="16" style="1" customWidth="1"/>
    <col min="6" max="6" width="14.7109375" style="1" customWidth="1"/>
    <col min="7" max="7" width="13.85546875" style="1" customWidth="1"/>
    <col min="8" max="10" width="17.140625" style="1" customWidth="1"/>
    <col min="11" max="11" width="5.28515625" style="1" customWidth="1"/>
    <col min="12" max="16384" width="9.140625" style="1"/>
  </cols>
  <sheetData>
    <row r="1" spans="1:10" ht="13.5" thickBot="1" x14ac:dyDescent="0.25">
      <c r="B1" s="21"/>
      <c r="C1" s="21"/>
      <c r="D1" s="21"/>
      <c r="E1" s="21" t="s">
        <v>9</v>
      </c>
    </row>
    <row r="2" spans="1:10" ht="13.5" thickBot="1" x14ac:dyDescent="0.25">
      <c r="A2" s="219" t="s">
        <v>1</v>
      </c>
      <c r="B2" s="123" t="s">
        <v>2</v>
      </c>
      <c r="C2" s="123" t="s">
        <v>6</v>
      </c>
      <c r="D2" s="217" t="s">
        <v>524</v>
      </c>
      <c r="E2" s="218"/>
    </row>
    <row r="3" spans="1:10" ht="13.5" thickBot="1" x14ac:dyDescent="0.25">
      <c r="A3" s="220"/>
      <c r="B3" s="125">
        <v>2014</v>
      </c>
      <c r="C3" s="125" t="s">
        <v>523</v>
      </c>
      <c r="D3" s="135" t="s">
        <v>10</v>
      </c>
      <c r="E3" s="5" t="s">
        <v>11</v>
      </c>
      <c r="G3" s="64" t="s">
        <v>110</v>
      </c>
      <c r="H3" s="64" t="s">
        <v>217</v>
      </c>
      <c r="I3" s="64" t="s">
        <v>221</v>
      </c>
      <c r="J3" s="64" t="s">
        <v>218</v>
      </c>
    </row>
    <row r="4" spans="1:10" ht="13.5" thickBot="1" x14ac:dyDescent="0.25">
      <c r="A4" s="23" t="s">
        <v>219</v>
      </c>
      <c r="B4" s="45">
        <f>SUM(B5:B10)</f>
        <v>12995</v>
      </c>
      <c r="C4" s="45">
        <f>SUM(C5:C10)</f>
        <v>219828</v>
      </c>
      <c r="D4" s="59">
        <f>SUM(D5:D10)</f>
        <v>219827598.26999998</v>
      </c>
      <c r="E4" s="59">
        <f>SUM(E5:E10)</f>
        <v>219827598.26999998</v>
      </c>
      <c r="F4" s="65">
        <f>SUM(F5:F10)</f>
        <v>219827598.26999998</v>
      </c>
      <c r="G4" s="66"/>
      <c r="H4" s="66"/>
      <c r="I4" s="66"/>
      <c r="J4" s="66"/>
    </row>
    <row r="5" spans="1:10" x14ac:dyDescent="0.2">
      <c r="A5" s="24" t="s">
        <v>7</v>
      </c>
      <c r="B5" s="46">
        <v>12995</v>
      </c>
      <c r="C5" s="46">
        <v>12995</v>
      </c>
      <c r="D5" s="147">
        <f>F5</f>
        <v>12995000</v>
      </c>
      <c r="E5" s="147">
        <f>F5</f>
        <v>12995000</v>
      </c>
      <c r="F5" s="2">
        <v>12995000</v>
      </c>
      <c r="G5" s="60"/>
      <c r="H5" s="60"/>
      <c r="I5" s="60"/>
      <c r="J5" s="60"/>
    </row>
    <row r="6" spans="1:10" x14ac:dyDescent="0.2">
      <c r="A6" s="24" t="s">
        <v>126</v>
      </c>
      <c r="B6" s="48"/>
      <c r="C6" s="49">
        <f>4090-C7</f>
        <v>418</v>
      </c>
      <c r="D6" s="101">
        <f>313110.24+104706.72</f>
        <v>417816.95999999996</v>
      </c>
      <c r="E6" s="101">
        <f>313110.24+104706.72</f>
        <v>417816.95999999996</v>
      </c>
      <c r="F6" s="32">
        <f>SUM(G6:J6)</f>
        <v>417816.95999999996</v>
      </c>
      <c r="G6" s="109">
        <v>313110.24</v>
      </c>
      <c r="H6" s="171">
        <v>104706.72</v>
      </c>
      <c r="I6" s="62"/>
      <c r="J6" s="62"/>
    </row>
    <row r="7" spans="1:10" x14ac:dyDescent="0.2">
      <c r="A7" s="24" t="s">
        <v>216</v>
      </c>
      <c r="B7" s="48"/>
      <c r="C7" s="48">
        <v>3672</v>
      </c>
      <c r="D7" s="70">
        <f>1071770.83+2600206.9</f>
        <v>3671977.73</v>
      </c>
      <c r="E7" s="70">
        <f>1071770.83+2600206.9</f>
        <v>3671977.73</v>
      </c>
      <c r="F7" s="32">
        <f>SUM(G7:J7)</f>
        <v>3671977.73</v>
      </c>
      <c r="G7" s="60"/>
      <c r="H7" s="71">
        <v>1071770.83</v>
      </c>
      <c r="I7" s="71">
        <v>2600206.9</v>
      </c>
      <c r="J7" s="62"/>
    </row>
    <row r="8" spans="1:10" x14ac:dyDescent="0.2">
      <c r="A8" s="24" t="s">
        <v>181</v>
      </c>
      <c r="B8" s="48"/>
      <c r="C8" s="49">
        <v>64251</v>
      </c>
      <c r="D8" s="174">
        <v>64251139</v>
      </c>
      <c r="E8" s="174">
        <v>64251139</v>
      </c>
      <c r="F8" s="32">
        <f t="shared" ref="F8:F10" si="0">SUM(G8:J8)</f>
        <v>64251139</v>
      </c>
      <c r="G8" s="61"/>
      <c r="H8" s="175">
        <v>64251139</v>
      </c>
      <c r="I8" s="63"/>
      <c r="J8" s="63"/>
    </row>
    <row r="9" spans="1:10" ht="25.5" x14ac:dyDescent="0.2">
      <c r="A9" s="28" t="s">
        <v>183</v>
      </c>
      <c r="B9" s="48"/>
      <c r="C9" s="49">
        <v>50000</v>
      </c>
      <c r="D9" s="167">
        <v>50000000</v>
      </c>
      <c r="E9" s="167">
        <v>50000000</v>
      </c>
      <c r="F9" s="32">
        <f t="shared" si="0"/>
        <v>50000000</v>
      </c>
      <c r="G9" s="61"/>
      <c r="H9" s="168">
        <v>50000000</v>
      </c>
      <c r="I9" s="63"/>
      <c r="J9" s="63"/>
    </row>
    <row r="10" spans="1:10" x14ac:dyDescent="0.2">
      <c r="A10" s="24" t="s">
        <v>186</v>
      </c>
      <c r="B10" s="48"/>
      <c r="C10" s="49">
        <v>88492</v>
      </c>
      <c r="D10" s="167">
        <v>88491664.579999998</v>
      </c>
      <c r="E10" s="167">
        <v>88491664.579999998</v>
      </c>
      <c r="F10" s="32">
        <f t="shared" si="0"/>
        <v>88491664.579999998</v>
      </c>
      <c r="G10" s="60"/>
      <c r="H10" s="168">
        <v>88491664.579999998</v>
      </c>
      <c r="I10" s="63"/>
      <c r="J10" s="63"/>
    </row>
    <row r="11" spans="1:10" ht="13.5" thickBot="1" x14ac:dyDescent="0.25">
      <c r="A11" s="24"/>
      <c r="B11" s="48"/>
      <c r="C11" s="48"/>
      <c r="D11" s="8"/>
      <c r="E11" s="8"/>
      <c r="F11" s="32"/>
      <c r="G11" s="60"/>
      <c r="H11" s="62"/>
      <c r="I11" s="62"/>
      <c r="J11" s="62"/>
    </row>
    <row r="12" spans="1:10" ht="13.5" thickBot="1" x14ac:dyDescent="0.25">
      <c r="A12" s="23" t="s">
        <v>220</v>
      </c>
      <c r="B12" s="50">
        <f>SUM(B13:B16)</f>
        <v>0</v>
      </c>
      <c r="C12" s="50">
        <f>SUM(C13:C16)</f>
        <v>206833</v>
      </c>
      <c r="D12" s="14">
        <f>SUM(D13:D16)</f>
        <v>206832598.26999998</v>
      </c>
      <c r="E12" s="14">
        <f>SUM(E13:E16)</f>
        <v>206832598.26999998</v>
      </c>
      <c r="F12" s="65">
        <f>SUM(F13:F16)</f>
        <v>206832598.26999998</v>
      </c>
      <c r="G12" s="66"/>
      <c r="H12" s="146"/>
      <c r="I12" s="146"/>
      <c r="J12" s="146"/>
    </row>
    <row r="13" spans="1:10" x14ac:dyDescent="0.2">
      <c r="A13" s="24" t="s">
        <v>189</v>
      </c>
      <c r="B13" s="48"/>
      <c r="C13" s="48">
        <f>119721-C14</f>
        <v>1848</v>
      </c>
      <c r="D13" s="164">
        <v>1847678.67</v>
      </c>
      <c r="E13" s="164">
        <v>1847678.67</v>
      </c>
      <c r="F13" s="32">
        <f>SUM(G13:J13)</f>
        <v>1847678.67</v>
      </c>
      <c r="G13" s="62"/>
      <c r="H13" s="119">
        <f>1847678.67</f>
        <v>1847678.67</v>
      </c>
      <c r="I13" s="62"/>
      <c r="J13" s="62"/>
    </row>
    <row r="14" spans="1:10" x14ac:dyDescent="0.2">
      <c r="A14" s="24" t="s">
        <v>215</v>
      </c>
      <c r="B14" s="138"/>
      <c r="C14" s="138">
        <v>117873</v>
      </c>
      <c r="D14" s="205">
        <f>208233.46+112291922+5372483.57</f>
        <v>117872639.03</v>
      </c>
      <c r="E14" s="205">
        <f>208233.46+112291922+5372483.57</f>
        <v>117872639.03</v>
      </c>
      <c r="F14" s="32">
        <f>SUM(G14:J14)</f>
        <v>117872639.03</v>
      </c>
      <c r="G14" s="62"/>
      <c r="H14" s="115">
        <v>208233.46</v>
      </c>
      <c r="I14" s="141">
        <v>112291922</v>
      </c>
      <c r="J14" s="141">
        <v>5372483.5700000003</v>
      </c>
    </row>
    <row r="15" spans="1:10" x14ac:dyDescent="0.2">
      <c r="A15" s="31" t="s">
        <v>191</v>
      </c>
      <c r="B15" s="48"/>
      <c r="C15" s="48">
        <v>87112</v>
      </c>
      <c r="D15" s="160">
        <f>2638539.47+555787.91+83917953.19</f>
        <v>87112280.569999993</v>
      </c>
      <c r="E15" s="160">
        <f>2638539.47+555787.91+83917953.19</f>
        <v>87112280.569999993</v>
      </c>
      <c r="F15" s="32">
        <f>SUM(G15:J15)</f>
        <v>87112280.569999993</v>
      </c>
      <c r="G15" s="62"/>
      <c r="H15" s="161">
        <f>83917953.19+2638539.47+555787.91</f>
        <v>87112280.569999993</v>
      </c>
      <c r="I15" s="62"/>
      <c r="J15" s="62"/>
    </row>
    <row r="16" spans="1:10" ht="13.5" thickBot="1" x14ac:dyDescent="0.25">
      <c r="A16" s="24"/>
      <c r="B16" s="48"/>
      <c r="C16" s="48"/>
      <c r="D16" s="8"/>
      <c r="E16" s="8"/>
      <c r="F16" s="32"/>
      <c r="G16" s="62"/>
      <c r="H16" s="62"/>
      <c r="I16" s="62"/>
      <c r="J16" s="62"/>
    </row>
    <row r="17" spans="1:10" ht="13.5" thickBot="1" x14ac:dyDescent="0.25">
      <c r="A17" s="23" t="s">
        <v>5</v>
      </c>
      <c r="B17" s="50">
        <f>+B4-B12</f>
        <v>12995</v>
      </c>
      <c r="C17" s="50">
        <f>+C4-C12</f>
        <v>12995</v>
      </c>
      <c r="D17" s="58">
        <f>+D4-D12</f>
        <v>12995000</v>
      </c>
      <c r="E17" s="58">
        <f>+E4-E12</f>
        <v>12995000</v>
      </c>
      <c r="F17" s="65">
        <f>F4-F12</f>
        <v>12995000</v>
      </c>
      <c r="G17" s="66"/>
      <c r="H17" s="66"/>
      <c r="I17" s="66"/>
      <c r="J17" s="66"/>
    </row>
    <row r="18" spans="1:10" x14ac:dyDescent="0.2">
      <c r="A18" s="33"/>
      <c r="B18" s="34"/>
      <c r="C18" s="35"/>
      <c r="D18" s="148"/>
    </row>
    <row r="19" spans="1:10" x14ac:dyDescent="0.2">
      <c r="A19" s="20"/>
      <c r="B19" s="35"/>
      <c r="C19" s="35"/>
      <c r="D19" s="148"/>
      <c r="E19" s="2"/>
    </row>
    <row r="20" spans="1:10" x14ac:dyDescent="0.2">
      <c r="A20" s="20" t="s">
        <v>46</v>
      </c>
      <c r="C20" s="2"/>
      <c r="D20" s="2"/>
      <c r="E20" s="2"/>
    </row>
    <row r="21" spans="1:10" x14ac:dyDescent="0.2">
      <c r="A21" s="149"/>
      <c r="E21" s="2"/>
    </row>
    <row r="22" spans="1:10" x14ac:dyDescent="0.2">
      <c r="A22" s="149"/>
      <c r="C22" s="2"/>
      <c r="D22" s="2"/>
      <c r="E22" s="2"/>
    </row>
    <row r="23" spans="1:10" x14ac:dyDescent="0.2">
      <c r="A23" s="149"/>
      <c r="E23" s="2"/>
    </row>
    <row r="24" spans="1:10" x14ac:dyDescent="0.2">
      <c r="C24" s="2"/>
      <c r="D24" s="2"/>
      <c r="E24" s="2"/>
    </row>
    <row r="25" spans="1:10" x14ac:dyDescent="0.2">
      <c r="E25" s="2"/>
    </row>
    <row r="26" spans="1:10" x14ac:dyDescent="0.2">
      <c r="E26" s="2"/>
    </row>
    <row r="27" spans="1:10" x14ac:dyDescent="0.2">
      <c r="E27" s="2"/>
    </row>
    <row r="28" spans="1:10" x14ac:dyDescent="0.2">
      <c r="E28" s="2"/>
    </row>
    <row r="29" spans="1:10" x14ac:dyDescent="0.2">
      <c r="E29" s="2"/>
    </row>
    <row r="30" spans="1:10" x14ac:dyDescent="0.2">
      <c r="E30" s="2"/>
    </row>
    <row r="31" spans="1:10" x14ac:dyDescent="0.2">
      <c r="E31" s="2"/>
    </row>
  </sheetData>
  <mergeCells count="2">
    <mergeCell ref="D2:E2"/>
    <mergeCell ref="A2:A3"/>
  </mergeCells>
  <phoneticPr fontId="0" type="noConversion"/>
  <pageMargins left="0.64" right="0.5" top="0.96" bottom="0.984251969" header="0.4921259845" footer="0.4921259845"/>
  <pageSetup paperSize="9" scale="67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16</Rok>
    <_dlc_DocId xmlns="fc3156d0-6477-4e59-85db-677a3ac3ddef">K6F56YJ4D42X-540-498</_dlc_DocId>
    <_dlc_DocIdUrl xmlns="fc3156d0-6477-4e59-85db-677a3ac3ddef">
      <Url>http://project.brno.cz/ORF/RI/_layouts/DocIdRedir.aspx?ID=K6F56YJ4D42X-540-498</Url>
      <Description>K6F56YJ4D42X-540-498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CC531-C473-4B9F-8594-2FA5BD65B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6E72B-4536-4369-9DA4-D301ACFE83E9}">
  <ds:schemaRefs>
    <ds:schemaRef ds:uri="http://schemas.microsoft.com/office/2006/metadata/properties"/>
    <ds:schemaRef ds:uri="http://schemas.microsoft.com/office/infopath/2007/PartnerControls"/>
    <ds:schemaRef ds:uri="626c80ca-c64a-4e2b-8fdc-4ca129da90da"/>
    <ds:schemaRef ds:uri="fc3156d0-6477-4e59-85db-677a3ac3ddef"/>
  </ds:schemaRefs>
</ds:datastoreItem>
</file>

<file path=customXml/itemProps3.xml><?xml version="1.0" encoding="utf-8"?>
<ds:datastoreItem xmlns:ds="http://schemas.openxmlformats.org/officeDocument/2006/customXml" ds:itemID="{8A929454-4A7F-48CA-B617-F706017907D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3D06D38-970B-4FD3-A44F-89890FA527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11</vt:i4>
      </vt:variant>
    </vt:vector>
  </HeadingPairs>
  <TitlesOfParts>
    <vt:vector size="24" baseType="lpstr">
      <vt:lpstr>FRR, FKŠ</vt:lpstr>
      <vt:lpstr>FRB</vt:lpstr>
      <vt:lpstr>FBV</vt:lpstr>
      <vt:lpstr>FKEP</vt:lpstr>
      <vt:lpstr>SF</vt:lpstr>
      <vt:lpstr>VS MP</vt:lpstr>
      <vt:lpstr>Souhrn</vt:lpstr>
      <vt:lpstr>FKŠ Kč</vt:lpstr>
      <vt:lpstr>FRR Kč</vt:lpstr>
      <vt:lpstr>FV2013</vt:lpstr>
      <vt:lpstr>236</vt:lpstr>
      <vt:lpstr>231</vt:lpstr>
      <vt:lpstr>419</vt:lpstr>
      <vt:lpstr>FKEP!Názvy_tisku</vt:lpstr>
      <vt:lpstr>FBV!Oblast_tisku</vt:lpstr>
      <vt:lpstr>FKEP!Oblast_tisku</vt:lpstr>
      <vt:lpstr>'FKŠ Kč'!Oblast_tisku</vt:lpstr>
      <vt:lpstr>FRB!Oblast_tisku</vt:lpstr>
      <vt:lpstr>'FRR Kč'!Oblast_tisku</vt:lpstr>
      <vt:lpstr>'FRR, FKŠ'!Oblast_tisku</vt:lpstr>
      <vt:lpstr>'FV2013'!Oblast_tisku</vt:lpstr>
      <vt:lpstr>SF!Oblast_tisku</vt:lpstr>
      <vt:lpstr>Souhrn!Oblast_tisku</vt:lpstr>
      <vt:lpstr>'VS MP'!Oblast_tisku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</dc:creator>
  <cp:lastModifiedBy>Jiri Trnecka</cp:lastModifiedBy>
  <cp:lastPrinted>2015-05-25T08:48:49Z</cp:lastPrinted>
  <dcterms:created xsi:type="dcterms:W3CDTF">2002-05-09T07:59:10Z</dcterms:created>
  <dcterms:modified xsi:type="dcterms:W3CDTF">2015-05-25T08:51:36Z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242c6b97-05a6-4c6d-b69f-d0e82449cf1c</vt:lpwstr>
  </property>
</Properties>
</file>