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ávěrečný účet 2014\INTERNET\"/>
    </mc:Choice>
  </mc:AlternateContent>
  <bookViews>
    <workbookView xWindow="360" yWindow="75" windowWidth="20955" windowHeight="8955" tabRatio="812" firstSheet="2" activeTab="2"/>
  </bookViews>
  <sheets>
    <sheet name=" MMB 12" sheetId="25" state="hidden" r:id="rId1"/>
    <sheet name="MB 12" sheetId="20" state="hidden" r:id="rId2"/>
    <sheet name="RMB12" sheetId="21" r:id="rId3"/>
  </sheets>
  <definedNames>
    <definedName name="_xlnm.Print_Titles" localSheetId="2">'RMB12'!$5:$6</definedName>
    <definedName name="_xlnm.Print_Area" localSheetId="1">'MB 12'!$A$1:$F$489</definedName>
    <definedName name="_xlnm.Print_Area" localSheetId="2">'RMB12'!$A$1:$F$340</definedName>
  </definedNames>
  <calcPr calcId="152511"/>
</workbook>
</file>

<file path=xl/calcChain.xml><?xml version="1.0" encoding="utf-8"?>
<calcChain xmlns="http://schemas.openxmlformats.org/spreadsheetml/2006/main">
  <c r="D309" i="25" l="1"/>
  <c r="C309" i="25"/>
  <c r="D305" i="25"/>
  <c r="D325" i="25" s="1"/>
  <c r="D333" i="25" s="1"/>
  <c r="C305" i="25"/>
  <c r="C325" i="25" s="1"/>
  <c r="C333" i="25" s="1"/>
  <c r="D301" i="25"/>
  <c r="C301" i="25"/>
  <c r="D299" i="25"/>
  <c r="D298" i="25"/>
  <c r="D297" i="25"/>
  <c r="C297" i="25"/>
  <c r="C274" i="25"/>
  <c r="D273" i="25"/>
  <c r="C273" i="25"/>
  <c r="C254" i="25"/>
  <c r="C253" i="25" s="1"/>
  <c r="D253" i="25"/>
  <c r="D241" i="25"/>
  <c r="C241" i="25"/>
  <c r="D238" i="25"/>
  <c r="C238" i="25"/>
  <c r="D232" i="25"/>
  <c r="C232" i="25"/>
  <c r="D230" i="25"/>
  <c r="D229" i="25"/>
  <c r="D228" i="25"/>
  <c r="D227" i="25"/>
  <c r="D226" i="25"/>
  <c r="D225" i="25"/>
  <c r="D221" i="25"/>
  <c r="D220" i="25"/>
  <c r="D214" i="25"/>
  <c r="D211" i="25"/>
  <c r="D204" i="25"/>
  <c r="D202" i="25"/>
  <c r="D201" i="25"/>
  <c r="D197" i="25"/>
  <c r="D190" i="25"/>
  <c r="D187" i="25"/>
  <c r="D165" i="25"/>
  <c r="D164" i="25"/>
  <c r="D163" i="25"/>
  <c r="D162" i="25"/>
  <c r="D158" i="25"/>
  <c r="D156" i="25"/>
  <c r="D155" i="25"/>
  <c r="D153" i="25"/>
  <c r="D152" i="25"/>
  <c r="D151" i="25"/>
  <c r="D148" i="25" s="1"/>
  <c r="D150" i="25"/>
  <c r="D149" i="25"/>
  <c r="C148" i="25"/>
  <c r="D145" i="25"/>
  <c r="C145" i="25"/>
  <c r="D132" i="25"/>
  <c r="C132" i="25"/>
  <c r="D124" i="25"/>
  <c r="C124" i="25"/>
  <c r="D116" i="25"/>
  <c r="D115" i="25"/>
  <c r="D107" i="25" s="1"/>
  <c r="D110" i="25"/>
  <c r="D109" i="25"/>
  <c r="C107" i="25"/>
  <c r="D94" i="25"/>
  <c r="C94" i="25"/>
  <c r="D91" i="25"/>
  <c r="C91" i="25"/>
  <c r="D86" i="25"/>
  <c r="C86" i="25"/>
  <c r="D85" i="25"/>
  <c r="D84" i="25" s="1"/>
  <c r="C85" i="25"/>
  <c r="C84" i="25" s="1"/>
  <c r="D81" i="25"/>
  <c r="C81" i="25"/>
  <c r="D77" i="25"/>
  <c r="D75" i="25"/>
  <c r="D74" i="25"/>
  <c r="D68" i="25"/>
  <c r="C68" i="25"/>
  <c r="D27" i="25"/>
  <c r="C27" i="25"/>
  <c r="D21" i="25"/>
  <c r="C21" i="25"/>
  <c r="D11" i="25"/>
  <c r="C11" i="25"/>
  <c r="D7" i="25"/>
  <c r="C7" i="25"/>
  <c r="D247" i="25" l="1"/>
  <c r="D332" i="25" s="1"/>
  <c r="D335" i="25" s="1"/>
  <c r="C247" i="25"/>
  <c r="C332" i="25" s="1"/>
  <c r="C335" i="25" s="1"/>
  <c r="I494" i="20" l="1"/>
  <c r="I495" i="20"/>
  <c r="I496" i="20"/>
  <c r="I497" i="20"/>
  <c r="I498" i="20"/>
  <c r="I499" i="20"/>
  <c r="I500" i="20"/>
  <c r="I501" i="20"/>
  <c r="I502" i="20"/>
  <c r="I503" i="20"/>
  <c r="I504" i="20"/>
  <c r="I506" i="20"/>
  <c r="I493" i="20"/>
  <c r="D459" i="21"/>
  <c r="C459" i="21"/>
  <c r="D442" i="21"/>
  <c r="C442" i="21"/>
  <c r="D440" i="21"/>
  <c r="D437" i="21" s="1"/>
  <c r="C437" i="21"/>
  <c r="D435" i="21"/>
  <c r="D434" i="21"/>
  <c r="C433" i="21"/>
  <c r="D431" i="21"/>
  <c r="D421" i="21"/>
  <c r="C421" i="21"/>
  <c r="D420" i="21"/>
  <c r="C420" i="21"/>
  <c r="D419" i="21"/>
  <c r="D418" i="21"/>
  <c r="D417" i="21"/>
  <c r="D416" i="21"/>
  <c r="D415" i="21"/>
  <c r="C415" i="21"/>
  <c r="D414" i="21"/>
  <c r="C414" i="21"/>
  <c r="D413" i="21"/>
  <c r="C413" i="21"/>
  <c r="D412" i="21"/>
  <c r="C412" i="21"/>
  <c r="D411" i="21"/>
  <c r="C411" i="21"/>
  <c r="D410" i="21"/>
  <c r="C410" i="21"/>
  <c r="D408" i="21"/>
  <c r="D407" i="21"/>
  <c r="C407" i="21"/>
  <c r="D406" i="21"/>
  <c r="C406" i="21"/>
  <c r="C381" i="21"/>
  <c r="D377" i="21"/>
  <c r="D371" i="21"/>
  <c r="C371" i="21"/>
  <c r="D369" i="21"/>
  <c r="D368" i="21"/>
  <c r="C368" i="21"/>
  <c r="D367" i="21"/>
  <c r="C367" i="21"/>
  <c r="C346" i="21"/>
  <c r="D333" i="21"/>
  <c r="C333" i="21"/>
  <c r="D330" i="21"/>
  <c r="C330" i="21"/>
  <c r="D324" i="21"/>
  <c r="C324" i="21"/>
  <c r="D308" i="21"/>
  <c r="C308" i="21"/>
  <c r="D293" i="21"/>
  <c r="D292" i="21"/>
  <c r="D291" i="21"/>
  <c r="D290" i="21"/>
  <c r="D289" i="21"/>
  <c r="D288" i="21"/>
  <c r="D284" i="21"/>
  <c r="D283" i="21"/>
  <c r="D277" i="21"/>
  <c r="D274" i="21"/>
  <c r="D267" i="21"/>
  <c r="D265" i="21"/>
  <c r="D264" i="21"/>
  <c r="D260" i="21"/>
  <c r="D253" i="21"/>
  <c r="D250" i="21"/>
  <c r="D228" i="21"/>
  <c r="D227" i="21"/>
  <c r="D226" i="21"/>
  <c r="D225" i="21"/>
  <c r="D221" i="21"/>
  <c r="D219" i="21"/>
  <c r="D218" i="21"/>
  <c r="D216" i="21"/>
  <c r="D215" i="21"/>
  <c r="D214" i="21"/>
  <c r="D213" i="21"/>
  <c r="D212" i="21"/>
  <c r="D208" i="21"/>
  <c r="C208" i="21"/>
  <c r="C206" i="21"/>
  <c r="C181" i="21" s="1"/>
  <c r="D181" i="21"/>
  <c r="D173" i="21"/>
  <c r="C173" i="21"/>
  <c r="D165" i="21"/>
  <c r="D164" i="21"/>
  <c r="D159" i="21"/>
  <c r="D158" i="21"/>
  <c r="C156" i="21"/>
  <c r="D154" i="21"/>
  <c r="D142" i="21" s="1"/>
  <c r="C154" i="21"/>
  <c r="C142" i="21" s="1"/>
  <c r="D139" i="21"/>
  <c r="C139" i="21"/>
  <c r="D137" i="21"/>
  <c r="C137" i="21"/>
  <c r="D136" i="21"/>
  <c r="C136" i="21"/>
  <c r="D135" i="21"/>
  <c r="D134" i="21"/>
  <c r="D133" i="21"/>
  <c r="C133" i="21"/>
  <c r="D118" i="21"/>
  <c r="C118" i="21"/>
  <c r="D114" i="21"/>
  <c r="D112" i="21"/>
  <c r="D111" i="21"/>
  <c r="C105" i="21"/>
  <c r="D103" i="21"/>
  <c r="D63" i="21" s="1"/>
  <c r="C103" i="21"/>
  <c r="C63" i="21" s="1"/>
  <c r="C61" i="21"/>
  <c r="D60" i="21"/>
  <c r="D59" i="21"/>
  <c r="C58" i="21"/>
  <c r="C56" i="21"/>
  <c r="C55" i="21"/>
  <c r="D54" i="21"/>
  <c r="C54" i="21"/>
  <c r="C53" i="21"/>
  <c r="C47" i="21"/>
  <c r="D46" i="21"/>
  <c r="D35" i="21"/>
  <c r="D33" i="21" s="1"/>
  <c r="C35" i="21"/>
  <c r="C33" i="21" s="1"/>
  <c r="D19" i="21"/>
  <c r="C19" i="21"/>
  <c r="D17" i="21"/>
  <c r="C17" i="21"/>
  <c r="D16" i="21"/>
  <c r="D15" i="21"/>
  <c r="D14" i="21"/>
  <c r="C14" i="21"/>
  <c r="C11" i="21" s="1"/>
  <c r="D13" i="21"/>
  <c r="D7" i="21"/>
  <c r="C7" i="21"/>
  <c r="C208" i="20"/>
  <c r="D37" i="21" l="1"/>
  <c r="D105" i="21"/>
  <c r="D433" i="21"/>
  <c r="C123" i="21"/>
  <c r="D156" i="21"/>
  <c r="D345" i="21"/>
  <c r="D380" i="21"/>
  <c r="C380" i="21"/>
  <c r="D11" i="21"/>
  <c r="D123" i="21"/>
  <c r="D211" i="21"/>
  <c r="C211" i="21"/>
  <c r="C345" i="21"/>
  <c r="C37" i="21"/>
  <c r="C55" i="20"/>
  <c r="D474" i="21" l="1"/>
  <c r="D482" i="21" s="1"/>
  <c r="C474" i="21"/>
  <c r="C482" i="21" s="1"/>
  <c r="D339" i="21"/>
  <c r="D481" i="21" s="1"/>
  <c r="D484" i="21" s="1"/>
  <c r="C339" i="21"/>
  <c r="C481" i="21" s="1"/>
  <c r="C484" i="21" s="1"/>
  <c r="C137" i="20"/>
  <c r="C54" i="20" l="1"/>
  <c r="C384" i="20" l="1"/>
  <c r="C349" i="20"/>
  <c r="C155" i="20" l="1"/>
  <c r="D155" i="20" l="1"/>
  <c r="C158" i="20"/>
  <c r="C436" i="20"/>
  <c r="D445" i="20"/>
  <c r="C445" i="20"/>
  <c r="C416" i="20" l="1"/>
  <c r="D416" i="20"/>
  <c r="D415" i="20"/>
  <c r="C415" i="20"/>
  <c r="D418" i="20"/>
  <c r="C418" i="20"/>
  <c r="D417" i="20"/>
  <c r="C417" i="20"/>
  <c r="C20" i="20"/>
  <c r="D20" i="20"/>
  <c r="D443" i="20"/>
  <c r="D424" i="20"/>
  <c r="C424" i="20"/>
  <c r="D138" i="20"/>
  <c r="C138" i="20"/>
  <c r="D423" i="20"/>
  <c r="C423" i="20"/>
  <c r="D374" i="20"/>
  <c r="C374" i="20"/>
  <c r="C15" i="20"/>
  <c r="D16" i="20"/>
  <c r="D17" i="20"/>
  <c r="D14" i="20"/>
  <c r="D294" i="20"/>
  <c r="D293" i="20"/>
  <c r="D292" i="20"/>
  <c r="D291" i="20"/>
  <c r="D296" i="20"/>
  <c r="D295" i="20"/>
  <c r="D287" i="20" l="1"/>
  <c r="D286" i="20"/>
  <c r="D36" i="20"/>
  <c r="C36" i="20"/>
  <c r="D410" i="20"/>
  <c r="C410" i="20"/>
  <c r="D409" i="20"/>
  <c r="C409" i="20"/>
  <c r="D371" i="20"/>
  <c r="C371" i="20"/>
  <c r="D370" i="20"/>
  <c r="C370" i="20"/>
  <c r="C134" i="20"/>
  <c r="D134" i="20"/>
  <c r="D438" i="20" l="1"/>
  <c r="H486" i="20"/>
  <c r="D505" i="20" l="1"/>
  <c r="C505" i="20"/>
  <c r="I505" i="20" s="1"/>
  <c r="F504" i="20"/>
  <c r="H504" i="20" s="1"/>
  <c r="F503" i="20"/>
  <c r="H503" i="20" s="1"/>
  <c r="F500" i="20"/>
  <c r="H500" i="20" s="1"/>
  <c r="F499" i="20"/>
  <c r="H499" i="20" s="1"/>
  <c r="F498" i="20"/>
  <c r="H498" i="20" s="1"/>
  <c r="F496" i="20"/>
  <c r="H496" i="20" s="1"/>
  <c r="F493" i="20"/>
  <c r="A493" i="20"/>
  <c r="D462" i="20"/>
  <c r="C462" i="20"/>
  <c r="D440" i="20"/>
  <c r="C440" i="20"/>
  <c r="D437" i="20"/>
  <c r="D436" i="20" s="1"/>
  <c r="D434" i="20"/>
  <c r="D422" i="20"/>
  <c r="D421" i="20"/>
  <c r="D420" i="20"/>
  <c r="D419" i="20"/>
  <c r="D414" i="20"/>
  <c r="C414" i="20"/>
  <c r="D413" i="20"/>
  <c r="C413" i="20"/>
  <c r="D411" i="20"/>
  <c r="D380" i="20"/>
  <c r="D372" i="20"/>
  <c r="C348" i="20"/>
  <c r="D336" i="20"/>
  <c r="C336" i="20"/>
  <c r="D333" i="20"/>
  <c r="C333" i="20"/>
  <c r="D327" i="20"/>
  <c r="C327" i="20"/>
  <c r="D311" i="20"/>
  <c r="C311" i="20"/>
  <c r="C214" i="20" s="1"/>
  <c r="D280" i="20"/>
  <c r="D277" i="20"/>
  <c r="D270" i="20"/>
  <c r="D268" i="20"/>
  <c r="D267" i="20"/>
  <c r="D263" i="20"/>
  <c r="D256" i="20"/>
  <c r="D253" i="20"/>
  <c r="D231" i="20"/>
  <c r="D230" i="20"/>
  <c r="D229" i="20"/>
  <c r="D228" i="20"/>
  <c r="D224" i="20"/>
  <c r="D222" i="20"/>
  <c r="D221" i="20"/>
  <c r="D219" i="20"/>
  <c r="D218" i="20"/>
  <c r="D217" i="20"/>
  <c r="D216" i="20"/>
  <c r="D215" i="20"/>
  <c r="D210" i="20"/>
  <c r="C210" i="20"/>
  <c r="D183" i="20"/>
  <c r="C183" i="20"/>
  <c r="D175" i="20"/>
  <c r="C175" i="20"/>
  <c r="D167" i="20"/>
  <c r="D166" i="20"/>
  <c r="D161" i="20"/>
  <c r="D160" i="20"/>
  <c r="D143" i="20"/>
  <c r="C143" i="20"/>
  <c r="D140" i="20"/>
  <c r="C140" i="20"/>
  <c r="D137" i="20"/>
  <c r="C124" i="20"/>
  <c r="D136" i="20"/>
  <c r="D135" i="20"/>
  <c r="D119" i="20"/>
  <c r="C119" i="20"/>
  <c r="D115" i="20"/>
  <c r="D113" i="20"/>
  <c r="D112" i="20"/>
  <c r="C106" i="20"/>
  <c r="D104" i="20"/>
  <c r="D64" i="20" s="1"/>
  <c r="C104" i="20"/>
  <c r="C62" i="20"/>
  <c r="D61" i="20"/>
  <c r="D60" i="20"/>
  <c r="C59" i="20"/>
  <c r="C57" i="20"/>
  <c r="C56" i="20"/>
  <c r="D55" i="20"/>
  <c r="C48" i="20"/>
  <c r="D47" i="20"/>
  <c r="D34" i="20"/>
  <c r="C34" i="20"/>
  <c r="D18" i="20"/>
  <c r="C18" i="20"/>
  <c r="D15" i="20"/>
  <c r="D7" i="20"/>
  <c r="F501" i="20" l="1"/>
  <c r="H501" i="20" s="1"/>
  <c r="D214" i="20"/>
  <c r="D158" i="20"/>
  <c r="D106" i="20"/>
  <c r="C383" i="20"/>
  <c r="F495" i="20"/>
  <c r="H495" i="20" s="1"/>
  <c r="F497" i="20"/>
  <c r="H497" i="20" s="1"/>
  <c r="D383" i="20"/>
  <c r="C38" i="20"/>
  <c r="D38" i="20"/>
  <c r="D124" i="20"/>
  <c r="D348" i="20"/>
  <c r="D478" i="20" s="1"/>
  <c r="H493" i="20"/>
  <c r="C7" i="20"/>
  <c r="C12" i="20"/>
  <c r="D12" i="20"/>
  <c r="F494" i="20"/>
  <c r="H494" i="20" s="1"/>
  <c r="F502" i="20"/>
  <c r="H502" i="20" s="1"/>
  <c r="C64" i="20"/>
  <c r="C478" i="20" l="1"/>
  <c r="C486" i="20" s="1"/>
  <c r="H487" i="20"/>
  <c r="D342" i="20"/>
  <c r="D485" i="20" s="1"/>
  <c r="D486" i="20"/>
  <c r="C342" i="20"/>
  <c r="C485" i="20" s="1"/>
  <c r="F505" i="20"/>
  <c r="H505" i="20"/>
  <c r="C488" i="20" l="1"/>
  <c r="D488" i="20"/>
  <c r="E504" i="20" l="1"/>
  <c r="G504" i="20" s="1"/>
  <c r="E494" i="20"/>
  <c r="G494" i="20" s="1"/>
  <c r="E503" i="20"/>
  <c r="G503" i="20" s="1"/>
  <c r="E502" i="20"/>
  <c r="G502" i="20" s="1"/>
  <c r="E500" i="20" l="1"/>
  <c r="G500" i="20" s="1"/>
  <c r="E499" i="20"/>
  <c r="G499" i="20" s="1"/>
  <c r="E498" i="20"/>
  <c r="G498" i="20" s="1"/>
  <c r="E493" i="20"/>
  <c r="G493" i="20" s="1"/>
  <c r="E495" i="20"/>
  <c r="E501" i="20"/>
  <c r="G501" i="20" s="1"/>
  <c r="E497" i="20"/>
  <c r="G497" i="20" s="1"/>
  <c r="E496" i="20"/>
  <c r="G496" i="20" s="1"/>
  <c r="G495" i="20" l="1"/>
  <c r="G505" i="20" s="1"/>
  <c r="E505" i="20"/>
  <c r="H488" i="20" l="1"/>
  <c r="H489" i="20" s="1"/>
</calcChain>
</file>

<file path=xl/comments1.xml><?xml version="1.0" encoding="utf-8"?>
<comments xmlns="http://schemas.openxmlformats.org/spreadsheetml/2006/main">
  <authors>
    <author>Marie Hujňáková</author>
  </authors>
  <commentList>
    <comment ref="D441" authorId="0" shapeId="0">
      <text>
        <r>
          <rPr>
            <b/>
            <sz val="8"/>
            <color indexed="81"/>
            <rFont val="Tahoma"/>
            <family val="2"/>
            <charset val="238"/>
          </rPr>
          <t>Marie Hujňáková:</t>
        </r>
        <r>
          <rPr>
            <sz val="8"/>
            <color indexed="81"/>
            <rFont val="Tahoma"/>
            <family val="2"/>
            <charset val="238"/>
          </rPr>
          <t xml:space="preserve">
Spolufinancovaný projekt:
nástroj 36, prostorová jednotka 5, ÚZ 17871 - částka 3.327.757,50 Kč</t>
        </r>
      </text>
    </comment>
    <comment ref="D442" authorId="0" shapeId="0">
      <text>
        <r>
          <rPr>
            <b/>
            <sz val="8"/>
            <color indexed="81"/>
            <rFont val="Tahoma"/>
            <family val="2"/>
            <charset val="238"/>
          </rPr>
          <t>Marie Hujňáková:</t>
        </r>
        <r>
          <rPr>
            <sz val="8"/>
            <color indexed="81"/>
            <rFont val="Tahoma"/>
            <family val="2"/>
            <charset val="238"/>
          </rPr>
          <t xml:space="preserve">
Spolufinancovaný projekt:
nástroj 36, prostorová jednotka 1, ÚZ 17870 - částka 587.251,32 Kč</t>
        </r>
      </text>
    </comment>
  </commentList>
</comments>
</file>

<file path=xl/comments2.xml><?xml version="1.0" encoding="utf-8"?>
<comments xmlns="http://schemas.openxmlformats.org/spreadsheetml/2006/main">
  <authors>
    <author>Marie Hujňáková</author>
  </authors>
  <commentList>
    <comment ref="D438" authorId="0" shapeId="0">
      <text>
        <r>
          <rPr>
            <b/>
            <sz val="8"/>
            <color indexed="81"/>
            <rFont val="Tahoma"/>
            <family val="2"/>
            <charset val="238"/>
          </rPr>
          <t>Marie Hujňáková:</t>
        </r>
        <r>
          <rPr>
            <sz val="8"/>
            <color indexed="81"/>
            <rFont val="Tahoma"/>
            <family val="2"/>
            <charset val="238"/>
          </rPr>
          <t xml:space="preserve">
Spolufinancovaný projekt:
nástroj 36, prostorová jednotka 5, ÚZ 17871 - částka 3.327.757,50 Kč</t>
        </r>
      </text>
    </comment>
    <comment ref="D439" authorId="0" shapeId="0">
      <text>
        <r>
          <rPr>
            <b/>
            <sz val="8"/>
            <color indexed="81"/>
            <rFont val="Tahoma"/>
            <family val="2"/>
            <charset val="238"/>
          </rPr>
          <t>Marie Hujňáková:</t>
        </r>
        <r>
          <rPr>
            <sz val="8"/>
            <color indexed="81"/>
            <rFont val="Tahoma"/>
            <family val="2"/>
            <charset val="238"/>
          </rPr>
          <t xml:space="preserve">
Spolufinancovaný projekt:
nástroj 36, prostorová jednotka 1, ÚZ 17870 - částka 587.251,32 Kč</t>
        </r>
      </text>
    </comment>
  </commentList>
</comments>
</file>

<file path=xl/sharedStrings.xml><?xml version="1.0" encoding="utf-8"?>
<sst xmlns="http://schemas.openxmlformats.org/spreadsheetml/2006/main" count="1271" uniqueCount="358">
  <si>
    <t>Přehled přijatých účelových transferů z jiných veřejných rozpočtů</t>
  </si>
  <si>
    <t>Datum</t>
  </si>
  <si>
    <t>NEINVESTIČNÍ TRANSFERY</t>
  </si>
  <si>
    <t>UR v tis. Kč</t>
  </si>
  <si>
    <t>Skutečnost v Kč</t>
  </si>
  <si>
    <t>ÚZ</t>
  </si>
  <si>
    <t>POL.</t>
  </si>
  <si>
    <t xml:space="preserve">MINISTERSTVO  FINANCÍ  ČR </t>
  </si>
  <si>
    <t>STÁTNÍ  FOND  ROZVOJE  BYDLENÍ</t>
  </si>
  <si>
    <t>Brno - Bystrc - dotace k úvěru na opravu panelových bytů</t>
  </si>
  <si>
    <t>Brno - Černovice - dotace k úvěru na opravu panelových bytů</t>
  </si>
  <si>
    <t>4113</t>
  </si>
  <si>
    <t>Brno - Kohoutovice - dotace k úvěru na opravu panelových bytů</t>
  </si>
  <si>
    <t>Brno - Nový Lískovec - dotace k úvěru na opravu panelových bytů</t>
  </si>
  <si>
    <t>Brno - Slatina - dotace k úvěru na opravu panelových bytů</t>
  </si>
  <si>
    <t>Brno - Vinohrady - dotace k úvěru na opravu panelových bytů</t>
  </si>
  <si>
    <t>STÁTNÍ  FOND  ŽIVOTNÍHO PROSTŘEDÍ</t>
  </si>
  <si>
    <t xml:space="preserve">STÁTNÍ  ZEMĚDĚLSKÝ INTERVENČNÍ FOND  </t>
  </si>
  <si>
    <t>Brno - Ořešín - přímé platby zemědělcům</t>
  </si>
  <si>
    <t xml:space="preserve">ÚŘAD  PRÁCE </t>
  </si>
  <si>
    <t>4116</t>
  </si>
  <si>
    <t>Brno - Bosonohy - aktivní politika zaměstnanosti - OP Lidské zdroje a zaměstnanost</t>
  </si>
  <si>
    <t>Brno - Ivanovice - aktivní politika zaměstnanosti - OP Lidské zdroje a zaměstnanost</t>
  </si>
  <si>
    <t>Brno - jih - aktivní politika zaměstnanosti - OP Lidské zdroje a zaměstnanost</t>
  </si>
  <si>
    <t>Brno - Komín - aktivní politika zaměstnanosti - OP Lidské zdroje a zaměstnanost</t>
  </si>
  <si>
    <t>Brno - Kníničky - aktivní politika zaměstnanosti - OP Lidské zdroje a zaměstnanost</t>
  </si>
  <si>
    <t>Brno - střed - aktivní politika zaměstnanosti - OP Lidské zdroje a zaměstnanost</t>
  </si>
  <si>
    <t>Brno - Maloměřice a Obřany - aktivní politika zaměstnanosti - OP Lidské zdroje a zam.</t>
  </si>
  <si>
    <t>Brno - Medlánky - aktivní politika zaměstnanosti - OP Lidské zdroje a zaměstnanost</t>
  </si>
  <si>
    <t>Brno - Nový Lískovec - aktivní politika zaměstnanosti - OP Lidské zdroje a zaměstnanost</t>
  </si>
  <si>
    <t>Brno - sever - aktivní politika zaměstnanosti - OP Lidské zdroje a zaměstnanost</t>
  </si>
  <si>
    <t>Brno - Ořešín - aktivní politika zaměstnanosti - OP Lidské zdroje a zaměstnanost</t>
  </si>
  <si>
    <t>13234</t>
  </si>
  <si>
    <t>Brno - Žabovřesky - aktivní politika zaměstnanosti - OP Lidské zdroje a zaměstnanost</t>
  </si>
  <si>
    <t>Brno - Žebětín - aktivní politika zaměstnanosti - OP Lidské zdroje a zaměstnanost</t>
  </si>
  <si>
    <t>Brno - Židenice - aktivní politika zaměstnanosti - OP Lidské zdroje a zaměstnanost</t>
  </si>
  <si>
    <t>MINISTERSTVO   KULTURY</t>
  </si>
  <si>
    <t>MINISTERSTVO  ŠKOLSTVÍ, MLÁDEŽE  A TĚLOVÝCHOVY</t>
  </si>
  <si>
    <t>MINISTERSTVO  PRO MÍSTNÍ ROZVOJ ČR</t>
  </si>
  <si>
    <t>MINISTERSTVO PRÁCE A SOCIÁLNÍCH VĚCÍ ČR</t>
  </si>
  <si>
    <t>Státní příspěvek na výkon pěstounské péče</t>
  </si>
  <si>
    <t>Brno - sever - Drom, romské středisko - Cestou komunitní práce</t>
  </si>
  <si>
    <t xml:space="preserve">Brno - sever - Drom, romské středisko - Zvyšování pracovních kompetencí pracovníků </t>
  </si>
  <si>
    <t>MINISTERSTVO  PRŮMYSLU A OBCHODU ČR</t>
  </si>
  <si>
    <t>Dotace na výkon činnosti Jednotných kontaktních míst</t>
  </si>
  <si>
    <t>MINISTERSTVO VNITRA ČR</t>
  </si>
  <si>
    <t>MINISTERSTVO ZDRAVOTNICTVÍ</t>
  </si>
  <si>
    <t>MINISTERSTVO ZEMĚDĚLSTVÍ</t>
  </si>
  <si>
    <t>Úhrada nákladů na činnost odborného lesního hospodáře</t>
  </si>
  <si>
    <t>Úhrada nákladů na výsadbu minimálního podílu melioračních a zpevňujících dřevin</t>
  </si>
  <si>
    <t>MINISTERSTVO ŽIVOTNÍHO PROSTŘEDÍ</t>
  </si>
  <si>
    <t>SOCIOLOGICKÝ ÚSTAV AKADEMIE VĚD</t>
  </si>
  <si>
    <t>4119</t>
  </si>
  <si>
    <t>JIHOMORAVSKÝ KRAJ</t>
  </si>
  <si>
    <t>4122</t>
  </si>
  <si>
    <t>REGIONÁLNÍ RADA REGIONU SOUDRŽNOSTI JIHOVÝCHOD</t>
  </si>
  <si>
    <t>CIZÍ STÁTY</t>
  </si>
  <si>
    <t>REURIS - revitalizace řek a jejich okolí v urbanizovaném městě</t>
  </si>
  <si>
    <t>MEZINÁRODNÍ  INSTITUCE</t>
  </si>
  <si>
    <t>Centrope capacity</t>
  </si>
  <si>
    <t xml:space="preserve">Projekt TROLLEY </t>
  </si>
  <si>
    <t>TRANSFERY  NEINVESTIČNÍ  CELKEM</t>
  </si>
  <si>
    <t>INVESTIČNÍ TRANSFERY</t>
  </si>
  <si>
    <t>Výstavba tělocvičny ZŠ a MŠ Zeiberlichova</t>
  </si>
  <si>
    <t xml:space="preserve">TRANSFERY  INVESTIČNÍ CELKEM </t>
  </si>
  <si>
    <t>REKAPITULACE  PŘIJATÝCH TRANSFERŮ</t>
  </si>
  <si>
    <t xml:space="preserve">TRANSFERY  NEINVESTIČNÍ CELKEM  </t>
  </si>
  <si>
    <t xml:space="preserve">TRANSFERY  INVESTIČNÍ CELKEM  </t>
  </si>
  <si>
    <t>TRANSFERY    CELKEM</t>
  </si>
  <si>
    <t>ZŠ Gajdošova 3 - podpora výuky angličtiny metodou CLIL na 1. stupni</t>
  </si>
  <si>
    <t>ZŠ Tuháčkova 25 - realizace projektu Příroda a my</t>
  </si>
  <si>
    <t>ZŠ Holzova - Příroda mého okolí</t>
  </si>
  <si>
    <t>ZŠ Gajdošova 3 - Tvorba praktických úloh pro předměty fyzika, chemie a přírodopis</t>
  </si>
  <si>
    <t>Waldorfská ZŠ a MŠ, Plovdivská 8 - EU peníze školám</t>
  </si>
  <si>
    <t>ZŠ a MŠ Jihomoravské nám. 2 - primární prevence rizikového chování</t>
  </si>
  <si>
    <t>Projekt Partnerství Comenius Regio - RICE</t>
  </si>
  <si>
    <t>Rekonstrukce a dostavba kanalizace v Brně</t>
  </si>
  <si>
    <t>ZŠ a MŠ Staňkova 14 - JM centrum na podporu integrace cizinců</t>
  </si>
  <si>
    <t>Digitalizace archivu města Brna</t>
  </si>
  <si>
    <t>ZŠ a MŠ, nám. 28. října 22 - Rovné příležitosti ke vzdělávání pro romské žáky v inkluzivní škole</t>
  </si>
  <si>
    <t>ZŠ Novolíšeňská 10 - Učíme se e-learningem</t>
  </si>
  <si>
    <t>ZŠ Bakalovo nábř. 8 - Brána jazykům otevřena</t>
  </si>
  <si>
    <t>Sharepoint</t>
  </si>
  <si>
    <t>SDV</t>
  </si>
  <si>
    <t>Dotace bez SDV</t>
  </si>
  <si>
    <t>přímo na MČ</t>
  </si>
  <si>
    <t>Dotace na úhradu výdajů spojených s výkonem sociálně - právní ochrany dětí</t>
  </si>
  <si>
    <t>ZŠ Sirotkova 10 - Matematicko-fyzikální cvičiště</t>
  </si>
  <si>
    <t xml:space="preserve">ZŠ a MŠ, nám. 28. října 22 - Model komunit. a inkluz. vzděl. </t>
  </si>
  <si>
    <t>Revitalizace městských parků I. etapa</t>
  </si>
  <si>
    <t>Zahrada v pohybu</t>
  </si>
  <si>
    <t xml:space="preserve">Brno - Královo Pole - regenerace MŠ Chodská </t>
  </si>
  <si>
    <t>ZŠ Holzova 1 - Příroda mého okolí</t>
  </si>
  <si>
    <t>Podpora sociálních služeb</t>
  </si>
  <si>
    <t>Práce s rizikovými a ohroženými skupinami  - prevence kriminality</t>
  </si>
  <si>
    <t>Dům umění města Brna - celoroční plán Domu umění města Brna</t>
  </si>
  <si>
    <t>ZŠ Laštůvkova 77 - Profesní rozvoj pedagogů ZŠ Laštůvkova 77</t>
  </si>
  <si>
    <t>Filharmonie Brno -  Velikonoční festival duchovní hudby</t>
  </si>
  <si>
    <t xml:space="preserve">Brno - Ořešín - aktivní politika zaměstnanosti </t>
  </si>
  <si>
    <t>Filharmonie Brno - Abonentní řada Jazz &amp; World Muzic</t>
  </si>
  <si>
    <t>Muzeum města Brna - Pocta Daliboru Chatrnému</t>
  </si>
  <si>
    <t>ZŠ Mutěnická 23 - přírodní a technické vědy jinak</t>
  </si>
  <si>
    <t>ZŠ a MŠ Merhautova 37 - Vzdělávání pedagogů v oblasti speciální pedag.</t>
  </si>
  <si>
    <t xml:space="preserve">ZŠ Vedlejší - Jazykové centrum - diferenciace jazykového vzdělávání </t>
  </si>
  <si>
    <t>CED - LET 40, festival k oslavě čtyřiceti let HaDivadla</t>
  </si>
  <si>
    <t>KJM - připojení poboček v Brně-Slatině a Brně-jih do sítě automatizovaných provozů</t>
  </si>
  <si>
    <t>Zajištění bydlení azylantů - Andrey Mukameev</t>
  </si>
  <si>
    <t>Manažer IPRM Brno</t>
  </si>
  <si>
    <t xml:space="preserve">Brno - Bohunice - zateplení budovy MŠ Amerlingova 4 </t>
  </si>
  <si>
    <t xml:space="preserve">Brno - Židemice - snížení energetické náročnosti MŠ Šaumannova 20 </t>
  </si>
  <si>
    <t>Projekt 2MOVE2</t>
  </si>
  <si>
    <t xml:space="preserve">Brno - Žebětín - výsadba a regenerace izolační aleje na ul.Ostrovačická </t>
  </si>
  <si>
    <t>Knihovna Jiřího Mahena - Pověste ho vejš!</t>
  </si>
  <si>
    <t>TIC - Tmavomodrý festival 2014</t>
  </si>
  <si>
    <t>Sportovní areál při Masarykově ZŠ a MŠ Zemědělská 29</t>
  </si>
  <si>
    <t>Brno - Vinohrady - aktivní politika zaměstnanosti - OP Lidské zdroje a zaměstnanost</t>
  </si>
  <si>
    <t>ZŠ Bakalovo nábřeží 8 - Brána jazykům otevřena</t>
  </si>
  <si>
    <t>ZŠ Úvoz 55 - Skupinová výuka mimořádně nadaných dětí na Úvoze</t>
  </si>
  <si>
    <t>ZŠ Janouškova 2 - EU peníze školám</t>
  </si>
  <si>
    <t>ZŠ Krásného 24 - Zahrada jazyků</t>
  </si>
  <si>
    <t>ZŠ Gajdošova 3 - Podpory výuky angličtiny metodou CLIL na 1. stupni ZŠ</t>
  </si>
  <si>
    <t>ZŠ a MŠ Jihomoravské nám. 2 - Odpočatý a spokojený učitel=lepší a kvalitnější učitel</t>
  </si>
  <si>
    <t>ZŠ a MŠ Kotlářská 4 - Zdravá škola v srdci města</t>
  </si>
  <si>
    <t>ZŠ a MŠ Kotlářská 4 - Krize jako šance</t>
  </si>
  <si>
    <t>TIC - Babylonfest 2014</t>
  </si>
  <si>
    <t>CED - Betlém aneb Převeliké klanění sotva narozenému Jezulátku</t>
  </si>
  <si>
    <t>ZŠ Antonínská 3 - Podpora vzdělávání a zlepšení kompetencí pedagogických pracovníků</t>
  </si>
  <si>
    <t>Projekt MINIWASTE</t>
  </si>
  <si>
    <t>DPS Vychodilova - dar na pořízení vybavení pro trénink pohybových a mozkových funkcí klientů</t>
  </si>
  <si>
    <t>KJM - dar na materiálně-technické vybavení pobočky Brno - Žabovřesky</t>
  </si>
  <si>
    <t>Zajištění bydlení azylantů - Jaber Almekail</t>
  </si>
  <si>
    <t>Zajištění bydlení pro azylanty - Andrei Shulha</t>
  </si>
  <si>
    <t xml:space="preserve">ZŠ a MŠ nám. 28. října 22 - Model komunit. a inkluz. vzdělávání pro ZŠ hlavního vzděl. proudu </t>
  </si>
  <si>
    <t>Muzeum města Brna - památková obnova vily Tugendhat - publicistika s rozhovory a komentářem</t>
  </si>
  <si>
    <t>Revitalizace městských parků II. etapa</t>
  </si>
  <si>
    <t xml:space="preserve">Knihovna Jiřího Mahena - Harmonizace lokálních a národních autorit </t>
  </si>
  <si>
    <t>MUmB - Interaktivní stezka jako alternativa zpřístupnění historického  dědictví</t>
  </si>
  <si>
    <t xml:space="preserve">Knihovna Jiřího Mahena - Lékotéka - hračky a pomůcky pro děti se speciálními vzděl. potřebami </t>
  </si>
  <si>
    <t>Knihovna Jiřího Mahena - Bubnohrátky</t>
  </si>
  <si>
    <t>Národní divadlo Brno -  Věc Makropulos</t>
  </si>
  <si>
    <t>Národní divadlo Brno -  Opera Europa</t>
  </si>
  <si>
    <t>Městské divadlo Brno -  Inscenace Don Juan!</t>
  </si>
  <si>
    <t>Filharmonie Brno - vlastní umělecká činnost</t>
  </si>
  <si>
    <t>Procesní optimalizace, implementace projekt. řízení a monitoring spokoj. uživatelů služeb na TSB</t>
  </si>
  <si>
    <t>Program prevence kriminality v roce 2014</t>
  </si>
  <si>
    <t>ZŠ Tuháčkova 25 - Příroda a my</t>
  </si>
  <si>
    <t xml:space="preserve">ZŠ a MŠ, nám. 28. října 22 - Model komunitního a inkluzivního vzdělávání </t>
  </si>
  <si>
    <t>ZŠ Mutěnická 23 - Přírodní a technické vědy jinak</t>
  </si>
  <si>
    <t>ZŠ Gajdošova 3 - Podpora výuky angličtiny metodou CLIL na 1. stupni</t>
  </si>
  <si>
    <t>ZŠ a MŠ Merhautova 37 - Vzdělávání pedagogů v oblasti speciální pedagogiky</t>
  </si>
  <si>
    <t xml:space="preserve">ZŠ Vedlejší 10 - Jazykové centrum - diferenciace jazykového vzdělávání </t>
  </si>
  <si>
    <t xml:space="preserve">ZŠ Vedlejší 10 - Jazykové centrum - diferenciace jazykového vzdělávání  </t>
  </si>
  <si>
    <t>Městské divadlo Brno - Inscenace Sliby chyby</t>
  </si>
  <si>
    <t>Filharmonie Brno - Mezinárodní hudební festival Špilberk</t>
  </si>
  <si>
    <t>Filharmonie Brno - pořádání novoročního koncertu</t>
  </si>
  <si>
    <t>Filharmonie Brno - Morartovy děti 2014</t>
  </si>
  <si>
    <t>Brno - Královo Pole - aktivní politika zaměstnanosti - OP Lidské zdroje a zaměstnanost</t>
  </si>
  <si>
    <t>TIC - Anketa. Katalog ke kurátorskému projektu</t>
  </si>
  <si>
    <t>TIC - celoroční výstavní činnost Galerií  TIC</t>
  </si>
  <si>
    <t>MŠ Sluníčko, Strnadova 13 - podpora výuky ČJCJ pro děti a mládež - cizince</t>
  </si>
  <si>
    <t xml:space="preserve">Brno - střed - Správa nemovitostí - Prevence zadlužení a další podpůrné činnosti </t>
  </si>
  <si>
    <t xml:space="preserve">Brno - Židenice - snížení energetické náročnosti MŠ Šaumannova 20 </t>
  </si>
  <si>
    <t>ZŠ Mutěnická 23 - Rovné příležitosti pro všechny</t>
  </si>
  <si>
    <t>Nastavení procesního řízení do každodenní praxe Magistrátu města Brna</t>
  </si>
  <si>
    <t>Národní divadlo Brno - podpora profesionálních divadel</t>
  </si>
  <si>
    <t>Centrum experimentálního divadla - podpora profesionálních divadel</t>
  </si>
  <si>
    <t>Městské divadlo Brno - podpora profesionálních divadel</t>
  </si>
  <si>
    <t>TIC - Divadelní svět Brno 2014</t>
  </si>
  <si>
    <t>Městské divadlo Brno - Noc na Karlštejně</t>
  </si>
  <si>
    <t>Divadlo Radost - Kouzelná flétna</t>
  </si>
  <si>
    <t>Filharmonie Brno - Epos o Gilgamešovi</t>
  </si>
  <si>
    <t>Muzeum města Brna - Brněnská muzejní noc</t>
  </si>
  <si>
    <t>Dům umění - Důstojnost člověka</t>
  </si>
  <si>
    <t>ZŠ Vedlejší 10 - Jazykové centrum - diferenciace jazykového vzdělávání na ZŠ Vedlejší</t>
  </si>
  <si>
    <t>Muzeum města Brna - Vila Tugendhat - edukativní projekt moderní architektury</t>
  </si>
  <si>
    <t>Přístavba MŠ Šromova 55, Brno - Chrlice</t>
  </si>
  <si>
    <t>Divadlo Radost - podpora profesionálních divadel</t>
  </si>
  <si>
    <t>Brno - střed - KVC U Tří kohoutů - podpora profesionálních divadel</t>
  </si>
  <si>
    <t>Filharmonie Brno - Expozice nové hudby</t>
  </si>
  <si>
    <t xml:space="preserve">Národní divadlo Brno - Mezinárodní festival Janáček Brno </t>
  </si>
  <si>
    <t>TIC - Mezinárodní kytarový festival a kurzy Brno</t>
  </si>
  <si>
    <t>Najdi Špilberk</t>
  </si>
  <si>
    <t>Doplatek na Chovánek</t>
  </si>
  <si>
    <t>MČ Židenice - dotace na úhradu nákladů v souvislosti s azylovým zařízením</t>
  </si>
  <si>
    <t>Senior akademie IX.</t>
  </si>
  <si>
    <t>Mobilní informační centrum prevence kriminality - MOBIDIK</t>
  </si>
  <si>
    <t>Dopravní výchova</t>
  </si>
  <si>
    <t>Prevence úrazů v seniorském věku</t>
  </si>
  <si>
    <t>Město Brno zvyšuje kvalitu vzdělávání  v základních školách</t>
  </si>
  <si>
    <t>EZŠ, Čejkovická 10 - Ukaž mi směr a já najdu cestu pro své povolání</t>
  </si>
  <si>
    <t>Brno - Žabovřesky - Standardizace OSPOD MČ Brno - Žabovřesky</t>
  </si>
  <si>
    <t>Doplatek dotace na úhradu výdajů spojených s výkonem sociálně - právní ochrany dětí z roku 2013</t>
  </si>
  <si>
    <t>Areál volného času při ulici Mírová u pramene sv. Floriána</t>
  </si>
  <si>
    <t>Wilsonův les</t>
  </si>
  <si>
    <t>Brno - střed - KVC U Tří kohoutů - inscenace Ondráš a Juráš</t>
  </si>
  <si>
    <t>Nechme mluvit a naslouchejme</t>
  </si>
  <si>
    <t>ZŠ a MŠ Křenová 21 - KŘENKA - zážitkem k inkluzi</t>
  </si>
  <si>
    <t>ZŠ a MŠ Milénova 14 - Získejme zkušenosti v evropských školkách</t>
  </si>
  <si>
    <t xml:space="preserve">Brno - Líšeň - úprava dětského hřiště  a zahrady -  MŠ Neklež 1 </t>
  </si>
  <si>
    <t xml:space="preserve">Brno - Žabovřesky - obnova vybavení odlehčovacích služeb Odboru pečovatelské služby </t>
  </si>
  <si>
    <t>Obléhání města Švédy - TIC</t>
  </si>
  <si>
    <t>Brno - sever - Drom, romské středisko - Najdi svou cestu</t>
  </si>
  <si>
    <t>Brno - Kohoutovice - stavební úpravy objektu CVČ Legato, Stamicova 7</t>
  </si>
  <si>
    <t>Brno - Líšeň - rekonstrukce bazénu na ZŠ Holzova</t>
  </si>
  <si>
    <t>Brno - sever - rekonstrukce vzduchotechniky ve školní kuchyni při ZŠ a MŠ Brno</t>
  </si>
  <si>
    <t>Brno - sever - rekonstrukce sociálního zařízení v MŠ Brno, Brechtova 6</t>
  </si>
  <si>
    <t>Brno - Žabovřesky - doplnění prvku pro hřiště pro seniory ve vnitrobloku ulic</t>
  </si>
  <si>
    <t>Brno - Žabovřesky - výměna otvorových prvků na objektu ZŠ Jana Babáka 1</t>
  </si>
  <si>
    <t xml:space="preserve">Příspěvek zoologické zahradě Brno </t>
  </si>
  <si>
    <t>Divadelní svět Brno 2014 - TIC</t>
  </si>
  <si>
    <t>ZŠ a MŠ Blanenská 1 - Sport prostředek komun. a porozumění - partner. v regionu CENTROPE</t>
  </si>
  <si>
    <t>Vila Aloise a Viléma Kubových v Gromešově ulici</t>
  </si>
  <si>
    <t>Knihovna pro město - rozšíření a zlepšení služeb pro veřejnost</t>
  </si>
  <si>
    <t>Položka</t>
  </si>
  <si>
    <t>FIN 2-12M</t>
  </si>
  <si>
    <t>Skutečnost  dotace</t>
  </si>
  <si>
    <t>UR dotace</t>
  </si>
  <si>
    <t>Rozdíl UR</t>
  </si>
  <si>
    <t>Rozdíl skutečnost</t>
  </si>
  <si>
    <t>Brno - Bohunice - zateplení budovy MŠ Uzbecká</t>
  </si>
  <si>
    <t>Brno - Bohunice - zateplení budovy MŠ Běloruská</t>
  </si>
  <si>
    <t>Společné volby do obecních zastupitelstev a Senátu Parlamentu ČR</t>
  </si>
  <si>
    <t>Brno - Bohunice - nákup a oprava věcných prostředků požární ochrany</t>
  </si>
  <si>
    <t xml:space="preserve">Brno - Líšeň - úprava dětského hřiště a zahrady v přírod.stylu - MŠ Bratří Pelíšků 1 </t>
  </si>
  <si>
    <t xml:space="preserve">Brno - Líšeň - úprava dětského hřiště a zahrady -  MŠ Trnkova 81 </t>
  </si>
  <si>
    <t>Brno - sever - Drom, romské středisko - podpora sociálních služeb</t>
  </si>
  <si>
    <t>Brno -  Královo Pole - oprava oken a uliční fasády  ZŠ Slovanské nám. 2</t>
  </si>
  <si>
    <t>Brno - Vinohrady - KVIC - Hudební festival Mladé kapely</t>
  </si>
  <si>
    <t>Brno - Vinohrady - KVIC - Bavíme se na Vinohradech</t>
  </si>
  <si>
    <t>Brno - Vinohrady - KVIC - Výstava vín 2014</t>
  </si>
  <si>
    <t>Podpora sociálních služeb - příspěvkové organizace</t>
  </si>
  <si>
    <t>Filharmonie Brno - Turné s Elinou Garančou</t>
  </si>
  <si>
    <t>Obnova nemovité kulturní památky - Mahenova divadla</t>
  </si>
  <si>
    <t>Průčelí původní Okresní nemocenské opokladny a poliklinika v ulici Zahradníkova 2/8</t>
  </si>
  <si>
    <t>Zajištění bydlení azylantů na území ČR - Nour Khateb</t>
  </si>
  <si>
    <t>MINISTERSTVO  PRO MÍSTNÍ ROZVOJ</t>
  </si>
  <si>
    <t>Stavební úpravy a půdní vestavba bytového domu Bratislavská 60</t>
  </si>
  <si>
    <t>Brno - Vinohrady - regenerace panelového sídliště - IV. etapa</t>
  </si>
  <si>
    <t>Brno - Chrlice - VKP Splavisko</t>
  </si>
  <si>
    <t>Brno - Chrlice -VKP Splavisko</t>
  </si>
  <si>
    <t>Perioperační péče - rezidenční místo - Úrazová nemocnice v  Brně</t>
  </si>
  <si>
    <t>Klinická hematologie a transfuzní služba - rezidenční místa - Úrazová nemocnice v Brně</t>
  </si>
  <si>
    <t>Aplikovaná fyzioterapie - rezidenční místa - Úrazová nemocnice v Brně</t>
  </si>
  <si>
    <t>Intenzivní péče - rezidenční místa - Úrazová nemocnice v Brně</t>
  </si>
  <si>
    <t>Ošetřovatelská péče v chirurgických oborech - rezidenční místa - Úrazová nemocnice v Brně</t>
  </si>
  <si>
    <t>Brno -  Řečkovice a Mokrá Hora - rekonstr. kotelny ZŠ Brno, Horácké nám. 13, pracov. Úprkova</t>
  </si>
  <si>
    <t xml:space="preserve">Brno - Maloměřice a Obřany - rekreační a odpočinková plocha u řeky </t>
  </si>
  <si>
    <t>Brno - sever - rekonstrukce oken nebytového prostoru objektu Vranovská 4</t>
  </si>
  <si>
    <t>ZŠ Gajdošova 3 - Podpora výuky angličtiny matodou CLIL na 1. stupni ZŠ</t>
  </si>
  <si>
    <t>TIC - realizace projektu Celoroční výstavní činnost Galerií TIC v roce 2014</t>
  </si>
  <si>
    <t>Brno - Líšeň - úprava dětského hřiště  a zahrady -  MŠ Trnkova 81</t>
  </si>
  <si>
    <t>Brno - Líšeň - úprava dětského hřiště  a zahrady -  MŠ Pohádka Bratří Pelíšků 1</t>
  </si>
  <si>
    <t>Brno - Líšeň - úprava dětského hřiště a zahrada - MŠ Pohádka Bratří pelíšků 1</t>
  </si>
  <si>
    <t xml:space="preserve">Brno - sever - požární technika a věcné prostředky pro JSDH </t>
  </si>
  <si>
    <t>Brno - sever - požární technika a věcné prostředky pro JSDH</t>
  </si>
  <si>
    <t>Brno - Černovice - nákup věcných prostředků požární techniky</t>
  </si>
  <si>
    <t>Brno - Komín - nákup přetlakových vzduchových dýchacích přístrojů vč. příslušenství</t>
  </si>
  <si>
    <t>Brno - Královo Pole - výstroj a výzbroj JSDH</t>
  </si>
  <si>
    <t>Brno - Líšeň - úprava děts. hřiště a zahrady v přírod.stylu - MŠ Puchýřova 13</t>
  </si>
  <si>
    <t>Brno - Žebětín - oprava vozidla CAS 32 T 815</t>
  </si>
  <si>
    <t>Brno - Bystrc - zateplení MŠ Kachlíkova 21</t>
  </si>
  <si>
    <t>Brno - Maloměřice a Obřany - na zlepšení materiálně-technického vybavení JSDH</t>
  </si>
  <si>
    <t>Brno - Bosonohy - aktivní politika zaměstnanosti</t>
  </si>
  <si>
    <t>Brno - Žabovřesky - aktivní politika zaměstnanosti</t>
  </si>
  <si>
    <t xml:space="preserve">Brno - Žebětín - aktivní politika zaměstnanosti </t>
  </si>
  <si>
    <t>Nízkoprahové centrum v parku Hvězdička</t>
  </si>
  <si>
    <t>Úprava zahrady v přírodníém stylu - MŠ Veslařská</t>
  </si>
  <si>
    <t>Rekonstrukce objektu Hlídka 4</t>
  </si>
  <si>
    <t>Zateplení ZŠ Absolonova</t>
  </si>
  <si>
    <t>Zateplení MŠ Měříčkova</t>
  </si>
  <si>
    <t>Národní divadlo Brno - Janáček Brno 2014</t>
  </si>
  <si>
    <t>Filharmonie Brno  - vlastní umělecká činnost</t>
  </si>
  <si>
    <t>ZŠ Antonínská 3 - školní firmy</t>
  </si>
  <si>
    <t xml:space="preserve">Brno - Žebětín - vybudování přírodního hřiště MŠ Žabka </t>
  </si>
  <si>
    <t>Brno - Chrlice - věcné vybavení neinvestiční povahy JSDH</t>
  </si>
  <si>
    <t>Zateplení SVČ Stamicova</t>
  </si>
  <si>
    <t>Národní divadlo Brno - Festival Janáček Brno 2014</t>
  </si>
  <si>
    <t>Národní divadlo Brno - činoherní festival Trialog 2014</t>
  </si>
  <si>
    <t>Národní divadlo Brno - podpora dostupnosti NDB v JMK</t>
  </si>
  <si>
    <t>Brno - Nový Lískovec - zateplení MŠ Rybnická 45</t>
  </si>
  <si>
    <t>Zateplení MŠ Hněvkovského</t>
  </si>
  <si>
    <t>Zateplení MŠ Škrétova</t>
  </si>
  <si>
    <t>Sportovní areál lokalita Hněvkovského</t>
  </si>
  <si>
    <t>Úhrada ztráty vzniklé poskytováním žákovského jízdného</t>
  </si>
  <si>
    <t>Brno - Řečkovice  - regenerace panelového sídliště</t>
  </si>
  <si>
    <t>Státní příspěvek na výkon pěstounské péče - vratka</t>
  </si>
  <si>
    <t>Asistent prevence kriminality II</t>
  </si>
  <si>
    <t>ZOO Brno - expozice klokanů</t>
  </si>
  <si>
    <t>Městské divadlo Brno - na vlastní uměleckou činnost</t>
  </si>
  <si>
    <t>Vratka části dotace na projekt Asistent prevence kriminality IV</t>
  </si>
  <si>
    <t>ÚSES Chrlice</t>
  </si>
  <si>
    <t>Lokální biokoridor Medlánky - letiště</t>
  </si>
  <si>
    <t>Biokoridor Bosonožský hájek a k ulici Dlážděná</t>
  </si>
  <si>
    <t>Realizace skladebných částí ÚSES - interakční prvek V Zátiší</t>
  </si>
  <si>
    <t>Rekonstrukce parku Lužánky - V. etapa</t>
  </si>
  <si>
    <t>Část regionálního biocentra Ráječek</t>
  </si>
  <si>
    <t xml:space="preserve">Regionální biocentrum Stará řeka </t>
  </si>
  <si>
    <t>Úprava zeleně na ulicích Okrouhlá, Vedlejší, Pod Nemocnicí</t>
  </si>
  <si>
    <t>Zvýšení kvality života klientů Domova pro seniory Foltýnova</t>
  </si>
  <si>
    <t>Zateplení ZŠ Svážná</t>
  </si>
  <si>
    <t>Zateplení ZŠ Měřičkova</t>
  </si>
  <si>
    <t>Zateplení ZŠ Přemyslovo nám.</t>
  </si>
  <si>
    <t>Zateplení ZŠ Úvoz</t>
  </si>
  <si>
    <t>Zateplení ZŠ Vedlejší</t>
  </si>
  <si>
    <t>Zateplení ZŠ Labská</t>
  </si>
  <si>
    <t xml:space="preserve">Rekonstrukce objektu Hlídka 4 </t>
  </si>
  <si>
    <t>ZŠ Sirotkova 36 - Matematicko-fyzikální cvičiště</t>
  </si>
  <si>
    <t>Expozice orlů</t>
  </si>
  <si>
    <t>a ze zahraničí k 31.12.2014</t>
  </si>
  <si>
    <t>Zateplení ZŠ Blažkova</t>
  </si>
  <si>
    <t>Brno - Bystrc - zateplení MŠ Kachlíkova 19</t>
  </si>
  <si>
    <t>Brno - Nový Lískovec - zateplení MŠ Čtvrtě</t>
  </si>
  <si>
    <t>Rezidenční místa pro chirurgii - Úrazová nemocnice v Brně</t>
  </si>
  <si>
    <t>Brno - Ořešín - revitalitace údolní nivy Rakoveckého potoka</t>
  </si>
  <si>
    <t>Brno - Tuřany - výdaje na akceschopnost JSDH</t>
  </si>
  <si>
    <t>Brno - Slatina - výdaje na akceschopnost JSDH</t>
  </si>
  <si>
    <t>Brno - Jehnice - výdaje na akceschopnost JSDH</t>
  </si>
  <si>
    <t>Brno - Bohunice - výdaje na akceschopnost JSDH</t>
  </si>
  <si>
    <t>Brno - Královo Pole - výdaje na akceschopnost JSDH</t>
  </si>
  <si>
    <t>Brno - Vinohrady - zateplení MŠ Prušánecká</t>
  </si>
  <si>
    <t xml:space="preserve">Brno - Vinohrady - zateplení MŠ Bořetická </t>
  </si>
  <si>
    <t>Brno - Chrlice - výdaje na akceschopnost JSDH</t>
  </si>
  <si>
    <t>Brno - Komín - výdaje na akceschopnost JSDH</t>
  </si>
  <si>
    <t>Brno - Maloměřice a Obřany - výdaje na akceschopnost JSDH</t>
  </si>
  <si>
    <t>Brno - Černovice - výdaje na akceschopnost JSDH</t>
  </si>
  <si>
    <t>Brno - Jundrov - výdaje na akceschopnost JSDH</t>
  </si>
  <si>
    <t>Brno - Židenice - výdaje na akceschopnost JSDH</t>
  </si>
  <si>
    <t>Brno - sever - výdaje na akceschopnost JSDH</t>
  </si>
  <si>
    <t>Brno - Útěchov - výdaje na akceschopnost JSDH</t>
  </si>
  <si>
    <t>Brno - Žebětín - výdaje na akceschopnost JSDH</t>
  </si>
  <si>
    <t>Brno - Královo Pole - zateplení fasády tělocvičny ZŠ Slovanské nám. 2</t>
  </si>
  <si>
    <t>Brno - Medlánky - rekonstrukce Zámeckého parku</t>
  </si>
  <si>
    <t>Brno - Kohoutovice - regenerace panelového sídliště</t>
  </si>
  <si>
    <t xml:space="preserve"> - rozdíl oproti sharepointu</t>
  </si>
  <si>
    <t>Brno - Ořešín - revitalizace údolní nivy Rakoveckého potoka</t>
  </si>
  <si>
    <t>Brno - Vinohrady - snížení energetické náročnosti objektu jídelny na ul. Bzenecká</t>
  </si>
  <si>
    <t>Brno - Vinohrady - snížení energetické náročnosti objektu MŠ Velkopavlovická</t>
  </si>
  <si>
    <t>Výsadba izolační zeleně - Žarošická, Jedovnická a Novolíšeňská</t>
  </si>
  <si>
    <t>Brno - Líšeň - úprava dětského hřiště a zahrady - MŠ Synkova 24</t>
  </si>
  <si>
    <t xml:space="preserve">Brno - Útěchov - nákup chybějících věcných prostředků požární techniky </t>
  </si>
  <si>
    <t>Brno - Útěchov - nákup chybějících věcných prostředků požární techniky</t>
  </si>
  <si>
    <t>Brno - Slatina - úprava děts. hřiště a zahrady v přírod.stylu - MŠ Jihomoravské nám. 5</t>
  </si>
  <si>
    <t>Brno - Řečkovice a Mokrá Hora - stavební úpravy MŠ Tumaňanova</t>
  </si>
  <si>
    <t>Brno - Židenice - dotace na úhradu nákladů v souvislosti s azylovým zařízením</t>
  </si>
  <si>
    <t>Úprava zahrady v přírodním stylu - MŠ Veslařská</t>
  </si>
  <si>
    <t>Brno - Líšeň - úprava dětského hřiště a zahrada - MŠ Pohádka Bratří Pelíšků 1</t>
  </si>
  <si>
    <t>a ze zahraničí k 31.12.2014 - MMB</t>
  </si>
  <si>
    <t>Muzeum města Brna - Najdi Špilberk</t>
  </si>
  <si>
    <t>DS Foltýnova - Zvýšení kvality života klientů Domova pro seniory Foltýnova</t>
  </si>
  <si>
    <t>Bez finančního vypořádání jsou dotace z Regionální rady regionu soudržnosti JV.</t>
  </si>
  <si>
    <t>Dotace na zajištění výdajů v souvislosti s konáním voleb do EP (23.5. a 24.5.)</t>
  </si>
  <si>
    <r>
      <t xml:space="preserve">Je-li v identifikaci transferu samostatně uveden název p.o., jedná se o průtokovou dotaci </t>
    </r>
    <r>
      <rPr>
        <sz val="12"/>
        <rFont val="Times New Roman"/>
        <family val="1"/>
        <charset val="238"/>
      </rPr>
      <t>(př. ZŠ Tuháčkova 25 - Příroda a my)</t>
    </r>
  </si>
  <si>
    <t xml:space="preserve">Knihovna Jiřího Mahena - Lékotéka - hračky a pomůcky pro děti se spec. vzděl. potřebami </t>
  </si>
  <si>
    <t>Muzeum města Brna - pam. obnova vily Tugendhat - publicistika s rozhovory a komentářem</t>
  </si>
  <si>
    <t>ZŠ a MŠ, nám. 28. října 22 - Rovné příležitosti ke vzděl. pro romské žáky v inkluzivní škole</t>
  </si>
  <si>
    <t>Procesní optimalizace, implementace projektového řízení a monitoring spokojenosti uživatelů služeb na TSB</t>
  </si>
  <si>
    <t>DS Vychodilova - dar na pořízení vybavení pro trénink pohybových a mozkových funkcí klientů</t>
  </si>
  <si>
    <t>ZŠ a MŠ Blanenská 1 - Sport prostředek komunikace a porozumění - partnerství v regionu CENTROPE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</si>
</sst>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č&quot;_-;\-* #,##0.00\ &quot;Kč&quot;_-;_-* &quot;-&quot;??\ &quot;Kč&quot;_-;_-@_-"/>
    <numFmt numFmtId="164" formatCode="#,##0.000000"/>
    <numFmt numFmtId="165" formatCode="_-* #,##0.00\ [$Kč-405]_-;\-* #,##0.00\ [$Kč-405]_-;_-* &quot;-&quot;??\ [$Kč-405]_-;_-@_-"/>
    <numFmt numFmtId="166" formatCode="_(&quot;Kč&quot;* #,##0.00_);_(&quot;Kč&quot;* \(#,##0.00\);_(&quot;Kč&quot;* &quot;-&quot;??_);_(@_)"/>
    <numFmt numFmtId="167" formatCode="#,##0.000"/>
    <numFmt numFmtId="168" formatCode="0_ ;\-0\ "/>
    <numFmt numFmtId="169" formatCode="#,##0\ &quot;Kč&quot;"/>
  </numFmts>
  <fonts count="59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u/>
      <sz val="1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u/>
      <sz val="8"/>
      <color theme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color rgb="FFFF0000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color indexed="10"/>
      <name val="Times New Roman"/>
      <family val="1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</borders>
  <cellStyleXfs count="1286">
    <xf numFmtId="0" fontId="0" fillId="0" borderId="0"/>
    <xf numFmtId="44" fontId="30" fillId="0" borderId="0" applyFill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165" fontId="32" fillId="0" borderId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0" fontId="15" fillId="7" borderId="7" applyNumberFormat="0" applyAlignment="0" applyProtection="0"/>
    <xf numFmtId="44" fontId="3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" fillId="0" borderId="0"/>
    <xf numFmtId="165" fontId="3" fillId="0" borderId="0"/>
    <xf numFmtId="0" fontId="34" fillId="0" borderId="0"/>
    <xf numFmtId="165" fontId="34" fillId="0" borderId="0"/>
    <xf numFmtId="165" fontId="3" fillId="0" borderId="0"/>
    <xf numFmtId="0" fontId="33" fillId="8" borderId="8" applyNumberFormat="0" applyFont="0" applyAlignment="0" applyProtection="0"/>
    <xf numFmtId="0" fontId="3" fillId="8" borderId="8" applyNumberFormat="0" applyFont="0" applyAlignment="0" applyProtection="0"/>
    <xf numFmtId="0" fontId="33" fillId="8" borderId="8" applyNumberFormat="0" applyFont="0" applyAlignment="0" applyProtection="0"/>
    <xf numFmtId="0" fontId="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3" fillId="8" borderId="8" applyNumberFormat="0" applyFont="0" applyAlignment="0" applyProtection="0"/>
    <xf numFmtId="165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3" fillId="8" borderId="8" applyNumberFormat="0" applyFont="0" applyAlignment="0" applyProtection="0"/>
    <xf numFmtId="0" fontId="3" fillId="8" borderId="8" applyNumberFormat="0" applyFont="0" applyAlignment="0" applyProtection="0"/>
    <xf numFmtId="165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3" fillId="8" borderId="8" applyNumberFormat="0" applyFont="0" applyAlignment="0" applyProtection="0"/>
    <xf numFmtId="0" fontId="3" fillId="8" borderId="8" applyNumberFormat="0" applyFon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1" fillId="5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3" fillId="6" borderId="4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2" fillId="6" borderId="5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5" fontId="2" fillId="0" borderId="0"/>
    <xf numFmtId="44" fontId="2" fillId="0" borderId="0" applyFont="0" applyFill="0" applyBorder="0" applyAlignment="0" applyProtection="0"/>
    <xf numFmtId="165" fontId="34" fillId="0" borderId="0"/>
    <xf numFmtId="44" fontId="34" fillId="0" borderId="0" applyFont="0" applyFill="0" applyBorder="0" applyAlignment="0" applyProtection="0"/>
    <xf numFmtId="165" fontId="2" fillId="8" borderId="8" applyNumberFormat="0" applyFont="0" applyAlignment="0" applyProtection="0"/>
    <xf numFmtId="165" fontId="32" fillId="0" borderId="0" applyFill="0" applyBorder="0" applyAlignment="0" applyProtection="0">
      <alignment vertical="top"/>
      <protection locked="0"/>
    </xf>
    <xf numFmtId="165" fontId="2" fillId="0" borderId="0"/>
    <xf numFmtId="165" fontId="33" fillId="34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2" fillId="10" borderId="0" applyNumberFormat="0" applyBorder="0" applyAlignment="0" applyProtection="0"/>
    <xf numFmtId="165" fontId="33" fillId="35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2" fillId="14" borderId="0" applyNumberFormat="0" applyBorder="0" applyAlignment="0" applyProtection="0"/>
    <xf numFmtId="165" fontId="33" fillId="36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2" fillId="18" borderId="0" applyNumberFormat="0" applyBorder="0" applyAlignment="0" applyProtection="0"/>
    <xf numFmtId="165" fontId="33" fillId="37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2" fillId="22" borderId="0" applyNumberFormat="0" applyBorder="0" applyAlignment="0" applyProtection="0"/>
    <xf numFmtId="165" fontId="33" fillId="38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2" fillId="26" borderId="0" applyNumberFormat="0" applyBorder="0" applyAlignment="0" applyProtection="0"/>
    <xf numFmtId="165" fontId="33" fillId="39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2" fillId="30" borderId="0" applyNumberFormat="0" applyBorder="0" applyAlignment="0" applyProtection="0"/>
    <xf numFmtId="165" fontId="33" fillId="40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2" fillId="11" borderId="0" applyNumberFormat="0" applyBorder="0" applyAlignment="0" applyProtection="0"/>
    <xf numFmtId="165" fontId="33" fillId="41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2" fillId="15" borderId="0" applyNumberFormat="0" applyBorder="0" applyAlignment="0" applyProtection="0"/>
    <xf numFmtId="165" fontId="33" fillId="42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2" fillId="19" borderId="0" applyNumberFormat="0" applyBorder="0" applyAlignment="0" applyProtection="0"/>
    <xf numFmtId="165" fontId="33" fillId="37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2" fillId="23" borderId="0" applyNumberFormat="0" applyBorder="0" applyAlignment="0" applyProtection="0"/>
    <xf numFmtId="165" fontId="33" fillId="40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2" fillId="27" borderId="0" applyNumberFormat="0" applyBorder="0" applyAlignment="0" applyProtection="0"/>
    <xf numFmtId="165" fontId="33" fillId="43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2" fillId="31" borderId="0" applyNumberFormat="0" applyBorder="0" applyAlignment="0" applyProtection="0"/>
    <xf numFmtId="165" fontId="41" fillId="44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19" fillId="12" borderId="0" applyNumberFormat="0" applyBorder="0" applyAlignment="0" applyProtection="0"/>
    <xf numFmtId="165" fontId="41" fillId="41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19" fillId="16" borderId="0" applyNumberFormat="0" applyBorder="0" applyAlignment="0" applyProtection="0"/>
    <xf numFmtId="165" fontId="41" fillId="42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19" fillId="20" borderId="0" applyNumberFormat="0" applyBorder="0" applyAlignment="0" applyProtection="0"/>
    <xf numFmtId="165" fontId="41" fillId="45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19" fillId="24" borderId="0" applyNumberFormat="0" applyBorder="0" applyAlignment="0" applyProtection="0"/>
    <xf numFmtId="165" fontId="41" fillId="46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19" fillId="28" borderId="0" applyNumberFormat="0" applyBorder="0" applyAlignment="0" applyProtection="0"/>
    <xf numFmtId="165" fontId="41" fillId="47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19" fillId="32" borderId="0" applyNumberFormat="0" applyBorder="0" applyAlignment="0" applyProtection="0"/>
    <xf numFmtId="165" fontId="42" fillId="0" borderId="47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18" fillId="0" borderId="9" applyNumberFormat="0" applyFill="0" applyAlignment="0" applyProtection="0"/>
    <xf numFmtId="165" fontId="43" fillId="35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9" fillId="3" borderId="0" applyNumberFormat="0" applyBorder="0" applyAlignment="0" applyProtection="0"/>
    <xf numFmtId="165" fontId="44" fillId="48" borderId="48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165" fontId="15" fillId="7" borderId="7" applyNumberFormat="0" applyAlignment="0" applyProtection="0"/>
    <xf numFmtId="44" fontId="3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45" fillId="0" borderId="49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5" fillId="0" borderId="1" applyNumberFormat="0" applyFill="0" applyAlignment="0" applyProtection="0"/>
    <xf numFmtId="165" fontId="46" fillId="0" borderId="50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6" fillId="0" borderId="2" applyNumberFormat="0" applyFill="0" applyAlignment="0" applyProtection="0"/>
    <xf numFmtId="165" fontId="47" fillId="0" borderId="51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7" fillId="0" borderId="3" applyNumberFormat="0" applyFill="0" applyAlignment="0" applyProtection="0"/>
    <xf numFmtId="165" fontId="4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48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49" fillId="49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10" fillId="4" borderId="0" applyNumberFormat="0" applyBorder="0" applyAlignment="0" applyProtection="0"/>
    <xf numFmtId="165" fontId="2" fillId="0" borderId="0"/>
    <xf numFmtId="165" fontId="2" fillId="0" borderId="0"/>
    <xf numFmtId="165" fontId="34" fillId="0" borderId="0"/>
    <xf numFmtId="165" fontId="2" fillId="0" borderId="0"/>
    <xf numFmtId="165" fontId="34" fillId="50" borderId="52" applyNumberFormat="0" applyFont="0" applyAlignment="0" applyProtection="0"/>
    <xf numFmtId="165" fontId="33" fillId="8" borderId="8" applyNumberFormat="0" applyFont="0" applyAlignment="0" applyProtection="0"/>
    <xf numFmtId="165" fontId="2" fillId="8" borderId="8" applyNumberFormat="0" applyFont="0" applyAlignment="0" applyProtection="0"/>
    <xf numFmtId="165" fontId="33" fillId="8" borderId="8" applyNumberFormat="0" applyFont="0" applyAlignment="0" applyProtection="0"/>
    <xf numFmtId="165" fontId="2" fillId="8" borderId="8" applyNumberFormat="0" applyFont="0" applyAlignment="0" applyProtection="0"/>
    <xf numFmtId="165" fontId="33" fillId="8" borderId="8" applyNumberFormat="0" applyFont="0" applyAlignment="0" applyProtection="0"/>
    <xf numFmtId="165" fontId="33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33" fillId="8" borderId="8" applyNumberFormat="0" applyFont="0" applyAlignment="0" applyProtection="0"/>
    <xf numFmtId="165" fontId="33" fillId="8" borderId="8" applyNumberFormat="0" applyFont="0" applyAlignment="0" applyProtection="0"/>
    <xf numFmtId="165" fontId="33" fillId="8" borderId="8" applyNumberFormat="0" applyFont="0" applyAlignment="0" applyProtection="0"/>
    <xf numFmtId="165" fontId="33" fillId="8" borderId="8" applyNumberFormat="0" applyFont="0" applyAlignment="0" applyProtection="0"/>
    <xf numFmtId="165" fontId="33" fillId="8" borderId="8" applyNumberFormat="0" applyFont="0" applyAlignment="0" applyProtection="0"/>
    <xf numFmtId="165" fontId="33" fillId="8" borderId="8" applyNumberFormat="0" applyFont="0" applyAlignment="0" applyProtection="0"/>
    <xf numFmtId="165" fontId="33" fillId="8" borderId="8" applyNumberFormat="0" applyFont="0" applyAlignment="0" applyProtection="0"/>
    <xf numFmtId="165" fontId="33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33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33" fillId="8" borderId="8" applyNumberFormat="0" applyFont="0" applyAlignment="0" applyProtection="0"/>
    <xf numFmtId="165" fontId="2" fillId="8" borderId="8" applyNumberFormat="0" applyFont="0" applyAlignment="0" applyProtection="0"/>
    <xf numFmtId="165" fontId="50" fillId="0" borderId="53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14" fillId="0" borderId="6" applyNumberFormat="0" applyFill="0" applyAlignment="0" applyProtection="0"/>
    <xf numFmtId="165" fontId="51" fillId="36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8" fillId="2" borderId="0" applyNumberFormat="0" applyBorder="0" applyAlignment="0" applyProtection="0"/>
    <xf numFmtId="165" fontId="52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16" fillId="0" borderId="0" applyNumberFormat="0" applyFill="0" applyBorder="0" applyAlignment="0" applyProtection="0"/>
    <xf numFmtId="165" fontId="53" fillId="39" borderId="5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11" fillId="5" borderId="4" applyNumberFormat="0" applyAlignment="0" applyProtection="0"/>
    <xf numFmtId="165" fontId="54" fillId="51" borderId="5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13" fillId="6" borderId="4" applyNumberFormat="0" applyAlignment="0" applyProtection="0"/>
    <xf numFmtId="165" fontId="55" fillId="51" borderId="5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12" fillId="6" borderId="5" applyNumberFormat="0" applyAlignment="0" applyProtection="0"/>
    <xf numFmtId="165" fontId="56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17" fillId="0" borderId="0" applyNumberFormat="0" applyFill="0" applyBorder="0" applyAlignment="0" applyProtection="0"/>
    <xf numFmtId="165" fontId="41" fillId="52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19" fillId="9" borderId="0" applyNumberFormat="0" applyBorder="0" applyAlignment="0" applyProtection="0"/>
    <xf numFmtId="165" fontId="41" fillId="5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19" fillId="13" borderId="0" applyNumberFormat="0" applyBorder="0" applyAlignment="0" applyProtection="0"/>
    <xf numFmtId="165" fontId="41" fillId="54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19" fillId="17" borderId="0" applyNumberFormat="0" applyBorder="0" applyAlignment="0" applyProtection="0"/>
    <xf numFmtId="165" fontId="41" fillId="45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19" fillId="21" borderId="0" applyNumberFormat="0" applyBorder="0" applyAlignment="0" applyProtection="0"/>
    <xf numFmtId="165" fontId="41" fillId="46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19" fillId="25" borderId="0" applyNumberFormat="0" applyBorder="0" applyAlignment="0" applyProtection="0"/>
    <xf numFmtId="165" fontId="41" fillId="55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19" fillId="29" borderId="0" applyNumberFormat="0" applyBorder="0" applyAlignment="0" applyProtection="0"/>
    <xf numFmtId="165" fontId="2" fillId="10" borderId="0" applyNumberFormat="0" applyBorder="0" applyAlignment="0" applyProtection="0"/>
    <xf numFmtId="165" fontId="2" fillId="14" borderId="0" applyNumberFormat="0" applyBorder="0" applyAlignment="0" applyProtection="0"/>
    <xf numFmtId="165" fontId="2" fillId="18" borderId="0" applyNumberFormat="0" applyBorder="0" applyAlignment="0" applyProtection="0"/>
    <xf numFmtId="165" fontId="2" fillId="22" borderId="0" applyNumberFormat="0" applyBorder="0" applyAlignment="0" applyProtection="0"/>
    <xf numFmtId="165" fontId="2" fillId="26" borderId="0" applyNumberFormat="0" applyBorder="0" applyAlignment="0" applyProtection="0"/>
    <xf numFmtId="165" fontId="2" fillId="30" borderId="0" applyNumberFormat="0" applyBorder="0" applyAlignment="0" applyProtection="0"/>
    <xf numFmtId="165" fontId="2" fillId="11" borderId="0" applyNumberFormat="0" applyBorder="0" applyAlignment="0" applyProtection="0"/>
    <xf numFmtId="165" fontId="2" fillId="15" borderId="0" applyNumberFormat="0" applyBorder="0" applyAlignment="0" applyProtection="0"/>
    <xf numFmtId="165" fontId="2" fillId="19" borderId="0" applyNumberFormat="0" applyBorder="0" applyAlignment="0" applyProtection="0"/>
    <xf numFmtId="165" fontId="2" fillId="23" borderId="0" applyNumberFormat="0" applyBorder="0" applyAlignment="0" applyProtection="0"/>
    <xf numFmtId="165" fontId="2" fillId="27" borderId="0" applyNumberFormat="0" applyBorder="0" applyAlignment="0" applyProtection="0"/>
    <xf numFmtId="165" fontId="2" fillId="31" borderId="0" applyNumberFormat="0" applyBorder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0" borderId="0"/>
    <xf numFmtId="44" fontId="2" fillId="0" borderId="0" applyFont="0" applyFill="0" applyBorder="0" applyAlignment="0" applyProtection="0"/>
    <xf numFmtId="165" fontId="2" fillId="8" borderId="8" applyNumberFormat="0" applyFont="0" applyAlignment="0" applyProtection="0"/>
    <xf numFmtId="165" fontId="2" fillId="0" borderId="0"/>
    <xf numFmtId="44" fontId="2" fillId="0" borderId="0" applyFont="0" applyFill="0" applyBorder="0" applyAlignment="0" applyProtection="0"/>
    <xf numFmtId="165" fontId="2" fillId="8" borderId="8" applyNumberFormat="0" applyFont="0" applyAlignment="0" applyProtection="0"/>
    <xf numFmtId="165" fontId="2" fillId="0" borderId="0"/>
    <xf numFmtId="165" fontId="2" fillId="0" borderId="0"/>
    <xf numFmtId="165" fontId="4" fillId="0" borderId="0" applyNumberFormat="0" applyFill="0" applyBorder="0" applyAlignment="0" applyProtection="0"/>
    <xf numFmtId="165" fontId="5" fillId="0" borderId="1" applyNumberFormat="0" applyFill="0" applyAlignment="0" applyProtection="0"/>
    <xf numFmtId="165" fontId="6" fillId="0" borderId="2" applyNumberFormat="0" applyFill="0" applyAlignment="0" applyProtection="0"/>
    <xf numFmtId="165" fontId="7" fillId="0" borderId="3" applyNumberFormat="0" applyFill="0" applyAlignment="0" applyProtection="0"/>
    <xf numFmtId="165" fontId="7" fillId="0" borderId="0" applyNumberFormat="0" applyFill="0" applyBorder="0" applyAlignment="0" applyProtection="0"/>
    <xf numFmtId="165" fontId="8" fillId="2" borderId="0" applyNumberFormat="0" applyBorder="0" applyAlignment="0" applyProtection="0"/>
    <xf numFmtId="165" fontId="9" fillId="3" borderId="0" applyNumberFormat="0" applyBorder="0" applyAlignment="0" applyProtection="0"/>
    <xf numFmtId="165" fontId="10" fillId="4" borderId="0" applyNumberFormat="0" applyBorder="0" applyAlignment="0" applyProtection="0"/>
    <xf numFmtId="165" fontId="11" fillId="5" borderId="4" applyNumberFormat="0" applyAlignment="0" applyProtection="0"/>
    <xf numFmtId="165" fontId="12" fillId="6" borderId="5" applyNumberFormat="0" applyAlignment="0" applyProtection="0"/>
    <xf numFmtId="165" fontId="13" fillId="6" borderId="4" applyNumberFormat="0" applyAlignment="0" applyProtection="0"/>
    <xf numFmtId="165" fontId="14" fillId="0" borderId="6" applyNumberFormat="0" applyFill="0" applyAlignment="0" applyProtection="0"/>
    <xf numFmtId="165" fontId="15" fillId="7" borderId="7" applyNumberFormat="0" applyAlignment="0" applyProtection="0"/>
    <xf numFmtId="165" fontId="16" fillId="0" borderId="0" applyNumberFormat="0" applyFill="0" applyBorder="0" applyAlignment="0" applyProtection="0"/>
    <xf numFmtId="165" fontId="2" fillId="8" borderId="8" applyNumberFormat="0" applyFont="0" applyAlignment="0" applyProtection="0"/>
    <xf numFmtId="165" fontId="17" fillId="0" borderId="0" applyNumberFormat="0" applyFill="0" applyBorder="0" applyAlignment="0" applyProtection="0"/>
    <xf numFmtId="165" fontId="18" fillId="0" borderId="9" applyNumberFormat="0" applyFill="0" applyAlignment="0" applyProtection="0"/>
    <xf numFmtId="165" fontId="19" fillId="9" borderId="0" applyNumberFormat="0" applyBorder="0" applyAlignment="0" applyProtection="0"/>
    <xf numFmtId="165" fontId="2" fillId="10" borderId="0" applyNumberFormat="0" applyBorder="0" applyAlignment="0" applyProtection="0"/>
    <xf numFmtId="165" fontId="2" fillId="11" borderId="0" applyNumberFormat="0" applyBorder="0" applyAlignment="0" applyProtection="0"/>
    <xf numFmtId="165" fontId="19" fillId="12" borderId="0" applyNumberFormat="0" applyBorder="0" applyAlignment="0" applyProtection="0"/>
    <xf numFmtId="165" fontId="19" fillId="13" borderId="0" applyNumberFormat="0" applyBorder="0" applyAlignment="0" applyProtection="0"/>
    <xf numFmtId="165" fontId="2" fillId="14" borderId="0" applyNumberFormat="0" applyBorder="0" applyAlignment="0" applyProtection="0"/>
    <xf numFmtId="165" fontId="2" fillId="15" borderId="0" applyNumberFormat="0" applyBorder="0" applyAlignment="0" applyProtection="0"/>
    <xf numFmtId="165" fontId="19" fillId="16" borderId="0" applyNumberFormat="0" applyBorder="0" applyAlignment="0" applyProtection="0"/>
    <xf numFmtId="165" fontId="19" fillId="17" borderId="0" applyNumberFormat="0" applyBorder="0" applyAlignment="0" applyProtection="0"/>
    <xf numFmtId="165" fontId="2" fillId="18" borderId="0" applyNumberFormat="0" applyBorder="0" applyAlignment="0" applyProtection="0"/>
    <xf numFmtId="165" fontId="2" fillId="19" borderId="0" applyNumberFormat="0" applyBorder="0" applyAlignment="0" applyProtection="0"/>
    <xf numFmtId="165" fontId="19" fillId="20" borderId="0" applyNumberFormat="0" applyBorder="0" applyAlignment="0" applyProtection="0"/>
    <xf numFmtId="165" fontId="19" fillId="21" borderId="0" applyNumberFormat="0" applyBorder="0" applyAlignment="0" applyProtection="0"/>
    <xf numFmtId="165" fontId="2" fillId="22" borderId="0" applyNumberFormat="0" applyBorder="0" applyAlignment="0" applyProtection="0"/>
    <xf numFmtId="165" fontId="2" fillId="23" borderId="0" applyNumberFormat="0" applyBorder="0" applyAlignment="0" applyProtection="0"/>
    <xf numFmtId="165" fontId="19" fillId="24" borderId="0" applyNumberFormat="0" applyBorder="0" applyAlignment="0" applyProtection="0"/>
    <xf numFmtId="165" fontId="19" fillId="25" borderId="0" applyNumberFormat="0" applyBorder="0" applyAlignment="0" applyProtection="0"/>
    <xf numFmtId="165" fontId="2" fillId="26" borderId="0" applyNumberFormat="0" applyBorder="0" applyAlignment="0" applyProtection="0"/>
    <xf numFmtId="165" fontId="2" fillId="27" borderId="0" applyNumberFormat="0" applyBorder="0" applyAlignment="0" applyProtection="0"/>
    <xf numFmtId="165" fontId="19" fillId="28" borderId="0" applyNumberFormat="0" applyBorder="0" applyAlignment="0" applyProtection="0"/>
    <xf numFmtId="165" fontId="19" fillId="29" borderId="0" applyNumberFormat="0" applyBorder="0" applyAlignment="0" applyProtection="0"/>
    <xf numFmtId="165" fontId="2" fillId="30" borderId="0" applyNumberFormat="0" applyBorder="0" applyAlignment="0" applyProtection="0"/>
    <xf numFmtId="165" fontId="2" fillId="31" borderId="0" applyNumberFormat="0" applyBorder="0" applyAlignment="0" applyProtection="0"/>
    <xf numFmtId="165" fontId="19" fillId="32" borderId="0" applyNumberFormat="0" applyBorder="0" applyAlignment="0" applyProtection="0"/>
    <xf numFmtId="165" fontId="2" fillId="0" borderId="0"/>
    <xf numFmtId="165" fontId="2" fillId="10" borderId="0" applyNumberFormat="0" applyBorder="0" applyAlignment="0" applyProtection="0"/>
    <xf numFmtId="165" fontId="2" fillId="14" borderId="0" applyNumberFormat="0" applyBorder="0" applyAlignment="0" applyProtection="0"/>
    <xf numFmtId="165" fontId="2" fillId="18" borderId="0" applyNumberFormat="0" applyBorder="0" applyAlignment="0" applyProtection="0"/>
    <xf numFmtId="165" fontId="2" fillId="22" borderId="0" applyNumberFormat="0" applyBorder="0" applyAlignment="0" applyProtection="0"/>
    <xf numFmtId="165" fontId="2" fillId="26" borderId="0" applyNumberFormat="0" applyBorder="0" applyAlignment="0" applyProtection="0"/>
    <xf numFmtId="165" fontId="2" fillId="30" borderId="0" applyNumberFormat="0" applyBorder="0" applyAlignment="0" applyProtection="0"/>
    <xf numFmtId="165" fontId="2" fillId="11" borderId="0" applyNumberFormat="0" applyBorder="0" applyAlignment="0" applyProtection="0"/>
    <xf numFmtId="165" fontId="2" fillId="15" borderId="0" applyNumberFormat="0" applyBorder="0" applyAlignment="0" applyProtection="0"/>
    <xf numFmtId="165" fontId="2" fillId="19" borderId="0" applyNumberFormat="0" applyBorder="0" applyAlignment="0" applyProtection="0"/>
    <xf numFmtId="165" fontId="2" fillId="23" borderId="0" applyNumberFormat="0" applyBorder="0" applyAlignment="0" applyProtection="0"/>
    <xf numFmtId="165" fontId="2" fillId="27" borderId="0" applyNumberFormat="0" applyBorder="0" applyAlignment="0" applyProtection="0"/>
    <xf numFmtId="165" fontId="2" fillId="31" borderId="0" applyNumberFormat="0" applyBorder="0" applyAlignment="0" applyProtection="0"/>
    <xf numFmtId="165" fontId="33" fillId="8" borderId="8" applyNumberFormat="0" applyFont="0" applyAlignment="0" applyProtection="0"/>
    <xf numFmtId="165" fontId="33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0" borderId="0"/>
    <xf numFmtId="165" fontId="2" fillId="10" borderId="0" applyNumberFormat="0" applyBorder="0" applyAlignment="0" applyProtection="0"/>
    <xf numFmtId="165" fontId="2" fillId="14" borderId="0" applyNumberFormat="0" applyBorder="0" applyAlignment="0" applyProtection="0"/>
    <xf numFmtId="165" fontId="2" fillId="18" borderId="0" applyNumberFormat="0" applyBorder="0" applyAlignment="0" applyProtection="0"/>
    <xf numFmtId="165" fontId="2" fillId="22" borderId="0" applyNumberFormat="0" applyBorder="0" applyAlignment="0" applyProtection="0"/>
    <xf numFmtId="165" fontId="2" fillId="26" borderId="0" applyNumberFormat="0" applyBorder="0" applyAlignment="0" applyProtection="0"/>
    <xf numFmtId="165" fontId="2" fillId="30" borderId="0" applyNumberFormat="0" applyBorder="0" applyAlignment="0" applyProtection="0"/>
    <xf numFmtId="165" fontId="2" fillId="11" borderId="0" applyNumberFormat="0" applyBorder="0" applyAlignment="0" applyProtection="0"/>
    <xf numFmtId="165" fontId="2" fillId="15" borderId="0" applyNumberFormat="0" applyBorder="0" applyAlignment="0" applyProtection="0"/>
    <xf numFmtId="165" fontId="2" fillId="19" borderId="0" applyNumberFormat="0" applyBorder="0" applyAlignment="0" applyProtection="0"/>
    <xf numFmtId="165" fontId="2" fillId="23" borderId="0" applyNumberFormat="0" applyBorder="0" applyAlignment="0" applyProtection="0"/>
    <xf numFmtId="165" fontId="2" fillId="27" borderId="0" applyNumberFormat="0" applyBorder="0" applyAlignment="0" applyProtection="0"/>
    <xf numFmtId="165" fontId="2" fillId="31" borderId="0" applyNumberFormat="0" applyBorder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165" fontId="2" fillId="8" borderId="8" applyNumberFormat="0" applyFont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9" fillId="32" borderId="0" applyNumberFormat="0" applyBorder="0" applyAlignment="0" applyProtection="0"/>
    <xf numFmtId="165" fontId="2" fillId="0" borderId="0"/>
    <xf numFmtId="44" fontId="2" fillId="0" borderId="0" applyFont="0" applyFill="0" applyBorder="0" applyAlignment="0" applyProtection="0"/>
    <xf numFmtId="165" fontId="2" fillId="8" borderId="8" applyNumberFormat="0" applyFont="0" applyAlignment="0" applyProtection="0"/>
    <xf numFmtId="165" fontId="2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164" fontId="21" fillId="33" borderId="0" xfId="0" applyNumberFormat="1" applyFont="1" applyFill="1"/>
    <xf numFmtId="4" fontId="21" fillId="33" borderId="0" xfId="0" applyNumberFormat="1" applyFont="1" applyFill="1"/>
    <xf numFmtId="14" fontId="22" fillId="33" borderId="10" xfId="0" applyNumberFormat="1" applyFont="1" applyFill="1" applyBorder="1" applyAlignment="1">
      <alignment horizontal="right"/>
    </xf>
    <xf numFmtId="4" fontId="22" fillId="33" borderId="10" xfId="0" applyNumberFormat="1" applyFont="1" applyFill="1" applyBorder="1" applyAlignment="1">
      <alignment horizontal="center"/>
    </xf>
    <xf numFmtId="4" fontId="23" fillId="33" borderId="10" xfId="0" applyNumberFormat="1" applyFont="1" applyFill="1" applyBorder="1" applyAlignment="1">
      <alignment horizontal="center"/>
    </xf>
    <xf numFmtId="1" fontId="22" fillId="33" borderId="12" xfId="0" applyNumberFormat="1" applyFont="1" applyFill="1" applyBorder="1" applyAlignment="1">
      <alignment horizontal="center"/>
    </xf>
    <xf numFmtId="4" fontId="21" fillId="33" borderId="0" xfId="0" applyNumberFormat="1" applyFont="1" applyFill="1" applyBorder="1"/>
    <xf numFmtId="14" fontId="22" fillId="33" borderId="13" xfId="0" applyNumberFormat="1" applyFont="1" applyFill="1" applyBorder="1" applyAlignment="1">
      <alignment horizontal="center"/>
    </xf>
    <xf numFmtId="4" fontId="22" fillId="33" borderId="13" xfId="0" applyNumberFormat="1" applyFont="1" applyFill="1" applyBorder="1" applyAlignment="1">
      <alignment horizontal="center"/>
    </xf>
    <xf numFmtId="4" fontId="23" fillId="33" borderId="13" xfId="0" applyNumberFormat="1" applyFont="1" applyFill="1" applyBorder="1" applyAlignment="1">
      <alignment horizontal="center"/>
    </xf>
    <xf numFmtId="1" fontId="22" fillId="33" borderId="15" xfId="0" applyNumberFormat="1" applyFont="1" applyFill="1" applyBorder="1" applyAlignment="1">
      <alignment horizontal="center"/>
    </xf>
    <xf numFmtId="14" fontId="21" fillId="33" borderId="16" xfId="0" applyNumberFormat="1" applyFont="1" applyFill="1" applyBorder="1" applyAlignment="1">
      <alignment horizontal="right"/>
    </xf>
    <xf numFmtId="4" fontId="24" fillId="33" borderId="17" xfId="0" applyNumberFormat="1" applyFont="1" applyFill="1" applyBorder="1" applyAlignment="1">
      <alignment vertical="center"/>
    </xf>
    <xf numFmtId="4" fontId="24" fillId="33" borderId="18" xfId="0" applyNumberFormat="1" applyFont="1" applyFill="1" applyBorder="1" applyAlignment="1">
      <alignment vertical="center"/>
    </xf>
    <xf numFmtId="4" fontId="25" fillId="33" borderId="18" xfId="0" applyNumberFormat="1" applyFont="1" applyFill="1" applyBorder="1" applyAlignment="1">
      <alignment vertical="center"/>
    </xf>
    <xf numFmtId="1" fontId="22" fillId="33" borderId="19" xfId="0" applyNumberFormat="1" applyFont="1" applyFill="1" applyBorder="1" applyAlignment="1">
      <alignment horizontal="right"/>
    </xf>
    <xf numFmtId="1" fontId="22" fillId="33" borderId="16" xfId="0" applyNumberFormat="1" applyFont="1" applyFill="1" applyBorder="1" applyAlignment="1">
      <alignment horizontal="right"/>
    </xf>
    <xf numFmtId="4" fontId="22" fillId="33" borderId="0" xfId="0" applyNumberFormat="1" applyFont="1" applyFill="1"/>
    <xf numFmtId="4" fontId="21" fillId="33" borderId="17" xfId="0" applyNumberFormat="1" applyFont="1" applyFill="1" applyBorder="1" applyAlignment="1">
      <alignment vertical="center"/>
    </xf>
    <xf numFmtId="4" fontId="21" fillId="33" borderId="16" xfId="0" applyNumberFormat="1" applyFont="1" applyFill="1" applyBorder="1" applyAlignment="1">
      <alignment vertical="center"/>
    </xf>
    <xf numFmtId="4" fontId="26" fillId="33" borderId="16" xfId="0" applyNumberFormat="1" applyFont="1" applyFill="1" applyBorder="1" applyAlignment="1">
      <alignment vertical="center"/>
    </xf>
    <xf numFmtId="1" fontId="21" fillId="33" borderId="16" xfId="0" applyNumberFormat="1" applyFont="1" applyFill="1" applyBorder="1"/>
    <xf numFmtId="4" fontId="21" fillId="33" borderId="20" xfId="0" applyNumberFormat="1" applyFont="1" applyFill="1" applyBorder="1" applyAlignment="1">
      <alignment vertical="center"/>
    </xf>
    <xf numFmtId="4" fontId="21" fillId="33" borderId="20" xfId="0" applyNumberFormat="1" applyFont="1" applyFill="1" applyBorder="1"/>
    <xf numFmtId="14" fontId="21" fillId="33" borderId="19" xfId="0" applyNumberFormat="1" applyFont="1" applyFill="1" applyBorder="1" applyAlignment="1">
      <alignment horizontal="right"/>
    </xf>
    <xf numFmtId="4" fontId="24" fillId="33" borderId="19" xfId="0" applyNumberFormat="1" applyFont="1" applyFill="1" applyBorder="1"/>
    <xf numFmtId="4" fontId="25" fillId="33" borderId="19" xfId="0" applyNumberFormat="1" applyFont="1" applyFill="1" applyBorder="1"/>
    <xf numFmtId="1" fontId="21" fillId="33" borderId="19" xfId="0" applyNumberFormat="1" applyFont="1" applyFill="1" applyBorder="1"/>
    <xf numFmtId="1" fontId="21" fillId="33" borderId="19" xfId="0" applyNumberFormat="1" applyFont="1" applyFill="1" applyBorder="1" applyAlignment="1">
      <alignment horizontal="right"/>
    </xf>
    <xf numFmtId="4" fontId="24" fillId="33" borderId="19" xfId="0" applyNumberFormat="1" applyFont="1" applyFill="1" applyBorder="1" applyAlignment="1">
      <alignment vertical="center"/>
    </xf>
    <xf numFmtId="4" fontId="25" fillId="33" borderId="19" xfId="0" applyNumberFormat="1" applyFont="1" applyFill="1" applyBorder="1" applyAlignment="1">
      <alignment vertical="center"/>
    </xf>
    <xf numFmtId="0" fontId="27" fillId="33" borderId="20" xfId="0" applyFont="1" applyFill="1" applyBorder="1" applyAlignment="1"/>
    <xf numFmtId="1" fontId="22" fillId="33" borderId="21" xfId="0" applyNumberFormat="1" applyFont="1" applyFill="1" applyBorder="1" applyAlignment="1">
      <alignment horizontal="right"/>
    </xf>
    <xf numFmtId="1" fontId="21" fillId="33" borderId="23" xfId="0" applyNumberFormat="1" applyFont="1" applyFill="1" applyBorder="1" applyAlignment="1">
      <alignment horizontal="right"/>
    </xf>
    <xf numFmtId="1" fontId="21" fillId="33" borderId="23" xfId="0" applyNumberFormat="1" applyFont="1" applyFill="1" applyBorder="1" applyAlignment="1">
      <alignment horizontal="right" vertical="center"/>
    </xf>
    <xf numFmtId="1" fontId="21" fillId="33" borderId="24" xfId="0" applyNumberFormat="1" applyFont="1" applyFill="1" applyBorder="1" applyAlignment="1">
      <alignment horizontal="right"/>
    </xf>
    <xf numFmtId="4" fontId="21" fillId="33" borderId="22" xfId="0" applyNumberFormat="1" applyFont="1" applyFill="1" applyBorder="1" applyAlignment="1">
      <alignment vertical="center"/>
    </xf>
    <xf numFmtId="4" fontId="24" fillId="33" borderId="20" xfId="0" applyNumberFormat="1" applyFont="1" applyFill="1" applyBorder="1"/>
    <xf numFmtId="4" fontId="24" fillId="33" borderId="16" xfId="0" applyNumberFormat="1" applyFont="1" applyFill="1" applyBorder="1" applyAlignment="1">
      <alignment vertical="center"/>
    </xf>
    <xf numFmtId="4" fontId="25" fillId="33" borderId="16" xfId="0" applyNumberFormat="1" applyFont="1" applyFill="1" applyBorder="1" applyAlignment="1">
      <alignment vertical="center"/>
    </xf>
    <xf numFmtId="1" fontId="21" fillId="33" borderId="16" xfId="0" applyNumberFormat="1" applyFont="1" applyFill="1" applyBorder="1" applyAlignment="1">
      <alignment horizontal="right" vertical="center"/>
    </xf>
    <xf numFmtId="4" fontId="28" fillId="33" borderId="0" xfId="0" applyNumberFormat="1" applyFont="1" applyFill="1"/>
    <xf numFmtId="14" fontId="26" fillId="33" borderId="19" xfId="0" applyNumberFormat="1" applyFont="1" applyFill="1" applyBorder="1" applyAlignment="1">
      <alignment horizontal="right"/>
    </xf>
    <xf numFmtId="4" fontId="26" fillId="33" borderId="20" xfId="0" applyNumberFormat="1" applyFont="1" applyFill="1" applyBorder="1" applyAlignment="1">
      <alignment vertical="center"/>
    </xf>
    <xf numFmtId="4" fontId="26" fillId="33" borderId="0" xfId="0" applyNumberFormat="1" applyFont="1" applyFill="1"/>
    <xf numFmtId="4" fontId="21" fillId="33" borderId="19" xfId="0" applyNumberFormat="1" applyFont="1" applyFill="1" applyBorder="1" applyAlignment="1">
      <alignment vertical="center"/>
    </xf>
    <xf numFmtId="4" fontId="26" fillId="33" borderId="19" xfId="0" applyNumberFormat="1" applyFont="1" applyFill="1" applyBorder="1" applyAlignment="1">
      <alignment vertical="center"/>
    </xf>
    <xf numFmtId="1" fontId="21" fillId="33" borderId="16" xfId="0" applyNumberFormat="1" applyFont="1" applyFill="1" applyBorder="1" applyAlignment="1">
      <alignment horizontal="right"/>
    </xf>
    <xf numFmtId="14" fontId="21" fillId="33" borderId="24" xfId="0" applyNumberFormat="1" applyFont="1" applyFill="1" applyBorder="1" applyAlignment="1">
      <alignment horizontal="right"/>
    </xf>
    <xf numFmtId="14" fontId="28" fillId="33" borderId="19" xfId="0" applyNumberFormat="1" applyFont="1" applyFill="1" applyBorder="1" applyAlignment="1">
      <alignment horizontal="right"/>
    </xf>
    <xf numFmtId="1" fontId="28" fillId="33" borderId="19" xfId="0" applyNumberFormat="1" applyFont="1" applyFill="1" applyBorder="1" applyAlignment="1">
      <alignment horizontal="right"/>
    </xf>
    <xf numFmtId="4" fontId="21" fillId="33" borderId="16" xfId="0" applyNumberFormat="1" applyFont="1" applyFill="1" applyBorder="1"/>
    <xf numFmtId="4" fontId="26" fillId="33" borderId="16" xfId="0" applyNumberFormat="1" applyFont="1" applyFill="1" applyBorder="1"/>
    <xf numFmtId="0" fontId="21" fillId="33" borderId="27" xfId="0" applyFont="1" applyFill="1" applyBorder="1" applyAlignment="1"/>
    <xf numFmtId="4" fontId="26" fillId="33" borderId="28" xfId="0" applyNumberFormat="1" applyFont="1" applyFill="1" applyBorder="1"/>
    <xf numFmtId="4" fontId="26" fillId="33" borderId="19" xfId="0" applyNumberFormat="1" applyFont="1" applyFill="1" applyBorder="1"/>
    <xf numFmtId="4" fontId="21" fillId="33" borderId="25" xfId="0" applyNumberFormat="1" applyFont="1" applyFill="1" applyBorder="1" applyAlignment="1">
      <alignment vertical="center"/>
    </xf>
    <xf numFmtId="0" fontId="29" fillId="33" borderId="20" xfId="0" applyFont="1" applyFill="1" applyBorder="1"/>
    <xf numFmtId="4" fontId="28" fillId="33" borderId="19" xfId="0" applyNumberFormat="1" applyFont="1" applyFill="1" applyBorder="1" applyAlignment="1">
      <alignment vertical="center"/>
    </xf>
    <xf numFmtId="1" fontId="28" fillId="33" borderId="19" xfId="0" applyNumberFormat="1" applyFont="1" applyFill="1" applyBorder="1"/>
    <xf numFmtId="4" fontId="28" fillId="33" borderId="17" xfId="0" applyNumberFormat="1" applyFont="1" applyFill="1" applyBorder="1" applyAlignment="1">
      <alignment vertical="center"/>
    </xf>
    <xf numFmtId="1" fontId="21" fillId="33" borderId="24" xfId="0" applyNumberFormat="1" applyFont="1" applyFill="1" applyBorder="1"/>
    <xf numFmtId="1" fontId="28" fillId="33" borderId="16" xfId="0" applyNumberFormat="1" applyFont="1" applyFill="1" applyBorder="1" applyAlignment="1">
      <alignment horizontal="right"/>
    </xf>
    <xf numFmtId="4" fontId="28" fillId="33" borderId="25" xfId="0" applyNumberFormat="1" applyFont="1" applyFill="1" applyBorder="1"/>
    <xf numFmtId="4" fontId="28" fillId="33" borderId="19" xfId="0" applyNumberFormat="1" applyFont="1" applyFill="1" applyBorder="1"/>
    <xf numFmtId="4" fontId="24" fillId="33" borderId="25" xfId="0" applyNumberFormat="1" applyFont="1" applyFill="1" applyBorder="1" applyAlignment="1">
      <alignment vertical="center"/>
    </xf>
    <xf numFmtId="1" fontId="26" fillId="33" borderId="19" xfId="0" applyNumberFormat="1" applyFont="1" applyFill="1" applyBorder="1"/>
    <xf numFmtId="1" fontId="26" fillId="33" borderId="16" xfId="0" applyNumberFormat="1" applyFont="1" applyFill="1" applyBorder="1" applyAlignment="1">
      <alignment horizontal="right"/>
    </xf>
    <xf numFmtId="4" fontId="24" fillId="33" borderId="20" xfId="0" applyNumberFormat="1" applyFont="1" applyFill="1" applyBorder="1" applyAlignment="1">
      <alignment vertical="center"/>
    </xf>
    <xf numFmtId="4" fontId="24" fillId="33" borderId="17" xfId="0" applyNumberFormat="1" applyFont="1" applyFill="1" applyBorder="1"/>
    <xf numFmtId="1" fontId="24" fillId="33" borderId="19" xfId="0" applyNumberFormat="1" applyFont="1" applyFill="1" applyBorder="1"/>
    <xf numFmtId="14" fontId="21" fillId="33" borderId="29" xfId="0" applyNumberFormat="1" applyFont="1" applyFill="1" applyBorder="1" applyAlignment="1">
      <alignment horizontal="right"/>
    </xf>
    <xf numFmtId="4" fontId="21" fillId="33" borderId="30" xfId="0" applyNumberFormat="1" applyFont="1" applyFill="1" applyBorder="1"/>
    <xf numFmtId="4" fontId="21" fillId="33" borderId="29" xfId="0" applyNumberFormat="1" applyFont="1" applyFill="1" applyBorder="1"/>
    <xf numFmtId="4" fontId="26" fillId="33" borderId="29" xfId="0" applyNumberFormat="1" applyFont="1" applyFill="1" applyBorder="1"/>
    <xf numFmtId="1" fontId="21" fillId="33" borderId="29" xfId="0" applyNumberFormat="1" applyFont="1" applyFill="1" applyBorder="1"/>
    <xf numFmtId="1" fontId="21" fillId="33" borderId="29" xfId="0" applyNumberFormat="1" applyFont="1" applyFill="1" applyBorder="1" applyAlignment="1">
      <alignment horizontal="right"/>
    </xf>
    <xf numFmtId="14" fontId="21" fillId="33" borderId="0" xfId="0" applyNumberFormat="1" applyFont="1" applyFill="1" applyBorder="1" applyAlignment="1">
      <alignment horizontal="right"/>
    </xf>
    <xf numFmtId="4" fontId="26" fillId="33" borderId="0" xfId="0" applyNumberFormat="1" applyFont="1" applyFill="1" applyBorder="1"/>
    <xf numFmtId="1" fontId="21" fillId="33" borderId="0" xfId="0" applyNumberFormat="1" applyFont="1" applyFill="1" applyBorder="1"/>
    <xf numFmtId="1" fontId="22" fillId="33" borderId="10" xfId="0" applyNumberFormat="1" applyFont="1" applyFill="1" applyBorder="1" applyAlignment="1">
      <alignment horizontal="center"/>
    </xf>
    <xf numFmtId="1" fontId="22" fillId="33" borderId="13" xfId="0" applyNumberFormat="1" applyFont="1" applyFill="1" applyBorder="1" applyAlignment="1">
      <alignment horizontal="center"/>
    </xf>
    <xf numFmtId="0" fontId="27" fillId="33" borderId="20" xfId="0" applyFont="1" applyFill="1" applyBorder="1" applyAlignment="1">
      <alignment horizontal="left"/>
    </xf>
    <xf numFmtId="4" fontId="28" fillId="33" borderId="16" xfId="0" applyNumberFormat="1" applyFont="1" applyFill="1" applyBorder="1"/>
    <xf numFmtId="1" fontId="28" fillId="33" borderId="16" xfId="0" applyNumberFormat="1" applyFont="1" applyFill="1" applyBorder="1"/>
    <xf numFmtId="4" fontId="26" fillId="33" borderId="16" xfId="0" applyNumberFormat="1" applyFont="1" applyFill="1" applyBorder="1" applyAlignment="1">
      <alignment horizontal="right"/>
    </xf>
    <xf numFmtId="14" fontId="21" fillId="33" borderId="0" xfId="0" applyNumberFormat="1" applyFont="1" applyFill="1" applyAlignment="1">
      <alignment horizontal="right"/>
    </xf>
    <xf numFmtId="1" fontId="21" fillId="33" borderId="0" xfId="0" applyNumberFormat="1" applyFont="1" applyFill="1"/>
    <xf numFmtId="14" fontId="22" fillId="33" borderId="0" xfId="0" applyNumberFormat="1" applyFont="1" applyFill="1" applyBorder="1" applyAlignment="1">
      <alignment horizontal="right"/>
    </xf>
    <xf numFmtId="4" fontId="21" fillId="33" borderId="31" xfId="0" applyNumberFormat="1" applyFont="1" applyFill="1" applyBorder="1"/>
    <xf numFmtId="4" fontId="26" fillId="33" borderId="31" xfId="0" applyNumberFormat="1" applyFont="1" applyFill="1" applyBorder="1"/>
    <xf numFmtId="1" fontId="21" fillId="33" borderId="0" xfId="0" applyNumberFormat="1" applyFont="1" applyFill="1" applyBorder="1" applyAlignment="1">
      <alignment horizontal="right"/>
    </xf>
    <xf numFmtId="14" fontId="22" fillId="33" borderId="32" xfId="0" applyNumberFormat="1" applyFont="1" applyFill="1" applyBorder="1" applyAlignment="1">
      <alignment horizontal="right"/>
    </xf>
    <xf numFmtId="4" fontId="22" fillId="33" borderId="33" xfId="0" applyNumberFormat="1" applyFont="1" applyFill="1" applyBorder="1" applyAlignment="1">
      <alignment horizontal="center"/>
    </xf>
    <xf numFmtId="1" fontId="22" fillId="33" borderId="34" xfId="0" applyNumberFormat="1" applyFont="1" applyFill="1" applyBorder="1" applyAlignment="1">
      <alignment horizontal="center"/>
    </xf>
    <xf numFmtId="4" fontId="22" fillId="33" borderId="32" xfId="0" applyNumberFormat="1" applyFont="1" applyFill="1" applyBorder="1" applyAlignment="1">
      <alignment horizontal="center"/>
    </xf>
    <xf numFmtId="4" fontId="23" fillId="33" borderId="26" xfId="0" applyNumberFormat="1" applyFont="1" applyFill="1" applyBorder="1" applyAlignment="1">
      <alignment horizontal="center"/>
    </xf>
    <xf numFmtId="14" fontId="21" fillId="33" borderId="32" xfId="0" applyNumberFormat="1" applyFont="1" applyFill="1" applyBorder="1" applyAlignment="1">
      <alignment horizontal="right"/>
    </xf>
    <xf numFmtId="4" fontId="21" fillId="33" borderId="21" xfId="0" applyNumberFormat="1" applyFont="1" applyFill="1" applyBorder="1"/>
    <xf numFmtId="1" fontId="21" fillId="33" borderId="34" xfId="0" applyNumberFormat="1" applyFont="1" applyFill="1" applyBorder="1"/>
    <xf numFmtId="1" fontId="21" fillId="33" borderId="34" xfId="0" applyNumberFormat="1" applyFont="1" applyFill="1" applyBorder="1" applyAlignment="1">
      <alignment horizontal="right"/>
    </xf>
    <xf numFmtId="4" fontId="24" fillId="33" borderId="35" xfId="0" applyNumberFormat="1" applyFont="1" applyFill="1" applyBorder="1"/>
    <xf numFmtId="4" fontId="21" fillId="33" borderId="36" xfId="0" applyNumberFormat="1" applyFont="1" applyFill="1" applyBorder="1"/>
    <xf numFmtId="14" fontId="28" fillId="33" borderId="0" xfId="0" applyNumberFormat="1" applyFont="1" applyFill="1" applyAlignment="1">
      <alignment horizontal="right"/>
    </xf>
    <xf numFmtId="1" fontId="28" fillId="33" borderId="0" xfId="0" applyNumberFormat="1" applyFont="1" applyFill="1"/>
    <xf numFmtId="164" fontId="28" fillId="33" borderId="0" xfId="0" applyNumberFormat="1" applyFont="1" applyFill="1"/>
    <xf numFmtId="4" fontId="26" fillId="33" borderId="17" xfId="0" applyNumberFormat="1" applyFont="1" applyFill="1" applyBorder="1" applyAlignment="1">
      <alignment vertical="center"/>
    </xf>
    <xf numFmtId="1" fontId="26" fillId="33" borderId="23" xfId="0" applyNumberFormat="1" applyFont="1" applyFill="1" applyBorder="1" applyAlignment="1">
      <alignment horizontal="right"/>
    </xf>
    <xf numFmtId="4" fontId="21" fillId="33" borderId="0" xfId="0" applyNumberFormat="1" applyFont="1" applyFill="1" applyAlignment="1">
      <alignment horizontal="right"/>
    </xf>
    <xf numFmtId="0" fontId="35" fillId="33" borderId="0" xfId="0" applyNumberFormat="1" applyFont="1" applyFill="1" applyBorder="1" applyAlignment="1" applyProtection="1">
      <alignment vertical="top"/>
    </xf>
    <xf numFmtId="49" fontId="31" fillId="33" borderId="0" xfId="0" applyNumberFormat="1" applyFont="1" applyFill="1" applyBorder="1" applyAlignment="1" applyProtection="1">
      <alignment horizontal="left"/>
      <protection locked="0"/>
    </xf>
    <xf numFmtId="14" fontId="31" fillId="33" borderId="0" xfId="0" applyNumberFormat="1" applyFont="1" applyFill="1" applyBorder="1" applyProtection="1">
      <protection locked="0"/>
    </xf>
    <xf numFmtId="49" fontId="31" fillId="33" borderId="0" xfId="0" applyNumberFormat="1" applyFont="1" applyFill="1" applyBorder="1" applyAlignment="1" applyProtection="1">
      <alignment horizontal="right"/>
      <protection locked="0"/>
    </xf>
    <xf numFmtId="4" fontId="26" fillId="33" borderId="26" xfId="0" applyNumberFormat="1" applyFont="1" applyFill="1" applyBorder="1"/>
    <xf numFmtId="4" fontId="39" fillId="33" borderId="16" xfId="0" applyNumberFormat="1" applyFont="1" applyFill="1" applyBorder="1" applyAlignment="1">
      <alignment vertical="center"/>
    </xf>
    <xf numFmtId="4" fontId="39" fillId="33" borderId="19" xfId="0" applyNumberFormat="1" applyFont="1" applyFill="1" applyBorder="1" applyAlignment="1">
      <alignment vertical="center"/>
    </xf>
    <xf numFmtId="4" fontId="23" fillId="33" borderId="11" xfId="0" applyNumberFormat="1" applyFont="1" applyFill="1" applyBorder="1" applyAlignment="1">
      <alignment horizontal="center"/>
    </xf>
    <xf numFmtId="4" fontId="23" fillId="33" borderId="14" xfId="0" applyNumberFormat="1" applyFont="1" applyFill="1" applyBorder="1" applyAlignment="1">
      <alignment horizontal="center"/>
    </xf>
    <xf numFmtId="165" fontId="31" fillId="33" borderId="0" xfId="0" applyNumberFormat="1" applyFont="1" applyFill="1" applyBorder="1"/>
    <xf numFmtId="4" fontId="21" fillId="33" borderId="0" xfId="0" applyNumberFormat="1" applyFont="1" applyFill="1" applyBorder="1" applyAlignment="1">
      <alignment horizontal="center"/>
    </xf>
    <xf numFmtId="4" fontId="40" fillId="33" borderId="0" xfId="0" applyNumberFormat="1" applyFont="1" applyFill="1" applyBorder="1" applyAlignment="1">
      <alignment horizontal="center"/>
    </xf>
    <xf numFmtId="4" fontId="26" fillId="33" borderId="21" xfId="0" applyNumberFormat="1" applyFont="1" applyFill="1" applyBorder="1"/>
    <xf numFmtId="1" fontId="27" fillId="33" borderId="0" xfId="0" applyNumberFormat="1" applyFont="1" applyFill="1" applyBorder="1" applyAlignment="1">
      <alignment horizontal="center"/>
    </xf>
    <xf numFmtId="167" fontId="27" fillId="33" borderId="0" xfId="0" applyNumberFormat="1" applyFont="1" applyFill="1" applyBorder="1"/>
    <xf numFmtId="1" fontId="27" fillId="33" borderId="38" xfId="0" applyNumberFormat="1" applyFont="1" applyFill="1" applyBorder="1" applyAlignment="1">
      <alignment horizontal="center"/>
    </xf>
    <xf numFmtId="1" fontId="27" fillId="33" borderId="39" xfId="0" applyNumberFormat="1" applyFont="1" applyFill="1" applyBorder="1" applyAlignment="1">
      <alignment horizontal="center"/>
    </xf>
    <xf numFmtId="1" fontId="28" fillId="33" borderId="40" xfId="0" applyNumberFormat="1" applyFont="1" applyFill="1" applyBorder="1"/>
    <xf numFmtId="164" fontId="28" fillId="33" borderId="40" xfId="0" applyNumberFormat="1" applyFont="1" applyFill="1" applyBorder="1"/>
    <xf numFmtId="4" fontId="21" fillId="33" borderId="41" xfId="0" applyNumberFormat="1" applyFont="1" applyFill="1" applyBorder="1"/>
    <xf numFmtId="14" fontId="26" fillId="33" borderId="45" xfId="0" applyNumberFormat="1" applyFont="1" applyFill="1" applyBorder="1" applyAlignment="1">
      <alignment horizontal="right"/>
    </xf>
    <xf numFmtId="164" fontId="21" fillId="33" borderId="45" xfId="0" applyNumberFormat="1" applyFont="1" applyFill="1" applyBorder="1"/>
    <xf numFmtId="164" fontId="21" fillId="33" borderId="46" xfId="0" applyNumberFormat="1" applyFont="1" applyFill="1" applyBorder="1"/>
    <xf numFmtId="14" fontId="21" fillId="33" borderId="45" xfId="0" applyNumberFormat="1" applyFont="1" applyFill="1" applyBorder="1" applyAlignment="1">
      <alignment horizontal="right"/>
    </xf>
    <xf numFmtId="4" fontId="21" fillId="33" borderId="43" xfId="0" applyNumberFormat="1" applyFont="1" applyFill="1" applyBorder="1" applyAlignment="1">
      <alignment horizontal="right"/>
    </xf>
    <xf numFmtId="4" fontId="21" fillId="33" borderId="37" xfId="0" applyNumberFormat="1" applyFont="1" applyFill="1" applyBorder="1" applyAlignment="1">
      <alignment horizontal="right"/>
    </xf>
    <xf numFmtId="167" fontId="21" fillId="33" borderId="43" xfId="0" applyNumberFormat="1" applyFont="1" applyFill="1" applyBorder="1"/>
    <xf numFmtId="167" fontId="21" fillId="33" borderId="37" xfId="0" applyNumberFormat="1" applyFont="1" applyFill="1" applyBorder="1"/>
    <xf numFmtId="167" fontId="21" fillId="33" borderId="40" xfId="0" applyNumberFormat="1" applyFont="1" applyFill="1" applyBorder="1"/>
    <xf numFmtId="167" fontId="29" fillId="33" borderId="0" xfId="0" applyNumberFormat="1" applyFont="1" applyFill="1" applyBorder="1"/>
    <xf numFmtId="4" fontId="26" fillId="33" borderId="43" xfId="0" applyNumberFormat="1" applyFont="1" applyFill="1" applyBorder="1"/>
    <xf numFmtId="4" fontId="26" fillId="33" borderId="37" xfId="0" applyNumberFormat="1" applyFont="1" applyFill="1" applyBorder="1"/>
    <xf numFmtId="167" fontId="26" fillId="33" borderId="37" xfId="0" applyNumberFormat="1" applyFont="1" applyFill="1" applyBorder="1"/>
    <xf numFmtId="167" fontId="26" fillId="33" borderId="40" xfId="0" applyNumberFormat="1" applyFont="1" applyFill="1" applyBorder="1"/>
    <xf numFmtId="0" fontId="0" fillId="33" borderId="42" xfId="0" applyFill="1" applyBorder="1"/>
    <xf numFmtId="0" fontId="0" fillId="33" borderId="38" xfId="0" applyFill="1" applyBorder="1"/>
    <xf numFmtId="4" fontId="39" fillId="33" borderId="0" xfId="0" applyNumberFormat="1" applyFont="1" applyFill="1"/>
    <xf numFmtId="1" fontId="21" fillId="33" borderId="23" xfId="0" applyNumberFormat="1" applyFont="1" applyFill="1" applyBorder="1"/>
    <xf numFmtId="4" fontId="27" fillId="33" borderId="0" xfId="0" applyNumberFormat="1" applyFont="1" applyFill="1" applyBorder="1" applyAlignment="1">
      <alignment horizontal="center"/>
    </xf>
    <xf numFmtId="1" fontId="21" fillId="33" borderId="21" xfId="0" applyNumberFormat="1" applyFont="1" applyFill="1" applyBorder="1"/>
    <xf numFmtId="4" fontId="26" fillId="33" borderId="24" xfId="0" applyNumberFormat="1" applyFont="1" applyFill="1" applyBorder="1" applyAlignment="1">
      <alignment vertical="center"/>
    </xf>
    <xf numFmtId="4" fontId="26" fillId="33" borderId="56" xfId="0" applyNumberFormat="1" applyFont="1" applyFill="1" applyBorder="1"/>
    <xf numFmtId="4" fontId="26" fillId="33" borderId="57" xfId="0" applyNumberFormat="1" applyFont="1" applyFill="1" applyBorder="1"/>
    <xf numFmtId="1" fontId="22" fillId="33" borderId="0" xfId="0" applyNumberFormat="1" applyFont="1" applyFill="1" applyBorder="1" applyAlignment="1">
      <alignment horizontal="center"/>
    </xf>
    <xf numFmtId="4" fontId="20" fillId="33" borderId="0" xfId="0" applyNumberFormat="1" applyFont="1" applyFill="1" applyBorder="1" applyAlignment="1">
      <alignment horizontal="center"/>
    </xf>
    <xf numFmtId="49" fontId="31" fillId="33" borderId="0" xfId="0" applyNumberFormat="1" applyFont="1" applyFill="1" applyBorder="1" applyProtection="1">
      <protection locked="0"/>
    </xf>
    <xf numFmtId="168" fontId="31" fillId="33" borderId="0" xfId="0" applyNumberFormat="1" applyFont="1" applyFill="1" applyBorder="1" applyAlignment="1" applyProtection="1">
      <alignment horizontal="right"/>
      <protection locked="0"/>
    </xf>
    <xf numFmtId="169" fontId="36" fillId="33" borderId="0" xfId="1" applyNumberFormat="1" applyFont="1" applyFill="1" applyBorder="1" applyProtection="1">
      <protection locked="0"/>
    </xf>
    <xf numFmtId="4" fontId="20" fillId="33" borderId="0" xfId="0" applyNumberFormat="1" applyFont="1" applyFill="1" applyBorder="1" applyAlignment="1">
      <alignment horizontal="center"/>
    </xf>
    <xf numFmtId="4" fontId="21" fillId="33" borderId="44" xfId="0" applyNumberFormat="1" applyFont="1" applyFill="1" applyBorder="1"/>
    <xf numFmtId="4" fontId="20" fillId="33" borderId="0" xfId="0" applyNumberFormat="1" applyFont="1" applyFill="1" applyBorder="1" applyAlignment="1">
      <alignment horizontal="center"/>
    </xf>
    <xf numFmtId="4" fontId="57" fillId="33" borderId="0" xfId="0" applyNumberFormat="1" applyFont="1" applyFill="1"/>
    <xf numFmtId="4" fontId="58" fillId="33" borderId="0" xfId="0" applyNumberFormat="1" applyFont="1" applyFill="1"/>
    <xf numFmtId="4" fontId="26" fillId="33" borderId="17" xfId="0" applyNumberFormat="1" applyFont="1" applyFill="1" applyBorder="1" applyAlignment="1">
      <alignment vertical="center" shrinkToFit="1"/>
    </xf>
    <xf numFmtId="4" fontId="21" fillId="33" borderId="17" xfId="0" applyNumberFormat="1" applyFont="1" applyFill="1" applyBorder="1" applyAlignment="1">
      <alignment vertical="center" wrapText="1"/>
    </xf>
    <xf numFmtId="4" fontId="21" fillId="33" borderId="20" xfId="0" applyNumberFormat="1" applyFont="1" applyFill="1" applyBorder="1" applyAlignment="1">
      <alignment wrapText="1"/>
    </xf>
    <xf numFmtId="4" fontId="21" fillId="33" borderId="20" xfId="0" applyNumberFormat="1" applyFont="1" applyFill="1" applyBorder="1" applyAlignment="1">
      <alignment shrinkToFit="1"/>
    </xf>
    <xf numFmtId="4" fontId="21" fillId="33" borderId="26" xfId="0" applyNumberFormat="1" applyFont="1" applyFill="1" applyBorder="1"/>
    <xf numFmtId="4" fontId="26" fillId="33" borderId="58" xfId="0" applyNumberFormat="1" applyFont="1" applyFill="1" applyBorder="1"/>
    <xf numFmtId="1" fontId="21" fillId="33" borderId="26" xfId="0" applyNumberFormat="1" applyFont="1" applyFill="1" applyBorder="1" applyAlignment="1">
      <alignment horizontal="right"/>
    </xf>
    <xf numFmtId="4" fontId="26" fillId="33" borderId="59" xfId="0" applyNumberFormat="1" applyFont="1" applyFill="1" applyBorder="1"/>
    <xf numFmtId="4" fontId="21" fillId="33" borderId="25" xfId="0" applyNumberFormat="1" applyFont="1" applyFill="1" applyBorder="1"/>
    <xf numFmtId="4" fontId="21" fillId="33" borderId="19" xfId="0" applyNumberFormat="1" applyFont="1" applyFill="1" applyBorder="1"/>
    <xf numFmtId="1" fontId="21" fillId="33" borderId="26" xfId="0" applyNumberFormat="1" applyFont="1" applyFill="1" applyBorder="1"/>
    <xf numFmtId="4" fontId="20" fillId="33" borderId="0" xfId="0" applyNumberFormat="1" applyFont="1" applyFill="1" applyBorder="1" applyAlignment="1">
      <alignment horizontal="center"/>
    </xf>
  </cellXfs>
  <cellStyles count="1286">
    <cellStyle name="20 % – Zvýraznění1 10" xfId="2"/>
    <cellStyle name="20 % – Zvýraznění1 10 2" xfId="535"/>
    <cellStyle name="20 % – Zvýraznění1 11" xfId="3"/>
    <cellStyle name="20 % – Zvýraznění1 11 2" xfId="536"/>
    <cellStyle name="20 % – Zvýraznění1 12" xfId="4"/>
    <cellStyle name="20 % – Zvýraznění1 12 2" xfId="537"/>
    <cellStyle name="20 % – Zvýraznění1 13" xfId="5"/>
    <cellStyle name="20 % – Zvýraznění1 13 2" xfId="538"/>
    <cellStyle name="20 % – Zvýraznění1 14" xfId="1095"/>
    <cellStyle name="20 % – Zvýraznění1 15" xfId="1142"/>
    <cellStyle name="20 % – Zvýraznění1 16" xfId="1166"/>
    <cellStyle name="20 % – Zvýraznění1 17" xfId="1190"/>
    <cellStyle name="20 % – Zvýraznění1 18" xfId="1230"/>
    <cellStyle name="20 % – Zvýraznění1 19" xfId="1259"/>
    <cellStyle name="20 % – Zvýraznění1 2" xfId="6"/>
    <cellStyle name="20 % – Zvýraznění1 2 2" xfId="539"/>
    <cellStyle name="20 % – Zvýraznění1 20" xfId="1273"/>
    <cellStyle name="20 % – Zvýraznění1 21" xfId="534"/>
    <cellStyle name="20 % – Zvýraznění1 3" xfId="7"/>
    <cellStyle name="20 % – Zvýraznění1 3 2" xfId="540"/>
    <cellStyle name="20 % – Zvýraznění1 4" xfId="8"/>
    <cellStyle name="20 % – Zvýraznění1 4 2" xfId="541"/>
    <cellStyle name="20 % – Zvýraznění1 5" xfId="9"/>
    <cellStyle name="20 % – Zvýraznění1 5 2" xfId="542"/>
    <cellStyle name="20 % – Zvýraznění1 6" xfId="10"/>
    <cellStyle name="20 % – Zvýraznění1 6 2" xfId="543"/>
    <cellStyle name="20 % – Zvýraznění1 7" xfId="11"/>
    <cellStyle name="20 % – Zvýraznění1 7 2" xfId="544"/>
    <cellStyle name="20 % – Zvýraznění1 8" xfId="12"/>
    <cellStyle name="20 % – Zvýraznění1 8 2" xfId="545"/>
    <cellStyle name="20 % – Zvýraznění1 9" xfId="13"/>
    <cellStyle name="20 % – Zvýraznění1 9 2" xfId="546"/>
    <cellStyle name="20 % – Zvýraznění2 10" xfId="14"/>
    <cellStyle name="20 % – Zvýraznění2 10 2" xfId="548"/>
    <cellStyle name="20 % – Zvýraznění2 11" xfId="15"/>
    <cellStyle name="20 % – Zvýraznění2 11 2" xfId="549"/>
    <cellStyle name="20 % – Zvýraznění2 12" xfId="16"/>
    <cellStyle name="20 % – Zvýraznění2 12 2" xfId="550"/>
    <cellStyle name="20 % – Zvýraznění2 13" xfId="17"/>
    <cellStyle name="20 % – Zvýraznění2 13 2" xfId="551"/>
    <cellStyle name="20 % – Zvýraznění2 14" xfId="1096"/>
    <cellStyle name="20 % – Zvýraznění2 15" xfId="1146"/>
    <cellStyle name="20 % – Zvýraznění2 16" xfId="1167"/>
    <cellStyle name="20 % – Zvýraznění2 17" xfId="1191"/>
    <cellStyle name="20 % – Zvýraznění2 18" xfId="1234"/>
    <cellStyle name="20 % – Zvýraznění2 19" xfId="1261"/>
    <cellStyle name="20 % – Zvýraznění2 2" xfId="18"/>
    <cellStyle name="20 % – Zvýraznění2 2 2" xfId="552"/>
    <cellStyle name="20 % – Zvýraznění2 20" xfId="1275"/>
    <cellStyle name="20 % – Zvýraznění2 21" xfId="547"/>
    <cellStyle name="20 % – Zvýraznění2 3" xfId="19"/>
    <cellStyle name="20 % – Zvýraznění2 3 2" xfId="553"/>
    <cellStyle name="20 % – Zvýraznění2 4" xfId="20"/>
    <cellStyle name="20 % – Zvýraznění2 4 2" xfId="554"/>
    <cellStyle name="20 % – Zvýraznění2 5" xfId="21"/>
    <cellStyle name="20 % – Zvýraznění2 5 2" xfId="555"/>
    <cellStyle name="20 % – Zvýraznění2 6" xfId="22"/>
    <cellStyle name="20 % – Zvýraznění2 6 2" xfId="556"/>
    <cellStyle name="20 % – Zvýraznění2 7" xfId="23"/>
    <cellStyle name="20 % – Zvýraznění2 7 2" xfId="557"/>
    <cellStyle name="20 % – Zvýraznění2 8" xfId="24"/>
    <cellStyle name="20 % – Zvýraznění2 8 2" xfId="558"/>
    <cellStyle name="20 % – Zvýraznění2 9" xfId="25"/>
    <cellStyle name="20 % – Zvýraznění2 9 2" xfId="559"/>
    <cellStyle name="20 % – Zvýraznění3 10" xfId="26"/>
    <cellStyle name="20 % – Zvýraznění3 10 2" xfId="561"/>
    <cellStyle name="20 % – Zvýraznění3 11" xfId="27"/>
    <cellStyle name="20 % – Zvýraznění3 11 2" xfId="562"/>
    <cellStyle name="20 % – Zvýraznění3 12" xfId="28"/>
    <cellStyle name="20 % – Zvýraznění3 12 2" xfId="563"/>
    <cellStyle name="20 % – Zvýraznění3 13" xfId="29"/>
    <cellStyle name="20 % – Zvýraznění3 13 2" xfId="564"/>
    <cellStyle name="20 % – Zvýraznění3 14" xfId="1097"/>
    <cellStyle name="20 % – Zvýraznění3 15" xfId="1150"/>
    <cellStyle name="20 % – Zvýraznění3 16" xfId="1168"/>
    <cellStyle name="20 % – Zvýraznění3 17" xfId="1192"/>
    <cellStyle name="20 % – Zvýraznění3 18" xfId="1238"/>
    <cellStyle name="20 % – Zvýraznění3 19" xfId="1263"/>
    <cellStyle name="20 % – Zvýraznění3 2" xfId="30"/>
    <cellStyle name="20 % – Zvýraznění3 2 2" xfId="565"/>
    <cellStyle name="20 % – Zvýraznění3 20" xfId="1277"/>
    <cellStyle name="20 % – Zvýraznění3 21" xfId="560"/>
    <cellStyle name="20 % – Zvýraznění3 3" xfId="31"/>
    <cellStyle name="20 % – Zvýraznění3 3 2" xfId="566"/>
    <cellStyle name="20 % – Zvýraznění3 4" xfId="32"/>
    <cellStyle name="20 % – Zvýraznění3 4 2" xfId="567"/>
    <cellStyle name="20 % – Zvýraznění3 5" xfId="33"/>
    <cellStyle name="20 % – Zvýraznění3 5 2" xfId="568"/>
    <cellStyle name="20 % – Zvýraznění3 6" xfId="34"/>
    <cellStyle name="20 % – Zvýraznění3 6 2" xfId="569"/>
    <cellStyle name="20 % – Zvýraznění3 7" xfId="35"/>
    <cellStyle name="20 % – Zvýraznění3 7 2" xfId="570"/>
    <cellStyle name="20 % – Zvýraznění3 8" xfId="36"/>
    <cellStyle name="20 % – Zvýraznění3 8 2" xfId="571"/>
    <cellStyle name="20 % – Zvýraznění3 9" xfId="37"/>
    <cellStyle name="20 % – Zvýraznění3 9 2" xfId="572"/>
    <cellStyle name="20 % – Zvýraznění4 10" xfId="38"/>
    <cellStyle name="20 % – Zvýraznění4 10 2" xfId="574"/>
    <cellStyle name="20 % – Zvýraznění4 11" xfId="39"/>
    <cellStyle name="20 % – Zvýraznění4 11 2" xfId="575"/>
    <cellStyle name="20 % – Zvýraznění4 12" xfId="40"/>
    <cellStyle name="20 % – Zvýraznění4 12 2" xfId="576"/>
    <cellStyle name="20 % – Zvýraznění4 13" xfId="41"/>
    <cellStyle name="20 % – Zvýraznění4 13 2" xfId="577"/>
    <cellStyle name="20 % – Zvýraznění4 14" xfId="1098"/>
    <cellStyle name="20 % – Zvýraznění4 15" xfId="1154"/>
    <cellStyle name="20 % – Zvýraznění4 16" xfId="1169"/>
    <cellStyle name="20 % – Zvýraznění4 17" xfId="1193"/>
    <cellStyle name="20 % – Zvýraznění4 18" xfId="1242"/>
    <cellStyle name="20 % – Zvýraznění4 19" xfId="1265"/>
    <cellStyle name="20 % – Zvýraznění4 2" xfId="42"/>
    <cellStyle name="20 % – Zvýraznění4 2 2" xfId="578"/>
    <cellStyle name="20 % – Zvýraznění4 20" xfId="1279"/>
    <cellStyle name="20 % – Zvýraznění4 21" xfId="573"/>
    <cellStyle name="20 % – Zvýraznění4 3" xfId="43"/>
    <cellStyle name="20 % – Zvýraznění4 3 2" xfId="579"/>
    <cellStyle name="20 % – Zvýraznění4 4" xfId="44"/>
    <cellStyle name="20 % – Zvýraznění4 4 2" xfId="580"/>
    <cellStyle name="20 % – Zvýraznění4 5" xfId="45"/>
    <cellStyle name="20 % – Zvýraznění4 5 2" xfId="581"/>
    <cellStyle name="20 % – Zvýraznění4 6" xfId="46"/>
    <cellStyle name="20 % – Zvýraznění4 6 2" xfId="582"/>
    <cellStyle name="20 % – Zvýraznění4 7" xfId="47"/>
    <cellStyle name="20 % – Zvýraznění4 7 2" xfId="583"/>
    <cellStyle name="20 % – Zvýraznění4 8" xfId="48"/>
    <cellStyle name="20 % – Zvýraznění4 8 2" xfId="584"/>
    <cellStyle name="20 % – Zvýraznění4 9" xfId="49"/>
    <cellStyle name="20 % – Zvýraznění4 9 2" xfId="585"/>
    <cellStyle name="20 % – Zvýraznění5 10" xfId="50"/>
    <cellStyle name="20 % – Zvýraznění5 10 2" xfId="587"/>
    <cellStyle name="20 % – Zvýraznění5 11" xfId="51"/>
    <cellStyle name="20 % – Zvýraznění5 11 2" xfId="588"/>
    <cellStyle name="20 % – Zvýraznění5 12" xfId="52"/>
    <cellStyle name="20 % – Zvýraznění5 12 2" xfId="589"/>
    <cellStyle name="20 % – Zvýraznění5 13" xfId="53"/>
    <cellStyle name="20 % – Zvýraznění5 13 2" xfId="590"/>
    <cellStyle name="20 % – Zvýraznění5 14" xfId="1099"/>
    <cellStyle name="20 % – Zvýraznění5 15" xfId="1158"/>
    <cellStyle name="20 % – Zvýraznění5 16" xfId="1170"/>
    <cellStyle name="20 % – Zvýraznění5 17" xfId="1194"/>
    <cellStyle name="20 % – Zvýraznění5 18" xfId="1246"/>
    <cellStyle name="20 % – Zvýraznění5 19" xfId="1267"/>
    <cellStyle name="20 % – Zvýraznění5 2" xfId="54"/>
    <cellStyle name="20 % – Zvýraznění5 2 2" xfId="591"/>
    <cellStyle name="20 % – Zvýraznění5 20" xfId="1281"/>
    <cellStyle name="20 % – Zvýraznění5 21" xfId="586"/>
    <cellStyle name="20 % – Zvýraznění5 3" xfId="55"/>
    <cellStyle name="20 % – Zvýraznění5 3 2" xfId="592"/>
    <cellStyle name="20 % – Zvýraznění5 4" xfId="56"/>
    <cellStyle name="20 % – Zvýraznění5 4 2" xfId="593"/>
    <cellStyle name="20 % – Zvýraznění5 5" xfId="57"/>
    <cellStyle name="20 % – Zvýraznění5 5 2" xfId="594"/>
    <cellStyle name="20 % – Zvýraznění5 6" xfId="58"/>
    <cellStyle name="20 % – Zvýraznění5 6 2" xfId="595"/>
    <cellStyle name="20 % – Zvýraznění5 7" xfId="59"/>
    <cellStyle name="20 % – Zvýraznění5 7 2" xfId="596"/>
    <cellStyle name="20 % – Zvýraznění5 8" xfId="60"/>
    <cellStyle name="20 % – Zvýraznění5 8 2" xfId="597"/>
    <cellStyle name="20 % – Zvýraznění5 9" xfId="61"/>
    <cellStyle name="20 % – Zvýraznění5 9 2" xfId="598"/>
    <cellStyle name="20 % – Zvýraznění6 10" xfId="62"/>
    <cellStyle name="20 % – Zvýraznění6 10 2" xfId="600"/>
    <cellStyle name="20 % – Zvýraznění6 11" xfId="63"/>
    <cellStyle name="20 % – Zvýraznění6 11 2" xfId="601"/>
    <cellStyle name="20 % – Zvýraznění6 12" xfId="64"/>
    <cellStyle name="20 % – Zvýraznění6 12 2" xfId="602"/>
    <cellStyle name="20 % – Zvýraznění6 13" xfId="65"/>
    <cellStyle name="20 % – Zvýraznění6 13 2" xfId="603"/>
    <cellStyle name="20 % – Zvýraznění6 14" xfId="1100"/>
    <cellStyle name="20 % – Zvýraznění6 15" xfId="1162"/>
    <cellStyle name="20 % – Zvýraznění6 16" xfId="1171"/>
    <cellStyle name="20 % – Zvýraznění6 17" xfId="1195"/>
    <cellStyle name="20 % – Zvýraznění6 18" xfId="1250"/>
    <cellStyle name="20 % – Zvýraznění6 19" xfId="1269"/>
    <cellStyle name="20 % – Zvýraznění6 2" xfId="66"/>
    <cellStyle name="20 % – Zvýraznění6 2 2" xfId="604"/>
    <cellStyle name="20 % – Zvýraznění6 20" xfId="1283"/>
    <cellStyle name="20 % – Zvýraznění6 21" xfId="599"/>
    <cellStyle name="20 % – Zvýraznění6 3" xfId="67"/>
    <cellStyle name="20 % – Zvýraznění6 3 2" xfId="605"/>
    <cellStyle name="20 % – Zvýraznění6 4" xfId="68"/>
    <cellStyle name="20 % – Zvýraznění6 4 2" xfId="606"/>
    <cellStyle name="20 % – Zvýraznění6 5" xfId="69"/>
    <cellStyle name="20 % – Zvýraznění6 5 2" xfId="607"/>
    <cellStyle name="20 % – Zvýraznění6 6" xfId="70"/>
    <cellStyle name="20 % – Zvýraznění6 6 2" xfId="608"/>
    <cellStyle name="20 % – Zvýraznění6 7" xfId="71"/>
    <cellStyle name="20 % – Zvýraznění6 7 2" xfId="609"/>
    <cellStyle name="20 % – Zvýraznění6 8" xfId="72"/>
    <cellStyle name="20 % – Zvýraznění6 8 2" xfId="610"/>
    <cellStyle name="20 % – Zvýraznění6 9" xfId="73"/>
    <cellStyle name="20 % – Zvýraznění6 9 2" xfId="611"/>
    <cellStyle name="40 % – Zvýraznění1 10" xfId="74"/>
    <cellStyle name="40 % – Zvýraznění1 10 2" xfId="613"/>
    <cellStyle name="40 % – Zvýraznění1 11" xfId="75"/>
    <cellStyle name="40 % – Zvýraznění1 11 2" xfId="614"/>
    <cellStyle name="40 % – Zvýraznění1 12" xfId="76"/>
    <cellStyle name="40 % – Zvýraznění1 12 2" xfId="615"/>
    <cellStyle name="40 % – Zvýraznění1 13" xfId="77"/>
    <cellStyle name="40 % – Zvýraznění1 13 2" xfId="616"/>
    <cellStyle name="40 % – Zvýraznění1 14" xfId="1101"/>
    <cellStyle name="40 % – Zvýraznění1 15" xfId="1143"/>
    <cellStyle name="40 % – Zvýraznění1 16" xfId="1172"/>
    <cellStyle name="40 % – Zvýraznění1 17" xfId="1196"/>
    <cellStyle name="40 % – Zvýraznění1 18" xfId="1231"/>
    <cellStyle name="40 % – Zvýraznění1 19" xfId="1260"/>
    <cellStyle name="40 % – Zvýraznění1 2" xfId="78"/>
    <cellStyle name="40 % – Zvýraznění1 2 2" xfId="617"/>
    <cellStyle name="40 % – Zvýraznění1 20" xfId="1274"/>
    <cellStyle name="40 % – Zvýraznění1 21" xfId="612"/>
    <cellStyle name="40 % – Zvýraznění1 3" xfId="79"/>
    <cellStyle name="40 % – Zvýraznění1 3 2" xfId="618"/>
    <cellStyle name="40 % – Zvýraznění1 4" xfId="80"/>
    <cellStyle name="40 % – Zvýraznění1 4 2" xfId="619"/>
    <cellStyle name="40 % – Zvýraznění1 5" xfId="81"/>
    <cellStyle name="40 % – Zvýraznění1 5 2" xfId="620"/>
    <cellStyle name="40 % – Zvýraznění1 6" xfId="82"/>
    <cellStyle name="40 % – Zvýraznění1 6 2" xfId="621"/>
    <cellStyle name="40 % – Zvýraznění1 7" xfId="83"/>
    <cellStyle name="40 % – Zvýraznění1 7 2" xfId="622"/>
    <cellStyle name="40 % – Zvýraznění1 8" xfId="84"/>
    <cellStyle name="40 % – Zvýraznění1 8 2" xfId="623"/>
    <cellStyle name="40 % – Zvýraznění1 9" xfId="85"/>
    <cellStyle name="40 % – Zvýraznění1 9 2" xfId="624"/>
    <cellStyle name="40 % – Zvýraznění2 10" xfId="86"/>
    <cellStyle name="40 % – Zvýraznění2 10 2" xfId="626"/>
    <cellStyle name="40 % – Zvýraznění2 11" xfId="87"/>
    <cellStyle name="40 % – Zvýraznění2 11 2" xfId="627"/>
    <cellStyle name="40 % – Zvýraznění2 12" xfId="88"/>
    <cellStyle name="40 % – Zvýraznění2 12 2" xfId="628"/>
    <cellStyle name="40 % – Zvýraznění2 13" xfId="89"/>
    <cellStyle name="40 % – Zvýraznění2 13 2" xfId="629"/>
    <cellStyle name="40 % – Zvýraznění2 14" xfId="1102"/>
    <cellStyle name="40 % – Zvýraznění2 15" xfId="1147"/>
    <cellStyle name="40 % – Zvýraznění2 16" xfId="1173"/>
    <cellStyle name="40 % – Zvýraznění2 17" xfId="1197"/>
    <cellStyle name="40 % – Zvýraznění2 18" xfId="1235"/>
    <cellStyle name="40 % – Zvýraznění2 19" xfId="1262"/>
    <cellStyle name="40 % – Zvýraznění2 2" xfId="90"/>
    <cellStyle name="40 % – Zvýraznění2 2 2" xfId="630"/>
    <cellStyle name="40 % – Zvýraznění2 20" xfId="1276"/>
    <cellStyle name="40 % – Zvýraznění2 21" xfId="625"/>
    <cellStyle name="40 % – Zvýraznění2 3" xfId="91"/>
    <cellStyle name="40 % – Zvýraznění2 3 2" xfId="631"/>
    <cellStyle name="40 % – Zvýraznění2 4" xfId="92"/>
    <cellStyle name="40 % – Zvýraznění2 4 2" xfId="632"/>
    <cellStyle name="40 % – Zvýraznění2 5" xfId="93"/>
    <cellStyle name="40 % – Zvýraznění2 5 2" xfId="633"/>
    <cellStyle name="40 % – Zvýraznění2 6" xfId="94"/>
    <cellStyle name="40 % – Zvýraznění2 6 2" xfId="634"/>
    <cellStyle name="40 % – Zvýraznění2 7" xfId="95"/>
    <cellStyle name="40 % – Zvýraznění2 7 2" xfId="635"/>
    <cellStyle name="40 % – Zvýraznění2 8" xfId="96"/>
    <cellStyle name="40 % – Zvýraznění2 8 2" xfId="636"/>
    <cellStyle name="40 % – Zvýraznění2 9" xfId="97"/>
    <cellStyle name="40 % – Zvýraznění2 9 2" xfId="637"/>
    <cellStyle name="40 % – Zvýraznění3 10" xfId="98"/>
    <cellStyle name="40 % – Zvýraznění3 10 2" xfId="639"/>
    <cellStyle name="40 % – Zvýraznění3 11" xfId="99"/>
    <cellStyle name="40 % – Zvýraznění3 11 2" xfId="640"/>
    <cellStyle name="40 % – Zvýraznění3 12" xfId="100"/>
    <cellStyle name="40 % – Zvýraznění3 12 2" xfId="641"/>
    <cellStyle name="40 % – Zvýraznění3 13" xfId="101"/>
    <cellStyle name="40 % – Zvýraznění3 13 2" xfId="642"/>
    <cellStyle name="40 % – Zvýraznění3 14" xfId="1103"/>
    <cellStyle name="40 % – Zvýraznění3 15" xfId="1151"/>
    <cellStyle name="40 % – Zvýraznění3 16" xfId="1174"/>
    <cellStyle name="40 % – Zvýraznění3 17" xfId="1198"/>
    <cellStyle name="40 % – Zvýraznění3 18" xfId="1239"/>
    <cellStyle name="40 % – Zvýraznění3 19" xfId="1264"/>
    <cellStyle name="40 % – Zvýraznění3 2" xfId="102"/>
    <cellStyle name="40 % – Zvýraznění3 2 2" xfId="643"/>
    <cellStyle name="40 % – Zvýraznění3 20" xfId="1278"/>
    <cellStyle name="40 % – Zvýraznění3 21" xfId="638"/>
    <cellStyle name="40 % – Zvýraznění3 3" xfId="103"/>
    <cellStyle name="40 % – Zvýraznění3 3 2" xfId="644"/>
    <cellStyle name="40 % – Zvýraznění3 4" xfId="104"/>
    <cellStyle name="40 % – Zvýraznění3 4 2" xfId="645"/>
    <cellStyle name="40 % – Zvýraznění3 5" xfId="105"/>
    <cellStyle name="40 % – Zvýraznění3 5 2" xfId="646"/>
    <cellStyle name="40 % – Zvýraznění3 6" xfId="106"/>
    <cellStyle name="40 % – Zvýraznění3 6 2" xfId="647"/>
    <cellStyle name="40 % – Zvýraznění3 7" xfId="107"/>
    <cellStyle name="40 % – Zvýraznění3 7 2" xfId="648"/>
    <cellStyle name="40 % – Zvýraznění3 8" xfId="108"/>
    <cellStyle name="40 % – Zvýraznění3 8 2" xfId="649"/>
    <cellStyle name="40 % – Zvýraznění3 9" xfId="109"/>
    <cellStyle name="40 % – Zvýraznění3 9 2" xfId="650"/>
    <cellStyle name="40 % – Zvýraznění4 10" xfId="110"/>
    <cellStyle name="40 % – Zvýraznění4 10 2" xfId="652"/>
    <cellStyle name="40 % – Zvýraznění4 11" xfId="111"/>
    <cellStyle name="40 % – Zvýraznění4 11 2" xfId="653"/>
    <cellStyle name="40 % – Zvýraznění4 12" xfId="112"/>
    <cellStyle name="40 % – Zvýraznění4 12 2" xfId="654"/>
    <cellStyle name="40 % – Zvýraznění4 13" xfId="113"/>
    <cellStyle name="40 % – Zvýraznění4 13 2" xfId="655"/>
    <cellStyle name="40 % – Zvýraznění4 14" xfId="1104"/>
    <cellStyle name="40 % – Zvýraznění4 15" xfId="1155"/>
    <cellStyle name="40 % – Zvýraznění4 16" xfId="1175"/>
    <cellStyle name="40 % – Zvýraznění4 17" xfId="1199"/>
    <cellStyle name="40 % – Zvýraznění4 18" xfId="1243"/>
    <cellStyle name="40 % – Zvýraznění4 19" xfId="1266"/>
    <cellStyle name="40 % – Zvýraznění4 2" xfId="114"/>
    <cellStyle name="40 % – Zvýraznění4 2 2" xfId="656"/>
    <cellStyle name="40 % – Zvýraznění4 20" xfId="1280"/>
    <cellStyle name="40 % – Zvýraznění4 21" xfId="651"/>
    <cellStyle name="40 % – Zvýraznění4 3" xfId="115"/>
    <cellStyle name="40 % – Zvýraznění4 3 2" xfId="657"/>
    <cellStyle name="40 % – Zvýraznění4 4" xfId="116"/>
    <cellStyle name="40 % – Zvýraznění4 4 2" xfId="658"/>
    <cellStyle name="40 % – Zvýraznění4 5" xfId="117"/>
    <cellStyle name="40 % – Zvýraznění4 5 2" xfId="659"/>
    <cellStyle name="40 % – Zvýraznění4 6" xfId="118"/>
    <cellStyle name="40 % – Zvýraznění4 6 2" xfId="660"/>
    <cellStyle name="40 % – Zvýraznění4 7" xfId="119"/>
    <cellStyle name="40 % – Zvýraznění4 7 2" xfId="661"/>
    <cellStyle name="40 % – Zvýraznění4 8" xfId="120"/>
    <cellStyle name="40 % – Zvýraznění4 8 2" xfId="662"/>
    <cellStyle name="40 % – Zvýraznění4 9" xfId="121"/>
    <cellStyle name="40 % – Zvýraznění4 9 2" xfId="663"/>
    <cellStyle name="40 % – Zvýraznění5 10" xfId="122"/>
    <cellStyle name="40 % – Zvýraznění5 10 2" xfId="665"/>
    <cellStyle name="40 % – Zvýraznění5 11" xfId="123"/>
    <cellStyle name="40 % – Zvýraznění5 11 2" xfId="666"/>
    <cellStyle name="40 % – Zvýraznění5 12" xfId="124"/>
    <cellStyle name="40 % – Zvýraznění5 12 2" xfId="667"/>
    <cellStyle name="40 % – Zvýraznění5 13" xfId="125"/>
    <cellStyle name="40 % – Zvýraznění5 13 2" xfId="668"/>
    <cellStyle name="40 % – Zvýraznění5 14" xfId="1105"/>
    <cellStyle name="40 % – Zvýraznění5 15" xfId="1159"/>
    <cellStyle name="40 % – Zvýraznění5 16" xfId="1176"/>
    <cellStyle name="40 % – Zvýraznění5 17" xfId="1200"/>
    <cellStyle name="40 % – Zvýraznění5 18" xfId="1247"/>
    <cellStyle name="40 % – Zvýraznění5 19" xfId="1268"/>
    <cellStyle name="40 % – Zvýraznění5 2" xfId="126"/>
    <cellStyle name="40 % – Zvýraznění5 2 2" xfId="669"/>
    <cellStyle name="40 % – Zvýraznění5 20" xfId="1282"/>
    <cellStyle name="40 % – Zvýraznění5 21" xfId="664"/>
    <cellStyle name="40 % – Zvýraznění5 3" xfId="127"/>
    <cellStyle name="40 % – Zvýraznění5 3 2" xfId="670"/>
    <cellStyle name="40 % – Zvýraznění5 4" xfId="128"/>
    <cellStyle name="40 % – Zvýraznění5 4 2" xfId="671"/>
    <cellStyle name="40 % – Zvýraznění5 5" xfId="129"/>
    <cellStyle name="40 % – Zvýraznění5 5 2" xfId="672"/>
    <cellStyle name="40 % – Zvýraznění5 6" xfId="130"/>
    <cellStyle name="40 % – Zvýraznění5 6 2" xfId="673"/>
    <cellStyle name="40 % – Zvýraznění5 7" xfId="131"/>
    <cellStyle name="40 % – Zvýraznění5 7 2" xfId="674"/>
    <cellStyle name="40 % – Zvýraznění5 8" xfId="132"/>
    <cellStyle name="40 % – Zvýraznění5 8 2" xfId="675"/>
    <cellStyle name="40 % – Zvýraznění5 9" xfId="133"/>
    <cellStyle name="40 % – Zvýraznění5 9 2" xfId="676"/>
    <cellStyle name="40 % – Zvýraznění6 10" xfId="134"/>
    <cellStyle name="40 % – Zvýraznění6 10 2" xfId="678"/>
    <cellStyle name="40 % – Zvýraznění6 11" xfId="135"/>
    <cellStyle name="40 % – Zvýraznění6 11 2" xfId="679"/>
    <cellStyle name="40 % – Zvýraznění6 12" xfId="136"/>
    <cellStyle name="40 % – Zvýraznění6 12 2" xfId="680"/>
    <cellStyle name="40 % – Zvýraznění6 13" xfId="137"/>
    <cellStyle name="40 % – Zvýraznění6 13 2" xfId="681"/>
    <cellStyle name="40 % – Zvýraznění6 14" xfId="1106"/>
    <cellStyle name="40 % – Zvýraznění6 15" xfId="1163"/>
    <cellStyle name="40 % – Zvýraznění6 16" xfId="1177"/>
    <cellStyle name="40 % – Zvýraznění6 17" xfId="1201"/>
    <cellStyle name="40 % – Zvýraznění6 18" xfId="1251"/>
    <cellStyle name="40 % – Zvýraznění6 19" xfId="1270"/>
    <cellStyle name="40 % – Zvýraznění6 2" xfId="138"/>
    <cellStyle name="40 % – Zvýraznění6 2 2" xfId="682"/>
    <cellStyle name="40 % – Zvýraznění6 20" xfId="1284"/>
    <cellStyle name="40 % – Zvýraznění6 21" xfId="677"/>
    <cellStyle name="40 % – Zvýraznění6 3" xfId="139"/>
    <cellStyle name="40 % – Zvýraznění6 3 2" xfId="683"/>
    <cellStyle name="40 % – Zvýraznění6 4" xfId="140"/>
    <cellStyle name="40 % – Zvýraznění6 4 2" xfId="684"/>
    <cellStyle name="40 % – Zvýraznění6 5" xfId="141"/>
    <cellStyle name="40 % – Zvýraznění6 5 2" xfId="685"/>
    <cellStyle name="40 % – Zvýraznění6 6" xfId="142"/>
    <cellStyle name="40 % – Zvýraznění6 6 2" xfId="686"/>
    <cellStyle name="40 % – Zvýraznění6 7" xfId="143"/>
    <cellStyle name="40 % – Zvýraznění6 7 2" xfId="687"/>
    <cellStyle name="40 % – Zvýraznění6 8" xfId="144"/>
    <cellStyle name="40 % – Zvýraznění6 8 2" xfId="688"/>
    <cellStyle name="40 % – Zvýraznění6 9" xfId="145"/>
    <cellStyle name="40 % – Zvýraznění6 9 2" xfId="689"/>
    <cellStyle name="60 % – Zvýraznění1 10" xfId="146"/>
    <cellStyle name="60 % – Zvýraznění1 10 2" xfId="691"/>
    <cellStyle name="60 % – Zvýraznění1 11" xfId="147"/>
    <cellStyle name="60 % – Zvýraznění1 11 2" xfId="692"/>
    <cellStyle name="60 % – Zvýraznění1 12" xfId="148"/>
    <cellStyle name="60 % – Zvýraznění1 12 2" xfId="693"/>
    <cellStyle name="60 % – Zvýraznění1 13" xfId="149"/>
    <cellStyle name="60 % – Zvýraznění1 13 2" xfId="694"/>
    <cellStyle name="60 % – Zvýraznění1 14" xfId="1144"/>
    <cellStyle name="60 % – Zvýraznění1 15" xfId="1232"/>
    <cellStyle name="60 % – Zvýraznění1 16" xfId="690"/>
    <cellStyle name="60 % – Zvýraznění1 2" xfId="150"/>
    <cellStyle name="60 % – Zvýraznění1 2 2" xfId="695"/>
    <cellStyle name="60 % – Zvýraznění1 3" xfId="151"/>
    <cellStyle name="60 % – Zvýraznění1 3 2" xfId="696"/>
    <cellStyle name="60 % – Zvýraznění1 4" xfId="152"/>
    <cellStyle name="60 % – Zvýraznění1 4 2" xfId="697"/>
    <cellStyle name="60 % – Zvýraznění1 5" xfId="153"/>
    <cellStyle name="60 % – Zvýraznění1 5 2" xfId="698"/>
    <cellStyle name="60 % – Zvýraznění1 6" xfId="154"/>
    <cellStyle name="60 % – Zvýraznění1 6 2" xfId="699"/>
    <cellStyle name="60 % – Zvýraznění1 7" xfId="155"/>
    <cellStyle name="60 % – Zvýraznění1 7 2" xfId="700"/>
    <cellStyle name="60 % – Zvýraznění1 8" xfId="156"/>
    <cellStyle name="60 % – Zvýraznění1 8 2" xfId="701"/>
    <cellStyle name="60 % – Zvýraznění1 9" xfId="157"/>
    <cellStyle name="60 % – Zvýraznění1 9 2" xfId="702"/>
    <cellStyle name="60 % – Zvýraznění2 10" xfId="158"/>
    <cellStyle name="60 % – Zvýraznění2 10 2" xfId="704"/>
    <cellStyle name="60 % – Zvýraznění2 11" xfId="159"/>
    <cellStyle name="60 % – Zvýraznění2 11 2" xfId="705"/>
    <cellStyle name="60 % – Zvýraznění2 12" xfId="160"/>
    <cellStyle name="60 % – Zvýraznění2 12 2" xfId="706"/>
    <cellStyle name="60 % – Zvýraznění2 13" xfId="161"/>
    <cellStyle name="60 % – Zvýraznění2 13 2" xfId="707"/>
    <cellStyle name="60 % – Zvýraznění2 14" xfId="1148"/>
    <cellStyle name="60 % – Zvýraznění2 15" xfId="1236"/>
    <cellStyle name="60 % – Zvýraznění2 16" xfId="703"/>
    <cellStyle name="60 % – Zvýraznění2 2" xfId="162"/>
    <cellStyle name="60 % – Zvýraznění2 2 2" xfId="708"/>
    <cellStyle name="60 % – Zvýraznění2 3" xfId="163"/>
    <cellStyle name="60 % – Zvýraznění2 3 2" xfId="709"/>
    <cellStyle name="60 % – Zvýraznění2 4" xfId="164"/>
    <cellStyle name="60 % – Zvýraznění2 4 2" xfId="710"/>
    <cellStyle name="60 % – Zvýraznění2 5" xfId="165"/>
    <cellStyle name="60 % – Zvýraznění2 5 2" xfId="711"/>
    <cellStyle name="60 % – Zvýraznění2 6" xfId="166"/>
    <cellStyle name="60 % – Zvýraznění2 6 2" xfId="712"/>
    <cellStyle name="60 % – Zvýraznění2 7" xfId="167"/>
    <cellStyle name="60 % – Zvýraznění2 7 2" xfId="713"/>
    <cellStyle name="60 % – Zvýraznění2 8" xfId="168"/>
    <cellStyle name="60 % – Zvýraznění2 8 2" xfId="714"/>
    <cellStyle name="60 % – Zvýraznění2 9" xfId="169"/>
    <cellStyle name="60 % – Zvýraznění2 9 2" xfId="715"/>
    <cellStyle name="60 % – Zvýraznění3 10" xfId="170"/>
    <cellStyle name="60 % – Zvýraznění3 10 2" xfId="717"/>
    <cellStyle name="60 % – Zvýraznění3 11" xfId="171"/>
    <cellStyle name="60 % – Zvýraznění3 11 2" xfId="718"/>
    <cellStyle name="60 % – Zvýraznění3 12" xfId="172"/>
    <cellStyle name="60 % – Zvýraznění3 12 2" xfId="719"/>
    <cellStyle name="60 % – Zvýraznění3 13" xfId="173"/>
    <cellStyle name="60 % – Zvýraznění3 13 2" xfId="720"/>
    <cellStyle name="60 % – Zvýraznění3 14" xfId="1152"/>
    <cellStyle name="60 % – Zvýraznění3 15" xfId="1240"/>
    <cellStyle name="60 % – Zvýraznění3 16" xfId="716"/>
    <cellStyle name="60 % – Zvýraznění3 2" xfId="174"/>
    <cellStyle name="60 % – Zvýraznění3 2 2" xfId="721"/>
    <cellStyle name="60 % – Zvýraznění3 3" xfId="175"/>
    <cellStyle name="60 % – Zvýraznění3 3 2" xfId="722"/>
    <cellStyle name="60 % – Zvýraznění3 4" xfId="176"/>
    <cellStyle name="60 % – Zvýraznění3 4 2" xfId="723"/>
    <cellStyle name="60 % – Zvýraznění3 5" xfId="177"/>
    <cellStyle name="60 % – Zvýraznění3 5 2" xfId="724"/>
    <cellStyle name="60 % – Zvýraznění3 6" xfId="178"/>
    <cellStyle name="60 % – Zvýraznění3 6 2" xfId="725"/>
    <cellStyle name="60 % – Zvýraznění3 7" xfId="179"/>
    <cellStyle name="60 % – Zvýraznění3 7 2" xfId="726"/>
    <cellStyle name="60 % – Zvýraznění3 8" xfId="180"/>
    <cellStyle name="60 % – Zvýraznění3 8 2" xfId="727"/>
    <cellStyle name="60 % – Zvýraznění3 9" xfId="181"/>
    <cellStyle name="60 % – Zvýraznění3 9 2" xfId="728"/>
    <cellStyle name="60 % – Zvýraznění4 10" xfId="182"/>
    <cellStyle name="60 % – Zvýraznění4 10 2" xfId="730"/>
    <cellStyle name="60 % – Zvýraznění4 11" xfId="183"/>
    <cellStyle name="60 % – Zvýraznění4 11 2" xfId="731"/>
    <cellStyle name="60 % – Zvýraznění4 12" xfId="184"/>
    <cellStyle name="60 % – Zvýraznění4 12 2" xfId="732"/>
    <cellStyle name="60 % – Zvýraznění4 13" xfId="185"/>
    <cellStyle name="60 % – Zvýraznění4 13 2" xfId="733"/>
    <cellStyle name="60 % – Zvýraznění4 14" xfId="1156"/>
    <cellStyle name="60 % – Zvýraznění4 15" xfId="1244"/>
    <cellStyle name="60 % – Zvýraznění4 16" xfId="729"/>
    <cellStyle name="60 % – Zvýraznění4 2" xfId="186"/>
    <cellStyle name="60 % – Zvýraznění4 2 2" xfId="734"/>
    <cellStyle name="60 % – Zvýraznění4 3" xfId="187"/>
    <cellStyle name="60 % – Zvýraznění4 3 2" xfId="735"/>
    <cellStyle name="60 % – Zvýraznění4 4" xfId="188"/>
    <cellStyle name="60 % – Zvýraznění4 4 2" xfId="736"/>
    <cellStyle name="60 % – Zvýraznění4 5" xfId="189"/>
    <cellStyle name="60 % – Zvýraznění4 5 2" xfId="737"/>
    <cellStyle name="60 % – Zvýraznění4 6" xfId="190"/>
    <cellStyle name="60 % – Zvýraznění4 6 2" xfId="738"/>
    <cellStyle name="60 % – Zvýraznění4 7" xfId="191"/>
    <cellStyle name="60 % – Zvýraznění4 7 2" xfId="739"/>
    <cellStyle name="60 % – Zvýraznění4 8" xfId="192"/>
    <cellStyle name="60 % – Zvýraznění4 8 2" xfId="740"/>
    <cellStyle name="60 % – Zvýraznění4 9" xfId="193"/>
    <cellStyle name="60 % – Zvýraznění4 9 2" xfId="741"/>
    <cellStyle name="60 % – Zvýraznění5 10" xfId="194"/>
    <cellStyle name="60 % – Zvýraznění5 10 2" xfId="743"/>
    <cellStyle name="60 % – Zvýraznění5 11" xfId="195"/>
    <cellStyle name="60 % – Zvýraznění5 11 2" xfId="744"/>
    <cellStyle name="60 % – Zvýraznění5 12" xfId="196"/>
    <cellStyle name="60 % – Zvýraznění5 12 2" xfId="745"/>
    <cellStyle name="60 % – Zvýraznění5 13" xfId="197"/>
    <cellStyle name="60 % – Zvýraznění5 13 2" xfId="746"/>
    <cellStyle name="60 % – Zvýraznění5 14" xfId="1160"/>
    <cellStyle name="60 % – Zvýraznění5 15" xfId="1248"/>
    <cellStyle name="60 % – Zvýraznění5 16" xfId="742"/>
    <cellStyle name="60 % – Zvýraznění5 2" xfId="198"/>
    <cellStyle name="60 % – Zvýraznění5 2 2" xfId="747"/>
    <cellStyle name="60 % – Zvýraznění5 3" xfId="199"/>
    <cellStyle name="60 % – Zvýraznění5 3 2" xfId="748"/>
    <cellStyle name="60 % – Zvýraznění5 4" xfId="200"/>
    <cellStyle name="60 % – Zvýraznění5 4 2" xfId="749"/>
    <cellStyle name="60 % – Zvýraznění5 5" xfId="201"/>
    <cellStyle name="60 % – Zvýraznění5 5 2" xfId="750"/>
    <cellStyle name="60 % – Zvýraznění5 6" xfId="202"/>
    <cellStyle name="60 % – Zvýraznění5 6 2" xfId="751"/>
    <cellStyle name="60 % – Zvýraznění5 7" xfId="203"/>
    <cellStyle name="60 % – Zvýraznění5 7 2" xfId="752"/>
    <cellStyle name="60 % – Zvýraznění5 8" xfId="204"/>
    <cellStyle name="60 % – Zvýraznění5 8 2" xfId="753"/>
    <cellStyle name="60 % – Zvýraznění5 9" xfId="205"/>
    <cellStyle name="60 % – Zvýraznění5 9 2" xfId="754"/>
    <cellStyle name="60 % – Zvýraznění6 10" xfId="206"/>
    <cellStyle name="60 % – Zvýraznění6 10 2" xfId="756"/>
    <cellStyle name="60 % – Zvýraznění6 11" xfId="207"/>
    <cellStyle name="60 % – Zvýraznění6 11 2" xfId="757"/>
    <cellStyle name="60 % – Zvýraznění6 12" xfId="208"/>
    <cellStyle name="60 % – Zvýraznění6 12 2" xfId="758"/>
    <cellStyle name="60 % – Zvýraznění6 13" xfId="209"/>
    <cellStyle name="60 % – Zvýraznění6 13 2" xfId="759"/>
    <cellStyle name="60 % – Zvýraznění6 14" xfId="1164"/>
    <cellStyle name="60 % – Zvýraznění6 15" xfId="1252"/>
    <cellStyle name="60 % – Zvýraznění6 16" xfId="755"/>
    <cellStyle name="60 % – Zvýraznění6 2" xfId="210"/>
    <cellStyle name="60 % – Zvýraznění6 2 2" xfId="760"/>
    <cellStyle name="60 % – Zvýraznění6 3" xfId="211"/>
    <cellStyle name="60 % – Zvýraznění6 3 2" xfId="761"/>
    <cellStyle name="60 % – Zvýraznění6 4" xfId="212"/>
    <cellStyle name="60 % – Zvýraznění6 4 2" xfId="762"/>
    <cellStyle name="60 % – Zvýraznění6 5" xfId="213"/>
    <cellStyle name="60 % – Zvýraznění6 5 2" xfId="763"/>
    <cellStyle name="60 % – Zvýraznění6 6" xfId="214"/>
    <cellStyle name="60 % – Zvýraznění6 6 2" xfId="764"/>
    <cellStyle name="60 % – Zvýraznění6 7" xfId="215"/>
    <cellStyle name="60 % – Zvýraznění6 7 2" xfId="765"/>
    <cellStyle name="60 % – Zvýraznění6 8" xfId="216"/>
    <cellStyle name="60 % – Zvýraznění6 8 2" xfId="766"/>
    <cellStyle name="60 % – Zvýraznění6 9" xfId="217"/>
    <cellStyle name="60 % – Zvýraznění6 9 2" xfId="767"/>
    <cellStyle name="Celkem 10" xfId="218"/>
    <cellStyle name="Celkem 10 2" xfId="769"/>
    <cellStyle name="Celkem 11" xfId="219"/>
    <cellStyle name="Celkem 11 2" xfId="770"/>
    <cellStyle name="Celkem 12" xfId="220"/>
    <cellStyle name="Celkem 12 2" xfId="771"/>
    <cellStyle name="Celkem 13" xfId="221"/>
    <cellStyle name="Celkem 13 2" xfId="772"/>
    <cellStyle name="Celkem 14" xfId="1140"/>
    <cellStyle name="Celkem 15" xfId="1228"/>
    <cellStyle name="Celkem 16" xfId="768"/>
    <cellStyle name="Celkem 2" xfId="222"/>
    <cellStyle name="Celkem 2 2" xfId="773"/>
    <cellStyle name="Celkem 3" xfId="223"/>
    <cellStyle name="Celkem 3 2" xfId="774"/>
    <cellStyle name="Celkem 4" xfId="224"/>
    <cellStyle name="Celkem 4 2" xfId="775"/>
    <cellStyle name="Celkem 5" xfId="225"/>
    <cellStyle name="Celkem 5 2" xfId="776"/>
    <cellStyle name="Celkem 6" xfId="226"/>
    <cellStyle name="Celkem 6 2" xfId="777"/>
    <cellStyle name="Celkem 7" xfId="227"/>
    <cellStyle name="Celkem 7 2" xfId="778"/>
    <cellStyle name="Celkem 8" xfId="228"/>
    <cellStyle name="Celkem 8 2" xfId="779"/>
    <cellStyle name="Celkem 9" xfId="229"/>
    <cellStyle name="Celkem 9 2" xfId="780"/>
    <cellStyle name="Hypertextový odkaz" xfId="532" builtinId="8" customBuiltin="1"/>
    <cellStyle name="Hypertextový odkaz 3" xfId="230"/>
    <cellStyle name="Chybně 10" xfId="231"/>
    <cellStyle name="Chybně 10 2" xfId="782"/>
    <cellStyle name="Chybně 11" xfId="232"/>
    <cellStyle name="Chybně 11 2" xfId="783"/>
    <cellStyle name="Chybně 12" xfId="233"/>
    <cellStyle name="Chybně 12 2" xfId="784"/>
    <cellStyle name="Chybně 13" xfId="234"/>
    <cellStyle name="Chybně 13 2" xfId="785"/>
    <cellStyle name="Chybně 14" xfId="1130"/>
    <cellStyle name="Chybně 15" xfId="1218"/>
    <cellStyle name="Chybně 16" xfId="781"/>
    <cellStyle name="Chybně 2" xfId="235"/>
    <cellStyle name="Chybně 2 2" xfId="786"/>
    <cellStyle name="Chybně 3" xfId="236"/>
    <cellStyle name="Chybně 3 2" xfId="787"/>
    <cellStyle name="Chybně 4" xfId="237"/>
    <cellStyle name="Chybně 4 2" xfId="788"/>
    <cellStyle name="Chybně 5" xfId="238"/>
    <cellStyle name="Chybně 5 2" xfId="789"/>
    <cellStyle name="Chybně 6" xfId="239"/>
    <cellStyle name="Chybně 6 2" xfId="790"/>
    <cellStyle name="Chybně 7" xfId="240"/>
    <cellStyle name="Chybně 7 2" xfId="791"/>
    <cellStyle name="Chybně 8" xfId="241"/>
    <cellStyle name="Chybně 8 2" xfId="792"/>
    <cellStyle name="Chybně 9" xfId="242"/>
    <cellStyle name="Chybně 9 2" xfId="793"/>
    <cellStyle name="Kontrolní buňka 10" xfId="243"/>
    <cellStyle name="Kontrolní buňka 10 2" xfId="795"/>
    <cellStyle name="Kontrolní buňka 11" xfId="244"/>
    <cellStyle name="Kontrolní buňka 11 2" xfId="796"/>
    <cellStyle name="Kontrolní buňka 12" xfId="245"/>
    <cellStyle name="Kontrolní buňka 12 2" xfId="797"/>
    <cellStyle name="Kontrolní buňka 13" xfId="246"/>
    <cellStyle name="Kontrolní buňka 13 2" xfId="798"/>
    <cellStyle name="Kontrolní buňka 14" xfId="1136"/>
    <cellStyle name="Kontrolní buňka 15" xfId="1224"/>
    <cellStyle name="Kontrolní buňka 16" xfId="794"/>
    <cellStyle name="Kontrolní buňka 2" xfId="247"/>
    <cellStyle name="Kontrolní buňka 2 2" xfId="799"/>
    <cellStyle name="Kontrolní buňka 3" xfId="248"/>
    <cellStyle name="Kontrolní buňka 3 2" xfId="800"/>
    <cellStyle name="Kontrolní buňka 4" xfId="249"/>
    <cellStyle name="Kontrolní buňka 4 2" xfId="801"/>
    <cellStyle name="Kontrolní buňka 5" xfId="250"/>
    <cellStyle name="Kontrolní buňka 5 2" xfId="802"/>
    <cellStyle name="Kontrolní buňka 6" xfId="251"/>
    <cellStyle name="Kontrolní buňka 6 2" xfId="803"/>
    <cellStyle name="Kontrolní buňka 7" xfId="252"/>
    <cellStyle name="Kontrolní buňka 7 2" xfId="804"/>
    <cellStyle name="Kontrolní buňka 8" xfId="253"/>
    <cellStyle name="Kontrolní buňka 8 2" xfId="805"/>
    <cellStyle name="Kontrolní buňka 9" xfId="254"/>
    <cellStyle name="Kontrolní buňka 9 2" xfId="806"/>
    <cellStyle name="Měna" xfId="1" builtinId="4"/>
    <cellStyle name="Měna 2" xfId="528"/>
    <cellStyle name="Měna 3" xfId="1285"/>
    <cellStyle name="měny 10" xfId="255"/>
    <cellStyle name="měny 10 2" xfId="807"/>
    <cellStyle name="měny 11" xfId="256"/>
    <cellStyle name="měny 11 2" xfId="808"/>
    <cellStyle name="měny 2" xfId="530"/>
    <cellStyle name="měny 2 2" xfId="257"/>
    <cellStyle name="měny 2 2 2" xfId="809"/>
    <cellStyle name="měny 3" xfId="258"/>
    <cellStyle name="měny 3 2" xfId="810"/>
    <cellStyle name="měny 4" xfId="1117"/>
    <cellStyle name="měny 5" xfId="1120"/>
    <cellStyle name="měny 6" xfId="1254"/>
    <cellStyle name="Nadpis 1 10" xfId="259"/>
    <cellStyle name="Nadpis 1 10 2" xfId="812"/>
    <cellStyle name="Nadpis 1 11" xfId="260"/>
    <cellStyle name="Nadpis 1 11 2" xfId="813"/>
    <cellStyle name="Nadpis 1 12" xfId="261"/>
    <cellStyle name="Nadpis 1 12 2" xfId="814"/>
    <cellStyle name="Nadpis 1 13" xfId="262"/>
    <cellStyle name="Nadpis 1 13 2" xfId="815"/>
    <cellStyle name="Nadpis 1 14" xfId="1125"/>
    <cellStyle name="Nadpis 1 15" xfId="1213"/>
    <cellStyle name="Nadpis 1 16" xfId="811"/>
    <cellStyle name="Nadpis 1 2" xfId="263"/>
    <cellStyle name="Nadpis 1 2 2" xfId="816"/>
    <cellStyle name="Nadpis 1 3" xfId="264"/>
    <cellStyle name="Nadpis 1 3 2" xfId="817"/>
    <cellStyle name="Nadpis 1 4" xfId="265"/>
    <cellStyle name="Nadpis 1 4 2" xfId="818"/>
    <cellStyle name="Nadpis 1 5" xfId="266"/>
    <cellStyle name="Nadpis 1 5 2" xfId="819"/>
    <cellStyle name="Nadpis 1 6" xfId="267"/>
    <cellStyle name="Nadpis 1 6 2" xfId="820"/>
    <cellStyle name="Nadpis 1 7" xfId="268"/>
    <cellStyle name="Nadpis 1 7 2" xfId="821"/>
    <cellStyle name="Nadpis 1 8" xfId="269"/>
    <cellStyle name="Nadpis 1 8 2" xfId="822"/>
    <cellStyle name="Nadpis 1 9" xfId="270"/>
    <cellStyle name="Nadpis 1 9 2" xfId="823"/>
    <cellStyle name="Nadpis 2 10" xfId="271"/>
    <cellStyle name="Nadpis 2 10 2" xfId="825"/>
    <cellStyle name="Nadpis 2 11" xfId="272"/>
    <cellStyle name="Nadpis 2 11 2" xfId="826"/>
    <cellStyle name="Nadpis 2 12" xfId="273"/>
    <cellStyle name="Nadpis 2 12 2" xfId="827"/>
    <cellStyle name="Nadpis 2 13" xfId="274"/>
    <cellStyle name="Nadpis 2 13 2" xfId="828"/>
    <cellStyle name="Nadpis 2 14" xfId="1126"/>
    <cellStyle name="Nadpis 2 15" xfId="1214"/>
    <cellStyle name="Nadpis 2 16" xfId="824"/>
    <cellStyle name="Nadpis 2 2" xfId="275"/>
    <cellStyle name="Nadpis 2 2 2" xfId="829"/>
    <cellStyle name="Nadpis 2 3" xfId="276"/>
    <cellStyle name="Nadpis 2 3 2" xfId="830"/>
    <cellStyle name="Nadpis 2 4" xfId="277"/>
    <cellStyle name="Nadpis 2 4 2" xfId="831"/>
    <cellStyle name="Nadpis 2 5" xfId="278"/>
    <cellStyle name="Nadpis 2 5 2" xfId="832"/>
    <cellStyle name="Nadpis 2 6" xfId="279"/>
    <cellStyle name="Nadpis 2 6 2" xfId="833"/>
    <cellStyle name="Nadpis 2 7" xfId="280"/>
    <cellStyle name="Nadpis 2 7 2" xfId="834"/>
    <cellStyle name="Nadpis 2 8" xfId="281"/>
    <cellStyle name="Nadpis 2 8 2" xfId="835"/>
    <cellStyle name="Nadpis 2 9" xfId="282"/>
    <cellStyle name="Nadpis 2 9 2" xfId="836"/>
    <cellStyle name="Nadpis 3 10" xfId="283"/>
    <cellStyle name="Nadpis 3 10 2" xfId="838"/>
    <cellStyle name="Nadpis 3 11" xfId="284"/>
    <cellStyle name="Nadpis 3 11 2" xfId="839"/>
    <cellStyle name="Nadpis 3 12" xfId="285"/>
    <cellStyle name="Nadpis 3 12 2" xfId="840"/>
    <cellStyle name="Nadpis 3 13" xfId="286"/>
    <cellStyle name="Nadpis 3 13 2" xfId="841"/>
    <cellStyle name="Nadpis 3 14" xfId="1127"/>
    <cellStyle name="Nadpis 3 15" xfId="1215"/>
    <cellStyle name="Nadpis 3 16" xfId="837"/>
    <cellStyle name="Nadpis 3 2" xfId="287"/>
    <cellStyle name="Nadpis 3 2 2" xfId="842"/>
    <cellStyle name="Nadpis 3 3" xfId="288"/>
    <cellStyle name="Nadpis 3 3 2" xfId="843"/>
    <cellStyle name="Nadpis 3 4" xfId="289"/>
    <cellStyle name="Nadpis 3 4 2" xfId="844"/>
    <cellStyle name="Nadpis 3 5" xfId="290"/>
    <cellStyle name="Nadpis 3 5 2" xfId="845"/>
    <cellStyle name="Nadpis 3 6" xfId="291"/>
    <cellStyle name="Nadpis 3 6 2" xfId="846"/>
    <cellStyle name="Nadpis 3 7" xfId="292"/>
    <cellStyle name="Nadpis 3 7 2" xfId="847"/>
    <cellStyle name="Nadpis 3 8" xfId="293"/>
    <cellStyle name="Nadpis 3 8 2" xfId="848"/>
    <cellStyle name="Nadpis 3 9" xfId="294"/>
    <cellStyle name="Nadpis 3 9 2" xfId="849"/>
    <cellStyle name="Nadpis 4 10" xfId="295"/>
    <cellStyle name="Nadpis 4 10 2" xfId="851"/>
    <cellStyle name="Nadpis 4 11" xfId="296"/>
    <cellStyle name="Nadpis 4 11 2" xfId="852"/>
    <cellStyle name="Nadpis 4 12" xfId="297"/>
    <cellStyle name="Nadpis 4 12 2" xfId="853"/>
    <cellStyle name="Nadpis 4 13" xfId="298"/>
    <cellStyle name="Nadpis 4 13 2" xfId="854"/>
    <cellStyle name="Nadpis 4 14" xfId="1128"/>
    <cellStyle name="Nadpis 4 15" xfId="1216"/>
    <cellStyle name="Nadpis 4 16" xfId="850"/>
    <cellStyle name="Nadpis 4 2" xfId="299"/>
    <cellStyle name="Nadpis 4 2 2" xfId="855"/>
    <cellStyle name="Nadpis 4 3" xfId="300"/>
    <cellStyle name="Nadpis 4 3 2" xfId="856"/>
    <cellStyle name="Nadpis 4 4" xfId="301"/>
    <cellStyle name="Nadpis 4 4 2" xfId="857"/>
    <cellStyle name="Nadpis 4 5" xfId="302"/>
    <cellStyle name="Nadpis 4 5 2" xfId="858"/>
    <cellStyle name="Nadpis 4 6" xfId="303"/>
    <cellStyle name="Nadpis 4 6 2" xfId="859"/>
    <cellStyle name="Nadpis 4 7" xfId="304"/>
    <cellStyle name="Nadpis 4 7 2" xfId="860"/>
    <cellStyle name="Nadpis 4 8" xfId="305"/>
    <cellStyle name="Nadpis 4 8 2" xfId="861"/>
    <cellStyle name="Nadpis 4 9" xfId="306"/>
    <cellStyle name="Nadpis 4 9 2" xfId="862"/>
    <cellStyle name="Název 10" xfId="307"/>
    <cellStyle name="Název 10 2" xfId="864"/>
    <cellStyle name="Název 11" xfId="308"/>
    <cellStyle name="Název 11 2" xfId="865"/>
    <cellStyle name="Název 12" xfId="309"/>
    <cellStyle name="Název 12 2" xfId="866"/>
    <cellStyle name="Název 13" xfId="310"/>
    <cellStyle name="Název 13 2" xfId="867"/>
    <cellStyle name="Název 14" xfId="1124"/>
    <cellStyle name="Název 15" xfId="1212"/>
    <cellStyle name="Název 16" xfId="863"/>
    <cellStyle name="Název 2" xfId="311"/>
    <cellStyle name="Název 2 2" xfId="868"/>
    <cellStyle name="Název 3" xfId="312"/>
    <cellStyle name="Název 3 2" xfId="869"/>
    <cellStyle name="Název 4" xfId="313"/>
    <cellStyle name="Název 4 2" xfId="870"/>
    <cellStyle name="Název 5" xfId="314"/>
    <cellStyle name="Název 5 2" xfId="871"/>
    <cellStyle name="Název 6" xfId="315"/>
    <cellStyle name="Název 6 2" xfId="872"/>
    <cellStyle name="Název 7" xfId="316"/>
    <cellStyle name="Název 7 2" xfId="873"/>
    <cellStyle name="Název 8" xfId="317"/>
    <cellStyle name="Název 8 2" xfId="874"/>
    <cellStyle name="Název 9" xfId="318"/>
    <cellStyle name="Název 9 2" xfId="875"/>
    <cellStyle name="Neutrální 10" xfId="319"/>
    <cellStyle name="Neutrální 10 2" xfId="877"/>
    <cellStyle name="Neutrální 11" xfId="320"/>
    <cellStyle name="Neutrální 11 2" xfId="878"/>
    <cellStyle name="Neutrální 12" xfId="321"/>
    <cellStyle name="Neutrální 12 2" xfId="879"/>
    <cellStyle name="Neutrální 13" xfId="322"/>
    <cellStyle name="Neutrální 13 2" xfId="880"/>
    <cellStyle name="Neutrální 14" xfId="1131"/>
    <cellStyle name="Neutrální 15" xfId="1219"/>
    <cellStyle name="Neutrální 16" xfId="876"/>
    <cellStyle name="Neutrální 2" xfId="323"/>
    <cellStyle name="Neutrální 2 2" xfId="881"/>
    <cellStyle name="Neutrální 3" xfId="324"/>
    <cellStyle name="Neutrální 3 2" xfId="882"/>
    <cellStyle name="Neutrální 4" xfId="325"/>
    <cellStyle name="Neutrální 4 2" xfId="883"/>
    <cellStyle name="Neutrální 5" xfId="326"/>
    <cellStyle name="Neutrální 5 2" xfId="884"/>
    <cellStyle name="Neutrální 6" xfId="327"/>
    <cellStyle name="Neutrální 6 2" xfId="885"/>
    <cellStyle name="Neutrální 7" xfId="328"/>
    <cellStyle name="Neutrální 7 2" xfId="886"/>
    <cellStyle name="Neutrální 8" xfId="329"/>
    <cellStyle name="Neutrální 8 2" xfId="887"/>
    <cellStyle name="Neutrální 9" xfId="330"/>
    <cellStyle name="Neutrální 9 2" xfId="888"/>
    <cellStyle name="Normální" xfId="0" builtinId="0"/>
    <cellStyle name="normální 10" xfId="1253"/>
    <cellStyle name="normální 11" xfId="1257"/>
    <cellStyle name="normální 12" xfId="1271"/>
    <cellStyle name="Normální 13" xfId="527"/>
    <cellStyle name="normální 14" xfId="331"/>
    <cellStyle name="normální 14 2" xfId="889"/>
    <cellStyle name="normální 15" xfId="332"/>
    <cellStyle name="normální 15 2" xfId="890"/>
    <cellStyle name="normální 2" xfId="529"/>
    <cellStyle name="normální 2 2" xfId="333"/>
    <cellStyle name="normální 2 2 2" xfId="891"/>
    <cellStyle name="normální 2 3" xfId="334"/>
    <cellStyle name="normální 3" xfId="533"/>
    <cellStyle name="normální 3 2" xfId="335"/>
    <cellStyle name="normální 3 2 2" xfId="892"/>
    <cellStyle name="normální 3 3" xfId="1122"/>
    <cellStyle name="normální 3 4" xfId="1256"/>
    <cellStyle name="normální 4" xfId="1116"/>
    <cellStyle name="normální 5" xfId="1119"/>
    <cellStyle name="normální 6" xfId="1123"/>
    <cellStyle name="normální 7" xfId="1165"/>
    <cellStyle name="normální 8" xfId="1189"/>
    <cellStyle name="normální 9" xfId="1211"/>
    <cellStyle name="Poznámka 10" xfId="336"/>
    <cellStyle name="Poznámka 10 2" xfId="337"/>
    <cellStyle name="Poznámka 10 2 2" xfId="895"/>
    <cellStyle name="Poznámka 10 3" xfId="1115"/>
    <cellStyle name="Poznámka 10 4" xfId="1188"/>
    <cellStyle name="Poznámka 10 5" xfId="1210"/>
    <cellStyle name="Poznámka 10 6" xfId="894"/>
    <cellStyle name="Poznámka 11" xfId="338"/>
    <cellStyle name="Poznámka 11 2" xfId="339"/>
    <cellStyle name="Poznámka 11 2 2" xfId="897"/>
    <cellStyle name="Poznámka 11 3" xfId="1114"/>
    <cellStyle name="Poznámka 11 4" xfId="1187"/>
    <cellStyle name="Poznámka 11 5" xfId="1209"/>
    <cellStyle name="Poznámka 11 6" xfId="896"/>
    <cellStyle name="Poznámka 12" xfId="340"/>
    <cellStyle name="Poznámka 12 2" xfId="898"/>
    <cellStyle name="Poznámka 13" xfId="341"/>
    <cellStyle name="Poznámka 13 2" xfId="899"/>
    <cellStyle name="Poznámka 14" xfId="342"/>
    <cellStyle name="Poznámka 14 2" xfId="900"/>
    <cellStyle name="Poznámka 15" xfId="343"/>
    <cellStyle name="Poznámka 15 2" xfId="901"/>
    <cellStyle name="Poznámka 16" xfId="344"/>
    <cellStyle name="Poznámka 16 2" xfId="902"/>
    <cellStyle name="Poznámka 17" xfId="345"/>
    <cellStyle name="Poznámka 17 2" xfId="903"/>
    <cellStyle name="Poznámka 18" xfId="1138"/>
    <cellStyle name="Poznámka 19" xfId="1178"/>
    <cellStyle name="Poznámka 2" xfId="346"/>
    <cellStyle name="Poznámka 2 10" xfId="347"/>
    <cellStyle name="Poznámka 2 11" xfId="1179"/>
    <cellStyle name="Poznámka 2 2" xfId="348"/>
    <cellStyle name="Poznámka 2 2 2" xfId="904"/>
    <cellStyle name="Poznámka 2 3" xfId="349"/>
    <cellStyle name="Poznámka 2 3 2" xfId="905"/>
    <cellStyle name="Poznámka 2 4" xfId="350"/>
    <cellStyle name="Poznámka 2 4 2" xfId="906"/>
    <cellStyle name="Poznámka 2 5" xfId="351"/>
    <cellStyle name="Poznámka 2 5 2" xfId="907"/>
    <cellStyle name="Poznámka 2 6" xfId="352"/>
    <cellStyle name="Poznámka 2 6 2" xfId="908"/>
    <cellStyle name="Poznámka 2 7" xfId="353"/>
    <cellStyle name="Poznámka 2 7 2" xfId="909"/>
    <cellStyle name="Poznámka 2 8" xfId="354"/>
    <cellStyle name="Poznámka 2 8 2" xfId="910"/>
    <cellStyle name="Poznámka 2 9" xfId="355"/>
    <cellStyle name="Poznámka 2 9 2" xfId="911"/>
    <cellStyle name="Poznámka 20" xfId="1226"/>
    <cellStyle name="Poznámka 21" xfId="1258"/>
    <cellStyle name="Poznámka 22" xfId="1272"/>
    <cellStyle name="Poznámka 23" xfId="893"/>
    <cellStyle name="Poznámka 3" xfId="356"/>
    <cellStyle name="Poznámka 3 2" xfId="357"/>
    <cellStyle name="Poznámka 3 2 2" xfId="912"/>
    <cellStyle name="Poznámka 3 3" xfId="1107"/>
    <cellStyle name="Poznámka 3 4" xfId="1118"/>
    <cellStyle name="Poznámka 3 5" xfId="1121"/>
    <cellStyle name="Poznámka 3 6" xfId="1180"/>
    <cellStyle name="Poznámka 3 7" xfId="1202"/>
    <cellStyle name="Poznámka 3 8" xfId="1255"/>
    <cellStyle name="Poznámka 3 9" xfId="531"/>
    <cellStyle name="Poznámka 4" xfId="358"/>
    <cellStyle name="Poznámka 4 2" xfId="1109"/>
    <cellStyle name="Poznámka 4 3" xfId="1182"/>
    <cellStyle name="Poznámka 4 4" xfId="1204"/>
    <cellStyle name="Poznámka 4 5" xfId="913"/>
    <cellStyle name="Poznámka 5" xfId="359"/>
    <cellStyle name="Poznámka 5 2" xfId="1108"/>
    <cellStyle name="Poznámka 5 3" xfId="1181"/>
    <cellStyle name="Poznámka 5 4" xfId="1203"/>
    <cellStyle name="Poznámka 5 5" xfId="914"/>
    <cellStyle name="Poznámka 6" xfId="360"/>
    <cellStyle name="Poznámka 6 2" xfId="1110"/>
    <cellStyle name="Poznámka 6 3" xfId="1183"/>
    <cellStyle name="Poznámka 6 4" xfId="1205"/>
    <cellStyle name="Poznámka 6 5" xfId="915"/>
    <cellStyle name="Poznámka 7" xfId="361"/>
    <cellStyle name="Poznámka 7 2" xfId="1111"/>
    <cellStyle name="Poznámka 7 3" xfId="1184"/>
    <cellStyle name="Poznámka 7 4" xfId="1206"/>
    <cellStyle name="Poznámka 7 5" xfId="916"/>
    <cellStyle name="Poznámka 8" xfId="362"/>
    <cellStyle name="Poznámka 8 10" xfId="1207"/>
    <cellStyle name="Poznámka 8 11" xfId="917"/>
    <cellStyle name="Poznámka 8 2" xfId="363"/>
    <cellStyle name="Poznámka 8 2 2" xfId="918"/>
    <cellStyle name="Poznámka 8 3" xfId="364"/>
    <cellStyle name="Poznámka 8 3 2" xfId="919"/>
    <cellStyle name="Poznámka 8 4" xfId="365"/>
    <cellStyle name="Poznámka 8 4 2" xfId="920"/>
    <cellStyle name="Poznámka 8 5" xfId="366"/>
    <cellStyle name="Poznámka 8 5 2" xfId="921"/>
    <cellStyle name="Poznámka 8 6" xfId="367"/>
    <cellStyle name="Poznámka 8 6 2" xfId="922"/>
    <cellStyle name="Poznámka 8 7" xfId="368"/>
    <cellStyle name="Poznámka 8 7 2" xfId="923"/>
    <cellStyle name="Poznámka 8 8" xfId="1112"/>
    <cellStyle name="Poznámka 8 9" xfId="1185"/>
    <cellStyle name="Poznámka 9" xfId="369"/>
    <cellStyle name="Poznámka 9 2" xfId="370"/>
    <cellStyle name="Poznámka 9 2 2" xfId="925"/>
    <cellStyle name="Poznámka 9 3" xfId="1113"/>
    <cellStyle name="Poznámka 9 4" xfId="1186"/>
    <cellStyle name="Poznámka 9 5" xfId="1208"/>
    <cellStyle name="Poznámka 9 6" xfId="924"/>
    <cellStyle name="Propojená buňka 10" xfId="371"/>
    <cellStyle name="Propojená buňka 10 2" xfId="927"/>
    <cellStyle name="Propojená buňka 11" xfId="372"/>
    <cellStyle name="Propojená buňka 11 2" xfId="928"/>
    <cellStyle name="Propojená buňka 12" xfId="373"/>
    <cellStyle name="Propojená buňka 12 2" xfId="929"/>
    <cellStyle name="Propojená buňka 13" xfId="374"/>
    <cellStyle name="Propojená buňka 13 2" xfId="930"/>
    <cellStyle name="Propojená buňka 14" xfId="1135"/>
    <cellStyle name="Propojená buňka 15" xfId="1223"/>
    <cellStyle name="Propojená buňka 16" xfId="926"/>
    <cellStyle name="Propojená buňka 2" xfId="375"/>
    <cellStyle name="Propojená buňka 2 2" xfId="931"/>
    <cellStyle name="Propojená buňka 3" xfId="376"/>
    <cellStyle name="Propojená buňka 3 2" xfId="932"/>
    <cellStyle name="Propojená buňka 4" xfId="377"/>
    <cellStyle name="Propojená buňka 4 2" xfId="933"/>
    <cellStyle name="Propojená buňka 5" xfId="378"/>
    <cellStyle name="Propojená buňka 5 2" xfId="934"/>
    <cellStyle name="Propojená buňka 6" xfId="379"/>
    <cellStyle name="Propojená buňka 6 2" xfId="935"/>
    <cellStyle name="Propojená buňka 7" xfId="380"/>
    <cellStyle name="Propojená buňka 7 2" xfId="936"/>
    <cellStyle name="Propojená buňka 8" xfId="381"/>
    <cellStyle name="Propojená buňka 8 2" xfId="937"/>
    <cellStyle name="Propojená buňka 9" xfId="382"/>
    <cellStyle name="Propojená buňka 9 2" xfId="938"/>
    <cellStyle name="Správně 10" xfId="383"/>
    <cellStyle name="Správně 10 2" xfId="940"/>
    <cellStyle name="Správně 11" xfId="384"/>
    <cellStyle name="Správně 11 2" xfId="941"/>
    <cellStyle name="Správně 12" xfId="385"/>
    <cellStyle name="Správně 12 2" xfId="942"/>
    <cellStyle name="Správně 13" xfId="386"/>
    <cellStyle name="Správně 13 2" xfId="943"/>
    <cellStyle name="Správně 14" xfId="1129"/>
    <cellStyle name="Správně 15" xfId="1217"/>
    <cellStyle name="Správně 16" xfId="939"/>
    <cellStyle name="Správně 2" xfId="387"/>
    <cellStyle name="Správně 2 2" xfId="944"/>
    <cellStyle name="Správně 3" xfId="388"/>
    <cellStyle name="Správně 3 2" xfId="945"/>
    <cellStyle name="Správně 4" xfId="389"/>
    <cellStyle name="Správně 4 2" xfId="946"/>
    <cellStyle name="Správně 5" xfId="390"/>
    <cellStyle name="Správně 5 2" xfId="947"/>
    <cellStyle name="Správně 6" xfId="391"/>
    <cellStyle name="Správně 6 2" xfId="948"/>
    <cellStyle name="Správně 7" xfId="392"/>
    <cellStyle name="Správně 7 2" xfId="949"/>
    <cellStyle name="Správně 8" xfId="393"/>
    <cellStyle name="Správně 8 2" xfId="950"/>
    <cellStyle name="Správně 9" xfId="394"/>
    <cellStyle name="Správně 9 2" xfId="951"/>
    <cellStyle name="Text upozornění 10" xfId="395"/>
    <cellStyle name="Text upozornění 10 2" xfId="953"/>
    <cellStyle name="Text upozornění 11" xfId="396"/>
    <cellStyle name="Text upozornění 11 2" xfId="954"/>
    <cellStyle name="Text upozornění 12" xfId="397"/>
    <cellStyle name="Text upozornění 12 2" xfId="955"/>
    <cellStyle name="Text upozornění 13" xfId="398"/>
    <cellStyle name="Text upozornění 13 2" xfId="956"/>
    <cellStyle name="Text upozornění 14" xfId="1137"/>
    <cellStyle name="Text upozornění 15" xfId="1225"/>
    <cellStyle name="Text upozornění 16" xfId="952"/>
    <cellStyle name="Text upozornění 2" xfId="399"/>
    <cellStyle name="Text upozornění 2 2" xfId="957"/>
    <cellStyle name="Text upozornění 3" xfId="400"/>
    <cellStyle name="Text upozornění 3 2" xfId="958"/>
    <cellStyle name="Text upozornění 4" xfId="401"/>
    <cellStyle name="Text upozornění 4 2" xfId="959"/>
    <cellStyle name="Text upozornění 5" xfId="402"/>
    <cellStyle name="Text upozornění 5 2" xfId="960"/>
    <cellStyle name="Text upozornění 6" xfId="403"/>
    <cellStyle name="Text upozornění 6 2" xfId="961"/>
    <cellStyle name="Text upozornění 7" xfId="404"/>
    <cellStyle name="Text upozornění 7 2" xfId="962"/>
    <cellStyle name="Text upozornění 8" xfId="405"/>
    <cellStyle name="Text upozornění 8 2" xfId="963"/>
    <cellStyle name="Text upozornění 9" xfId="406"/>
    <cellStyle name="Text upozornění 9 2" xfId="964"/>
    <cellStyle name="Vstup 10" xfId="407"/>
    <cellStyle name="Vstup 10 2" xfId="966"/>
    <cellStyle name="Vstup 11" xfId="408"/>
    <cellStyle name="Vstup 11 2" xfId="967"/>
    <cellStyle name="Vstup 12" xfId="409"/>
    <cellStyle name="Vstup 12 2" xfId="968"/>
    <cellStyle name="Vstup 13" xfId="410"/>
    <cellStyle name="Vstup 13 2" xfId="969"/>
    <cellStyle name="Vstup 14" xfId="1132"/>
    <cellStyle name="Vstup 15" xfId="1220"/>
    <cellStyle name="Vstup 16" xfId="965"/>
    <cellStyle name="Vstup 2" xfId="411"/>
    <cellStyle name="Vstup 2 2" xfId="970"/>
    <cellStyle name="Vstup 3" xfId="412"/>
    <cellStyle name="Vstup 3 2" xfId="971"/>
    <cellStyle name="Vstup 4" xfId="413"/>
    <cellStyle name="Vstup 4 2" xfId="972"/>
    <cellStyle name="Vstup 5" xfId="414"/>
    <cellStyle name="Vstup 5 2" xfId="973"/>
    <cellStyle name="Vstup 6" xfId="415"/>
    <cellStyle name="Vstup 6 2" xfId="974"/>
    <cellStyle name="Vstup 7" xfId="416"/>
    <cellStyle name="Vstup 7 2" xfId="975"/>
    <cellStyle name="Vstup 8" xfId="417"/>
    <cellStyle name="Vstup 8 2" xfId="976"/>
    <cellStyle name="Vstup 9" xfId="418"/>
    <cellStyle name="Vstup 9 2" xfId="977"/>
    <cellStyle name="Výpočet 10" xfId="419"/>
    <cellStyle name="Výpočet 10 2" xfId="979"/>
    <cellStyle name="Výpočet 11" xfId="420"/>
    <cellStyle name="Výpočet 11 2" xfId="980"/>
    <cellStyle name="Výpočet 12" xfId="421"/>
    <cellStyle name="Výpočet 12 2" xfId="981"/>
    <cellStyle name="Výpočet 13" xfId="422"/>
    <cellStyle name="Výpočet 13 2" xfId="982"/>
    <cellStyle name="Výpočet 14" xfId="1134"/>
    <cellStyle name="Výpočet 15" xfId="1222"/>
    <cellStyle name="Výpočet 16" xfId="978"/>
    <cellStyle name="Výpočet 2" xfId="423"/>
    <cellStyle name="Výpočet 2 2" xfId="983"/>
    <cellStyle name="Výpočet 3" xfId="424"/>
    <cellStyle name="Výpočet 3 2" xfId="984"/>
    <cellStyle name="Výpočet 4" xfId="425"/>
    <cellStyle name="Výpočet 4 2" xfId="985"/>
    <cellStyle name="Výpočet 5" xfId="426"/>
    <cellStyle name="Výpočet 5 2" xfId="986"/>
    <cellStyle name="Výpočet 6" xfId="427"/>
    <cellStyle name="Výpočet 6 2" xfId="987"/>
    <cellStyle name="Výpočet 7" xfId="428"/>
    <cellStyle name="Výpočet 7 2" xfId="988"/>
    <cellStyle name="Výpočet 8" xfId="429"/>
    <cellStyle name="Výpočet 8 2" xfId="989"/>
    <cellStyle name="Výpočet 9" xfId="430"/>
    <cellStyle name="Výpočet 9 2" xfId="990"/>
    <cellStyle name="Výstup 10" xfId="431"/>
    <cellStyle name="Výstup 10 2" xfId="992"/>
    <cellStyle name="Výstup 11" xfId="432"/>
    <cellStyle name="Výstup 11 2" xfId="993"/>
    <cellStyle name="Výstup 12" xfId="433"/>
    <cellStyle name="Výstup 12 2" xfId="994"/>
    <cellStyle name="Výstup 13" xfId="434"/>
    <cellStyle name="Výstup 13 2" xfId="995"/>
    <cellStyle name="Výstup 14" xfId="1133"/>
    <cellStyle name="Výstup 15" xfId="1221"/>
    <cellStyle name="Výstup 16" xfId="991"/>
    <cellStyle name="Výstup 2" xfId="435"/>
    <cellStyle name="Výstup 2 2" xfId="996"/>
    <cellStyle name="Výstup 3" xfId="436"/>
    <cellStyle name="Výstup 3 2" xfId="997"/>
    <cellStyle name="Výstup 4" xfId="437"/>
    <cellStyle name="Výstup 4 2" xfId="998"/>
    <cellStyle name="Výstup 5" xfId="438"/>
    <cellStyle name="Výstup 5 2" xfId="999"/>
    <cellStyle name="Výstup 6" xfId="439"/>
    <cellStyle name="Výstup 6 2" xfId="1000"/>
    <cellStyle name="Výstup 7" xfId="440"/>
    <cellStyle name="Výstup 7 2" xfId="1001"/>
    <cellStyle name="Výstup 8" xfId="441"/>
    <cellStyle name="Výstup 8 2" xfId="1002"/>
    <cellStyle name="Výstup 9" xfId="442"/>
    <cellStyle name="Výstup 9 2" xfId="1003"/>
    <cellStyle name="Vysvětlující text 10" xfId="443"/>
    <cellStyle name="Vysvětlující text 10 2" xfId="1005"/>
    <cellStyle name="Vysvětlující text 11" xfId="444"/>
    <cellStyle name="Vysvětlující text 11 2" xfId="1006"/>
    <cellStyle name="Vysvětlující text 12" xfId="445"/>
    <cellStyle name="Vysvětlující text 12 2" xfId="1007"/>
    <cellStyle name="Vysvětlující text 13" xfId="446"/>
    <cellStyle name="Vysvětlující text 13 2" xfId="1008"/>
    <cellStyle name="Vysvětlující text 14" xfId="1139"/>
    <cellStyle name="Vysvětlující text 15" xfId="1227"/>
    <cellStyle name="Vysvětlující text 16" xfId="1004"/>
    <cellStyle name="Vysvětlující text 2" xfId="447"/>
    <cellStyle name="Vysvětlující text 2 2" xfId="1009"/>
    <cellStyle name="Vysvětlující text 3" xfId="448"/>
    <cellStyle name="Vysvětlující text 3 2" xfId="1010"/>
    <cellStyle name="Vysvětlující text 4" xfId="449"/>
    <cellStyle name="Vysvětlující text 4 2" xfId="1011"/>
    <cellStyle name="Vysvětlující text 5" xfId="450"/>
    <cellStyle name="Vysvětlující text 5 2" xfId="1012"/>
    <cellStyle name="Vysvětlující text 6" xfId="451"/>
    <cellStyle name="Vysvětlující text 6 2" xfId="1013"/>
    <cellStyle name="Vysvětlující text 7" xfId="452"/>
    <cellStyle name="Vysvětlující text 7 2" xfId="1014"/>
    <cellStyle name="Vysvětlující text 8" xfId="453"/>
    <cellStyle name="Vysvětlující text 8 2" xfId="1015"/>
    <cellStyle name="Vysvětlující text 9" xfId="454"/>
    <cellStyle name="Vysvětlující text 9 2" xfId="1016"/>
    <cellStyle name="Zvýraznění 1 10" xfId="455"/>
    <cellStyle name="Zvýraznění 1 10 2" xfId="1018"/>
    <cellStyle name="Zvýraznění 1 11" xfId="456"/>
    <cellStyle name="Zvýraznění 1 11 2" xfId="1019"/>
    <cellStyle name="Zvýraznění 1 12" xfId="457"/>
    <cellStyle name="Zvýraznění 1 12 2" xfId="1020"/>
    <cellStyle name="Zvýraznění 1 13" xfId="458"/>
    <cellStyle name="Zvýraznění 1 13 2" xfId="1021"/>
    <cellStyle name="Zvýraznění 1 14" xfId="1141"/>
    <cellStyle name="Zvýraznění 1 15" xfId="1229"/>
    <cellStyle name="Zvýraznění 1 16" xfId="1017"/>
    <cellStyle name="Zvýraznění 1 2" xfId="459"/>
    <cellStyle name="Zvýraznění 1 2 2" xfId="1022"/>
    <cellStyle name="Zvýraznění 1 3" xfId="460"/>
    <cellStyle name="Zvýraznění 1 3 2" xfId="1023"/>
    <cellStyle name="Zvýraznění 1 4" xfId="461"/>
    <cellStyle name="Zvýraznění 1 4 2" xfId="1024"/>
    <cellStyle name="Zvýraznění 1 5" xfId="462"/>
    <cellStyle name="Zvýraznění 1 5 2" xfId="1025"/>
    <cellStyle name="Zvýraznění 1 6" xfId="463"/>
    <cellStyle name="Zvýraznění 1 6 2" xfId="1026"/>
    <cellStyle name="Zvýraznění 1 7" xfId="464"/>
    <cellStyle name="Zvýraznění 1 7 2" xfId="1027"/>
    <cellStyle name="Zvýraznění 1 8" xfId="465"/>
    <cellStyle name="Zvýraznění 1 8 2" xfId="1028"/>
    <cellStyle name="Zvýraznění 1 9" xfId="466"/>
    <cellStyle name="Zvýraznění 1 9 2" xfId="1029"/>
    <cellStyle name="Zvýraznění 2 10" xfId="467"/>
    <cellStyle name="Zvýraznění 2 10 2" xfId="1031"/>
    <cellStyle name="Zvýraznění 2 11" xfId="468"/>
    <cellStyle name="Zvýraznění 2 11 2" xfId="1032"/>
    <cellStyle name="Zvýraznění 2 12" xfId="469"/>
    <cellStyle name="Zvýraznění 2 12 2" xfId="1033"/>
    <cellStyle name="Zvýraznění 2 13" xfId="470"/>
    <cellStyle name="Zvýraznění 2 13 2" xfId="1034"/>
    <cellStyle name="Zvýraznění 2 14" xfId="1145"/>
    <cellStyle name="Zvýraznění 2 15" xfId="1233"/>
    <cellStyle name="Zvýraznění 2 16" xfId="1030"/>
    <cellStyle name="Zvýraznění 2 2" xfId="471"/>
    <cellStyle name="Zvýraznění 2 2 2" xfId="1035"/>
    <cellStyle name="Zvýraznění 2 3" xfId="472"/>
    <cellStyle name="Zvýraznění 2 3 2" xfId="1036"/>
    <cellStyle name="Zvýraznění 2 4" xfId="473"/>
    <cellStyle name="Zvýraznění 2 4 2" xfId="1037"/>
    <cellStyle name="Zvýraznění 2 5" xfId="474"/>
    <cellStyle name="Zvýraznění 2 5 2" xfId="1038"/>
    <cellStyle name="Zvýraznění 2 6" xfId="475"/>
    <cellStyle name="Zvýraznění 2 6 2" xfId="1039"/>
    <cellStyle name="Zvýraznění 2 7" xfId="476"/>
    <cellStyle name="Zvýraznění 2 7 2" xfId="1040"/>
    <cellStyle name="Zvýraznění 2 8" xfId="477"/>
    <cellStyle name="Zvýraznění 2 8 2" xfId="1041"/>
    <cellStyle name="Zvýraznění 2 9" xfId="478"/>
    <cellStyle name="Zvýraznění 2 9 2" xfId="1042"/>
    <cellStyle name="Zvýraznění 3 10" xfId="479"/>
    <cellStyle name="Zvýraznění 3 10 2" xfId="1044"/>
    <cellStyle name="Zvýraznění 3 11" xfId="480"/>
    <cellStyle name="Zvýraznění 3 11 2" xfId="1045"/>
    <cellStyle name="Zvýraznění 3 12" xfId="481"/>
    <cellStyle name="Zvýraznění 3 12 2" xfId="1046"/>
    <cellStyle name="Zvýraznění 3 13" xfId="482"/>
    <cellStyle name="Zvýraznění 3 13 2" xfId="1047"/>
    <cellStyle name="Zvýraznění 3 14" xfId="1149"/>
    <cellStyle name="Zvýraznění 3 15" xfId="1237"/>
    <cellStyle name="Zvýraznění 3 16" xfId="1043"/>
    <cellStyle name="Zvýraznění 3 2" xfId="483"/>
    <cellStyle name="Zvýraznění 3 2 2" xfId="1048"/>
    <cellStyle name="Zvýraznění 3 3" xfId="484"/>
    <cellStyle name="Zvýraznění 3 3 2" xfId="1049"/>
    <cellStyle name="Zvýraznění 3 4" xfId="485"/>
    <cellStyle name="Zvýraznění 3 4 2" xfId="1050"/>
    <cellStyle name="Zvýraznění 3 5" xfId="486"/>
    <cellStyle name="Zvýraznění 3 5 2" xfId="1051"/>
    <cellStyle name="Zvýraznění 3 6" xfId="487"/>
    <cellStyle name="Zvýraznění 3 6 2" xfId="1052"/>
    <cellStyle name="Zvýraznění 3 7" xfId="488"/>
    <cellStyle name="Zvýraznění 3 7 2" xfId="1053"/>
    <cellStyle name="Zvýraznění 3 8" xfId="489"/>
    <cellStyle name="Zvýraznění 3 8 2" xfId="1054"/>
    <cellStyle name="Zvýraznění 3 9" xfId="490"/>
    <cellStyle name="Zvýraznění 3 9 2" xfId="1055"/>
    <cellStyle name="Zvýraznění 4 10" xfId="491"/>
    <cellStyle name="Zvýraznění 4 10 2" xfId="1057"/>
    <cellStyle name="Zvýraznění 4 11" xfId="492"/>
    <cellStyle name="Zvýraznění 4 11 2" xfId="1058"/>
    <cellStyle name="Zvýraznění 4 12" xfId="493"/>
    <cellStyle name="Zvýraznění 4 12 2" xfId="1059"/>
    <cellStyle name="Zvýraznění 4 13" xfId="494"/>
    <cellStyle name="Zvýraznění 4 13 2" xfId="1060"/>
    <cellStyle name="Zvýraznění 4 14" xfId="1153"/>
    <cellStyle name="Zvýraznění 4 15" xfId="1241"/>
    <cellStyle name="Zvýraznění 4 16" xfId="1056"/>
    <cellStyle name="Zvýraznění 4 2" xfId="495"/>
    <cellStyle name="Zvýraznění 4 2 2" xfId="1061"/>
    <cellStyle name="Zvýraznění 4 3" xfId="496"/>
    <cellStyle name="Zvýraznění 4 3 2" xfId="1062"/>
    <cellStyle name="Zvýraznění 4 4" xfId="497"/>
    <cellStyle name="Zvýraznění 4 4 2" xfId="1063"/>
    <cellStyle name="Zvýraznění 4 5" xfId="498"/>
    <cellStyle name="Zvýraznění 4 5 2" xfId="1064"/>
    <cellStyle name="Zvýraznění 4 6" xfId="499"/>
    <cellStyle name="Zvýraznění 4 6 2" xfId="1065"/>
    <cellStyle name="Zvýraznění 4 7" xfId="500"/>
    <cellStyle name="Zvýraznění 4 7 2" xfId="1066"/>
    <cellStyle name="Zvýraznění 4 8" xfId="501"/>
    <cellStyle name="Zvýraznění 4 8 2" xfId="1067"/>
    <cellStyle name="Zvýraznění 4 9" xfId="502"/>
    <cellStyle name="Zvýraznění 4 9 2" xfId="1068"/>
    <cellStyle name="Zvýraznění 5 10" xfId="503"/>
    <cellStyle name="Zvýraznění 5 10 2" xfId="1070"/>
    <cellStyle name="Zvýraznění 5 11" xfId="504"/>
    <cellStyle name="Zvýraznění 5 11 2" xfId="1071"/>
    <cellStyle name="Zvýraznění 5 12" xfId="505"/>
    <cellStyle name="Zvýraznění 5 12 2" xfId="1072"/>
    <cellStyle name="Zvýraznění 5 13" xfId="506"/>
    <cellStyle name="Zvýraznění 5 13 2" xfId="1073"/>
    <cellStyle name="Zvýraznění 5 14" xfId="1157"/>
    <cellStyle name="Zvýraznění 5 15" xfId="1245"/>
    <cellStyle name="Zvýraznění 5 16" xfId="1069"/>
    <cellStyle name="Zvýraznění 5 2" xfId="507"/>
    <cellStyle name="Zvýraznění 5 2 2" xfId="1074"/>
    <cellStyle name="Zvýraznění 5 3" xfId="508"/>
    <cellStyle name="Zvýraznění 5 3 2" xfId="1075"/>
    <cellStyle name="Zvýraznění 5 4" xfId="509"/>
    <cellStyle name="Zvýraznění 5 4 2" xfId="1076"/>
    <cellStyle name="Zvýraznění 5 5" xfId="510"/>
    <cellStyle name="Zvýraznění 5 5 2" xfId="1077"/>
    <cellStyle name="Zvýraznění 5 6" xfId="511"/>
    <cellStyle name="Zvýraznění 5 6 2" xfId="1078"/>
    <cellStyle name="Zvýraznění 5 7" xfId="512"/>
    <cellStyle name="Zvýraznění 5 7 2" xfId="1079"/>
    <cellStyle name="Zvýraznění 5 8" xfId="513"/>
    <cellStyle name="Zvýraznění 5 8 2" xfId="1080"/>
    <cellStyle name="Zvýraznění 5 9" xfId="514"/>
    <cellStyle name="Zvýraznění 5 9 2" xfId="1081"/>
    <cellStyle name="Zvýraznění 6 10" xfId="515"/>
    <cellStyle name="Zvýraznění 6 10 2" xfId="1083"/>
    <cellStyle name="Zvýraznění 6 11" xfId="516"/>
    <cellStyle name="Zvýraznění 6 11 2" xfId="1084"/>
    <cellStyle name="Zvýraznění 6 12" xfId="517"/>
    <cellStyle name="Zvýraznění 6 12 2" xfId="1085"/>
    <cellStyle name="Zvýraznění 6 13" xfId="518"/>
    <cellStyle name="Zvýraznění 6 13 2" xfId="1086"/>
    <cellStyle name="Zvýraznění 6 14" xfId="1161"/>
    <cellStyle name="Zvýraznění 6 15" xfId="1249"/>
    <cellStyle name="Zvýraznění 6 16" xfId="1082"/>
    <cellStyle name="Zvýraznění 6 2" xfId="519"/>
    <cellStyle name="Zvýraznění 6 2 2" xfId="1087"/>
    <cellStyle name="Zvýraznění 6 3" xfId="520"/>
    <cellStyle name="Zvýraznění 6 3 2" xfId="1088"/>
    <cellStyle name="Zvýraznění 6 4" xfId="521"/>
    <cellStyle name="Zvýraznění 6 4 2" xfId="1089"/>
    <cellStyle name="Zvýraznění 6 5" xfId="522"/>
    <cellStyle name="Zvýraznění 6 5 2" xfId="1090"/>
    <cellStyle name="Zvýraznění 6 6" xfId="523"/>
    <cellStyle name="Zvýraznění 6 6 2" xfId="1091"/>
    <cellStyle name="Zvýraznění 6 7" xfId="524"/>
    <cellStyle name="Zvýraznění 6 7 2" xfId="1092"/>
    <cellStyle name="Zvýraznění 6 8" xfId="525"/>
    <cellStyle name="Zvýraznění 6 8 2" xfId="1093"/>
    <cellStyle name="Zvýraznění 6 9" xfId="526"/>
    <cellStyle name="Zvýraznění 6 9 2" xfId="1094"/>
  </cellStyles>
  <dxfs count="21"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 patternType="gray0625">
          <fgColor rgb="FFFF0000"/>
          <bgColor theme="6" tint="0.79995117038483843"/>
        </patternFill>
      </fill>
    </dxf>
    <dxf>
      <fill>
        <patternFill>
          <bgColor theme="5" tint="0.59996337778862885"/>
        </patternFill>
      </fill>
    </dxf>
    <dxf>
      <fill>
        <patternFill patternType="solid">
          <fgColor theme="5" tint="0.59999389629810485"/>
          <bgColor theme="0" tint="-0.14996795556505021"/>
        </patternFill>
      </fill>
    </dxf>
    <dxf>
      <font>
        <b/>
        <i val="0"/>
        <color theme="0"/>
      </font>
      <fill>
        <patternFill patternType="solid">
          <fgColor theme="5"/>
          <bgColor rgb="FFFF0000"/>
        </patternFill>
      </fill>
      <border>
        <bottom style="thick">
          <color theme="0"/>
        </bottom>
      </border>
    </dxf>
    <dxf>
      <font>
        <b val="0"/>
        <i val="0"/>
        <strike val="0"/>
        <color theme="1"/>
      </font>
      <fill>
        <patternFill patternType="solid">
          <fgColor theme="5" tint="0.79982909634693444"/>
          <bgColor theme="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 style="thin">
          <color theme="0"/>
        </vertical>
        <horizontal style="thin">
          <color theme="0"/>
        </horizontal>
      </border>
    </dxf>
    <dxf>
      <fill>
        <gradientFill degree="90">
          <stop position="0">
            <color theme="0"/>
          </stop>
          <stop position="1">
            <color rgb="FFFF9999"/>
          </stop>
        </gradientFill>
      </fill>
    </dxf>
    <dxf>
      <fill>
        <gradientFill degree="90">
          <stop position="0">
            <color theme="0"/>
          </stop>
          <stop position="1">
            <color theme="0" tint="-0.1490218817712943"/>
          </stop>
        </gradientFill>
      </fill>
    </dxf>
    <dxf>
      <font>
        <b/>
        <i val="0"/>
        <color theme="0"/>
      </font>
      <fill>
        <gradientFill degree="90">
          <stop position="0">
            <color rgb="FFFF9999"/>
          </stop>
          <stop position="1">
            <color rgb="FFFF0000"/>
          </stop>
        </gradientFill>
      </fill>
      <border>
        <bottom style="thick">
          <color theme="0"/>
        </bottom>
      </border>
    </dxf>
    <dxf>
      <font>
        <b val="0"/>
        <i val="0"/>
        <strike val="0"/>
        <color theme="1"/>
      </font>
      <fill>
        <gradientFill degree="90">
          <stop position="0">
            <color theme="0" tint="-0.1490218817712943"/>
          </stop>
          <stop position="1">
            <color rgb="FFFF0000"/>
          </stop>
        </gradientFill>
      </fill>
      <border>
        <left style="thick">
          <color rgb="FFFF0000"/>
        </left>
        <right style="thick">
          <color rgb="FFFF0000"/>
        </right>
        <top style="thick">
          <color rgb="FFFF0000"/>
        </top>
        <bottom style="thick">
          <color rgb="FFFF0000"/>
        </bottom>
        <vertical style="thin">
          <color theme="0"/>
        </vertical>
        <horizontal style="thin">
          <color theme="0"/>
        </horizontal>
      </border>
    </dxf>
  </dxfs>
  <tableStyles count="2" defaultTableStyle="TableStyleMedium9" defaultPivotStyle="PivotStyleLight16">
    <tableStyle name="MMB" pivot="0" count="4">
      <tableStyleElement type="wholeTable" dxfId="20"/>
      <tableStyleElement type="headerRow" dxfId="19"/>
      <tableStyleElement type="firstRowStripe" dxfId="18"/>
      <tableStyleElement type="secondRowStripe" dxfId="17"/>
    </tableStyle>
    <tableStyle name="MMB 2" pivot="0" count="4">
      <tableStyleElement type="wholeTable" dxfId="16"/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7"/>
  <sheetViews>
    <sheetView topLeftCell="A331" workbookViewId="0">
      <selection activeCell="B335" sqref="B335"/>
    </sheetView>
  </sheetViews>
  <sheetFormatPr defaultColWidth="9.140625" defaultRowHeight="15.75" x14ac:dyDescent="0.25"/>
  <cols>
    <col min="1" max="1" width="11.28515625" style="104" customWidth="1"/>
    <col min="2" max="2" width="87.28515625" style="42" customWidth="1"/>
    <col min="3" max="3" width="17.5703125" style="42" customWidth="1"/>
    <col min="4" max="4" width="16.7109375" style="45" bestFit="1" customWidth="1"/>
    <col min="5" max="5" width="15" style="105" bestFit="1" customWidth="1"/>
    <col min="6" max="6" width="17.140625" style="105" customWidth="1"/>
    <col min="7" max="7" width="22" style="106" customWidth="1"/>
    <col min="8" max="8" width="24.5703125" style="42" customWidth="1"/>
    <col min="9" max="16384" width="9.140625" style="42"/>
  </cols>
  <sheetData>
    <row r="1" spans="1:8" s="2" customFormat="1" ht="22.5" x14ac:dyDescent="0.3">
      <c r="A1" s="174" t="s">
        <v>0</v>
      </c>
      <c r="B1" s="174"/>
      <c r="C1" s="174"/>
      <c r="D1" s="174"/>
      <c r="E1" s="174"/>
      <c r="F1" s="174"/>
      <c r="G1" s="1"/>
    </row>
    <row r="2" spans="1:8" s="2" customFormat="1" ht="22.5" x14ac:dyDescent="0.3">
      <c r="A2" s="174" t="s">
        <v>346</v>
      </c>
      <c r="B2" s="174"/>
      <c r="C2" s="174"/>
      <c r="D2" s="174"/>
      <c r="E2" s="174"/>
      <c r="F2" s="174"/>
      <c r="G2" s="1"/>
    </row>
    <row r="3" spans="1:8" s="2" customFormat="1" ht="22.5" x14ac:dyDescent="0.3">
      <c r="A3" s="160"/>
      <c r="B3" s="120"/>
      <c r="C3" s="148"/>
      <c r="D3" s="121"/>
      <c r="E3" s="160"/>
      <c r="F3" s="160"/>
      <c r="G3" s="1"/>
    </row>
    <row r="4" spans="1:8" s="2" customFormat="1" ht="23.25" thickBot="1" x14ac:dyDescent="0.35">
      <c r="A4" s="160"/>
      <c r="B4" s="160"/>
      <c r="C4" s="160"/>
      <c r="D4" s="121"/>
      <c r="E4" s="160"/>
      <c r="F4" s="1"/>
      <c r="G4" s="1"/>
    </row>
    <row r="5" spans="1:8" s="2" customFormat="1" x14ac:dyDescent="0.25">
      <c r="A5" s="3"/>
      <c r="B5" s="4"/>
      <c r="C5" s="4"/>
      <c r="D5" s="117"/>
      <c r="E5" s="6"/>
      <c r="F5" s="6"/>
      <c r="G5" s="7"/>
    </row>
    <row r="6" spans="1:8" s="2" customFormat="1" ht="16.5" thickBot="1" x14ac:dyDescent="0.3">
      <c r="A6" s="8" t="s">
        <v>1</v>
      </c>
      <c r="B6" s="9" t="s">
        <v>2</v>
      </c>
      <c r="C6" s="9" t="s">
        <v>3</v>
      </c>
      <c r="D6" s="118" t="s">
        <v>4</v>
      </c>
      <c r="E6" s="11" t="s">
        <v>5</v>
      </c>
      <c r="F6" s="11" t="s">
        <v>6</v>
      </c>
      <c r="G6" s="1"/>
    </row>
    <row r="7" spans="1:8" s="18" customFormat="1" x14ac:dyDescent="0.25">
      <c r="A7" s="12"/>
      <c r="B7" s="13" t="s">
        <v>7</v>
      </c>
      <c r="C7" s="14">
        <f>+SUM(C8:C9)</f>
        <v>85.8</v>
      </c>
      <c r="D7" s="15">
        <f>+SUM(D8:D9)</f>
        <v>85800</v>
      </c>
      <c r="E7" s="17"/>
      <c r="F7" s="17"/>
      <c r="G7" s="2"/>
      <c r="H7" s="2"/>
    </row>
    <row r="8" spans="1:8" s="2" customFormat="1" x14ac:dyDescent="0.25">
      <c r="A8" s="12">
        <v>41772</v>
      </c>
      <c r="B8" s="19" t="s">
        <v>350</v>
      </c>
      <c r="C8" s="20">
        <v>41.5</v>
      </c>
      <c r="D8" s="21">
        <v>41500</v>
      </c>
      <c r="E8" s="22">
        <v>98348</v>
      </c>
      <c r="F8" s="22">
        <v>4111</v>
      </c>
    </row>
    <row r="9" spans="1:8" s="2" customFormat="1" x14ac:dyDescent="0.25">
      <c r="A9" s="12">
        <v>41913</v>
      </c>
      <c r="B9" s="19" t="s">
        <v>221</v>
      </c>
      <c r="C9" s="20">
        <v>44.3</v>
      </c>
      <c r="D9" s="21">
        <v>44300</v>
      </c>
      <c r="E9" s="22">
        <v>98187</v>
      </c>
      <c r="F9" s="22">
        <v>4111</v>
      </c>
    </row>
    <row r="10" spans="1:8" s="2" customFormat="1" x14ac:dyDescent="0.25">
      <c r="A10" s="12"/>
      <c r="B10" s="19"/>
      <c r="C10" s="20"/>
      <c r="D10" s="21"/>
      <c r="E10" s="22"/>
      <c r="F10" s="29"/>
    </row>
    <row r="11" spans="1:8" s="2" customFormat="1" x14ac:dyDescent="0.25">
      <c r="A11" s="12"/>
      <c r="B11" s="13" t="s">
        <v>16</v>
      </c>
      <c r="C11" s="30">
        <f>+SUM(C12:C19)</f>
        <v>579.85323000000005</v>
      </c>
      <c r="D11" s="30">
        <f>+SUM(D12:D19)</f>
        <v>579853.23</v>
      </c>
      <c r="E11" s="22"/>
      <c r="F11" s="29"/>
    </row>
    <row r="12" spans="1:8" s="2" customFormat="1" x14ac:dyDescent="0.25">
      <c r="A12" s="12">
        <v>41983</v>
      </c>
      <c r="B12" s="24" t="s">
        <v>337</v>
      </c>
      <c r="C12" s="20">
        <v>97.66095</v>
      </c>
      <c r="D12" s="21">
        <v>97660.95</v>
      </c>
      <c r="E12" s="22">
        <v>90001</v>
      </c>
      <c r="F12" s="29">
        <v>4113</v>
      </c>
    </row>
    <row r="13" spans="1:8" s="2" customFormat="1" x14ac:dyDescent="0.25">
      <c r="A13" s="12">
        <v>41983</v>
      </c>
      <c r="B13" s="24" t="s">
        <v>290</v>
      </c>
      <c r="C13" s="20">
        <v>50.443950000000001</v>
      </c>
      <c r="D13" s="21">
        <v>50443.95</v>
      </c>
      <c r="E13" s="22">
        <v>90001</v>
      </c>
      <c r="F13" s="29">
        <v>4113</v>
      </c>
    </row>
    <row r="14" spans="1:8" s="2" customFormat="1" x14ac:dyDescent="0.25">
      <c r="A14" s="12">
        <v>41983</v>
      </c>
      <c r="B14" s="24" t="s">
        <v>291</v>
      </c>
      <c r="C14" s="20">
        <v>29.169740000000001</v>
      </c>
      <c r="D14" s="21">
        <v>29169.74</v>
      </c>
      <c r="E14" s="22">
        <v>90001</v>
      </c>
      <c r="F14" s="29">
        <v>4113</v>
      </c>
    </row>
    <row r="15" spans="1:8" s="2" customFormat="1" x14ac:dyDescent="0.25">
      <c r="A15" s="12">
        <v>41984</v>
      </c>
      <c r="B15" s="24" t="s">
        <v>292</v>
      </c>
      <c r="C15" s="20">
        <v>68.784959999999998</v>
      </c>
      <c r="D15" s="21">
        <v>68784.960000000006</v>
      </c>
      <c r="E15" s="22">
        <v>90001</v>
      </c>
      <c r="F15" s="29">
        <v>4113</v>
      </c>
    </row>
    <row r="16" spans="1:8" s="2" customFormat="1" x14ac:dyDescent="0.25">
      <c r="A16" s="12">
        <v>41984</v>
      </c>
      <c r="B16" s="24" t="s">
        <v>293</v>
      </c>
      <c r="C16" s="20">
        <v>12.22039</v>
      </c>
      <c r="D16" s="21">
        <v>12220.39</v>
      </c>
      <c r="E16" s="22">
        <v>90001</v>
      </c>
      <c r="F16" s="29">
        <v>4113</v>
      </c>
    </row>
    <row r="17" spans="1:10" s="2" customFormat="1" x14ac:dyDescent="0.25">
      <c r="A17" s="12">
        <v>41984</v>
      </c>
      <c r="B17" s="24" t="s">
        <v>295</v>
      </c>
      <c r="C17" s="20">
        <v>52.724510000000002</v>
      </c>
      <c r="D17" s="21">
        <v>52724.51</v>
      </c>
      <c r="E17" s="22">
        <v>90001</v>
      </c>
      <c r="F17" s="29">
        <v>4113</v>
      </c>
    </row>
    <row r="18" spans="1:10" s="2" customFormat="1" x14ac:dyDescent="0.25">
      <c r="A18" s="12">
        <v>41984</v>
      </c>
      <c r="B18" s="24" t="s">
        <v>296</v>
      </c>
      <c r="C18" s="20">
        <v>94.154309999999995</v>
      </c>
      <c r="D18" s="21">
        <v>94154.31</v>
      </c>
      <c r="E18" s="22">
        <v>90001</v>
      </c>
      <c r="F18" s="29">
        <v>4113</v>
      </c>
    </row>
    <row r="19" spans="1:10" s="2" customFormat="1" x14ac:dyDescent="0.25">
      <c r="A19" s="12">
        <v>41983</v>
      </c>
      <c r="B19" s="24" t="s">
        <v>297</v>
      </c>
      <c r="C19" s="20">
        <v>174.69442000000001</v>
      </c>
      <c r="D19" s="21">
        <v>174694.42</v>
      </c>
      <c r="E19" s="22">
        <v>90001</v>
      </c>
      <c r="F19" s="29">
        <v>4113</v>
      </c>
    </row>
    <row r="20" spans="1:10" s="2" customFormat="1" x14ac:dyDescent="0.25">
      <c r="A20" s="12"/>
      <c r="B20" s="32"/>
      <c r="C20" s="20"/>
      <c r="D20" s="150"/>
      <c r="E20" s="147"/>
      <c r="F20" s="22"/>
    </row>
    <row r="21" spans="1:10" s="18" customFormat="1" x14ac:dyDescent="0.25">
      <c r="A21" s="12"/>
      <c r="B21" s="13" t="s">
        <v>19</v>
      </c>
      <c r="C21" s="13">
        <f>SUM(C22:C25)</f>
        <v>4564</v>
      </c>
      <c r="D21" s="31">
        <f>SUM(D22:D25)</f>
        <v>4564000</v>
      </c>
      <c r="E21" s="33"/>
      <c r="F21" s="16"/>
      <c r="G21" s="2"/>
      <c r="H21" s="2"/>
      <c r="I21" s="2"/>
      <c r="J21" s="2"/>
    </row>
    <row r="22" spans="1:10" s="2" customFormat="1" x14ac:dyDescent="0.25">
      <c r="A22" s="25">
        <v>41689</v>
      </c>
      <c r="B22" s="19" t="s">
        <v>40</v>
      </c>
      <c r="C22" s="37">
        <v>4544</v>
      </c>
      <c r="D22" s="151">
        <v>4544000</v>
      </c>
      <c r="E22" s="34">
        <v>13010</v>
      </c>
      <c r="F22" s="29">
        <v>4116</v>
      </c>
    </row>
    <row r="23" spans="1:10" s="2" customFormat="1" x14ac:dyDescent="0.25">
      <c r="A23" s="25">
        <v>41766</v>
      </c>
      <c r="B23" s="19" t="s">
        <v>40</v>
      </c>
      <c r="C23" s="37">
        <v>36</v>
      </c>
      <c r="D23" s="152">
        <v>36000</v>
      </c>
      <c r="E23" s="34">
        <v>13010</v>
      </c>
      <c r="F23" s="29">
        <v>4116</v>
      </c>
    </row>
    <row r="24" spans="1:10" s="2" customFormat="1" x14ac:dyDescent="0.25">
      <c r="A24" s="25">
        <v>41970</v>
      </c>
      <c r="B24" s="19" t="s">
        <v>285</v>
      </c>
      <c r="C24" s="20">
        <v>-28</v>
      </c>
      <c r="D24" s="53">
        <v>-28000</v>
      </c>
      <c r="E24" s="149">
        <v>13010</v>
      </c>
      <c r="F24" s="29">
        <v>4116</v>
      </c>
    </row>
    <row r="25" spans="1:10" s="2" customFormat="1" x14ac:dyDescent="0.25">
      <c r="A25" s="12">
        <v>41992</v>
      </c>
      <c r="B25" s="19" t="s">
        <v>40</v>
      </c>
      <c r="C25" s="20">
        <v>12</v>
      </c>
      <c r="D25" s="53">
        <v>12000</v>
      </c>
      <c r="E25" s="147">
        <v>13010</v>
      </c>
      <c r="F25" s="29">
        <v>4116</v>
      </c>
    </row>
    <row r="26" spans="1:10" s="2" customFormat="1" x14ac:dyDescent="0.25">
      <c r="A26" s="25"/>
      <c r="B26" s="23"/>
      <c r="C26" s="37"/>
      <c r="D26" s="21"/>
      <c r="E26" s="35"/>
      <c r="F26" s="36"/>
    </row>
    <row r="27" spans="1:10" s="2" customFormat="1" x14ac:dyDescent="0.25">
      <c r="A27" s="25"/>
      <c r="B27" s="38" t="s">
        <v>36</v>
      </c>
      <c r="C27" s="39">
        <f>+SUM(C28:C67)</f>
        <v>22723</v>
      </c>
      <c r="D27" s="40">
        <f>+SUM(D28:D67)</f>
        <v>22723000</v>
      </c>
      <c r="E27" s="29"/>
      <c r="F27" s="36"/>
    </row>
    <row r="28" spans="1:10" s="2" customFormat="1" x14ac:dyDescent="0.25">
      <c r="A28" s="25">
        <v>41737</v>
      </c>
      <c r="B28" s="107" t="s">
        <v>158</v>
      </c>
      <c r="C28" s="20">
        <v>400</v>
      </c>
      <c r="D28" s="21">
        <v>400000</v>
      </c>
      <c r="E28" s="41">
        <v>34070</v>
      </c>
      <c r="F28" s="36">
        <v>4116</v>
      </c>
    </row>
    <row r="29" spans="1:10" s="2" customFormat="1" x14ac:dyDescent="0.25">
      <c r="A29" s="49">
        <v>41737</v>
      </c>
      <c r="B29" s="107" t="s">
        <v>157</v>
      </c>
      <c r="C29" s="20">
        <v>40</v>
      </c>
      <c r="D29" s="21">
        <v>40000</v>
      </c>
      <c r="E29" s="36">
        <v>34070</v>
      </c>
      <c r="F29" s="36">
        <v>4116</v>
      </c>
    </row>
    <row r="30" spans="1:10" s="2" customFormat="1" x14ac:dyDescent="0.25">
      <c r="A30" s="49">
        <v>41746</v>
      </c>
      <c r="B30" s="107" t="s">
        <v>99</v>
      </c>
      <c r="C30" s="20">
        <v>120</v>
      </c>
      <c r="D30" s="21">
        <v>120000</v>
      </c>
      <c r="E30" s="36">
        <v>34070</v>
      </c>
      <c r="F30" s="36">
        <v>4116</v>
      </c>
    </row>
    <row r="31" spans="1:10" s="2" customFormat="1" x14ac:dyDescent="0.25">
      <c r="A31" s="49">
        <v>41746</v>
      </c>
      <c r="B31" s="107" t="s">
        <v>97</v>
      </c>
      <c r="C31" s="20">
        <v>220</v>
      </c>
      <c r="D31" s="21">
        <v>220000</v>
      </c>
      <c r="E31" s="36">
        <v>34070</v>
      </c>
      <c r="F31" s="36">
        <v>4116</v>
      </c>
    </row>
    <row r="32" spans="1:10" s="2" customFormat="1" x14ac:dyDescent="0.25">
      <c r="A32" s="25">
        <v>41751</v>
      </c>
      <c r="B32" s="107" t="s">
        <v>95</v>
      </c>
      <c r="C32" s="20">
        <v>600</v>
      </c>
      <c r="D32" s="21">
        <v>600000</v>
      </c>
      <c r="E32" s="29">
        <v>34070</v>
      </c>
      <c r="F32" s="29">
        <v>4116</v>
      </c>
    </row>
    <row r="33" spans="1:6" s="2" customFormat="1" x14ac:dyDescent="0.25">
      <c r="A33" s="25">
        <v>41764</v>
      </c>
      <c r="B33" s="107" t="s">
        <v>100</v>
      </c>
      <c r="C33" s="20">
        <v>80</v>
      </c>
      <c r="D33" s="21">
        <v>80000</v>
      </c>
      <c r="E33" s="29">
        <v>34070</v>
      </c>
      <c r="F33" s="29">
        <v>4116</v>
      </c>
    </row>
    <row r="34" spans="1:6" s="2" customFormat="1" x14ac:dyDescent="0.25">
      <c r="A34" s="25">
        <v>41766</v>
      </c>
      <c r="B34" s="107" t="s">
        <v>135</v>
      </c>
      <c r="C34" s="20">
        <v>45</v>
      </c>
      <c r="D34" s="21">
        <v>45000</v>
      </c>
      <c r="E34" s="29">
        <v>34053</v>
      </c>
      <c r="F34" s="29">
        <v>4116</v>
      </c>
    </row>
    <row r="35" spans="1:6" s="2" customFormat="1" x14ac:dyDescent="0.25">
      <c r="A35" s="25">
        <v>41775</v>
      </c>
      <c r="B35" s="107" t="s">
        <v>136</v>
      </c>
      <c r="C35" s="20">
        <v>25</v>
      </c>
      <c r="D35" s="21">
        <v>25000</v>
      </c>
      <c r="E35" s="29">
        <v>34070</v>
      </c>
      <c r="F35" s="29">
        <v>4116</v>
      </c>
    </row>
    <row r="36" spans="1:6" s="2" customFormat="1" x14ac:dyDescent="0.25">
      <c r="A36" s="25">
        <v>41775</v>
      </c>
      <c r="B36" s="107" t="s">
        <v>113</v>
      </c>
      <c r="C36" s="20">
        <v>90</v>
      </c>
      <c r="D36" s="21">
        <v>90000</v>
      </c>
      <c r="E36" s="29">
        <v>34070</v>
      </c>
      <c r="F36" s="29">
        <v>4116</v>
      </c>
    </row>
    <row r="37" spans="1:6" s="2" customFormat="1" x14ac:dyDescent="0.25">
      <c r="A37" s="25">
        <v>41781</v>
      </c>
      <c r="B37" s="107" t="s">
        <v>137</v>
      </c>
      <c r="C37" s="20">
        <v>15</v>
      </c>
      <c r="D37" s="21">
        <v>15000</v>
      </c>
      <c r="E37" s="29">
        <v>34070</v>
      </c>
      <c r="F37" s="29">
        <v>4116</v>
      </c>
    </row>
    <row r="38" spans="1:6" s="2" customFormat="1" x14ac:dyDescent="0.25">
      <c r="A38" s="25">
        <v>41781</v>
      </c>
      <c r="B38" s="107" t="s">
        <v>112</v>
      </c>
      <c r="C38" s="20">
        <v>18</v>
      </c>
      <c r="D38" s="21">
        <v>18000</v>
      </c>
      <c r="E38" s="29">
        <v>34070</v>
      </c>
      <c r="F38" s="29">
        <v>4116</v>
      </c>
    </row>
    <row r="39" spans="1:6" s="2" customFormat="1" x14ac:dyDescent="0.25">
      <c r="A39" s="25">
        <v>41781</v>
      </c>
      <c r="B39" s="107" t="s">
        <v>138</v>
      </c>
      <c r="C39" s="20">
        <v>19</v>
      </c>
      <c r="D39" s="21">
        <v>19000</v>
      </c>
      <c r="E39" s="29">
        <v>34070</v>
      </c>
      <c r="F39" s="29">
        <v>4116</v>
      </c>
    </row>
    <row r="40" spans="1:6" s="2" customFormat="1" x14ac:dyDescent="0.25">
      <c r="A40" s="25">
        <v>41787</v>
      </c>
      <c r="B40" s="107" t="s">
        <v>105</v>
      </c>
      <c r="C40" s="20">
        <v>90</v>
      </c>
      <c r="D40" s="21">
        <v>90000</v>
      </c>
      <c r="E40" s="29">
        <v>34053</v>
      </c>
      <c r="F40" s="29">
        <v>4116</v>
      </c>
    </row>
    <row r="41" spans="1:6" s="2" customFormat="1" x14ac:dyDescent="0.25">
      <c r="A41" s="25">
        <v>41788</v>
      </c>
      <c r="B41" s="107" t="s">
        <v>139</v>
      </c>
      <c r="C41" s="20">
        <v>100</v>
      </c>
      <c r="D41" s="21">
        <v>100000</v>
      </c>
      <c r="E41" s="29">
        <v>34070</v>
      </c>
      <c r="F41" s="29">
        <v>4116</v>
      </c>
    </row>
    <row r="42" spans="1:6" s="2" customFormat="1" x14ac:dyDescent="0.25">
      <c r="A42" s="25">
        <v>41788</v>
      </c>
      <c r="B42" s="107" t="s">
        <v>140</v>
      </c>
      <c r="C42" s="20">
        <v>100</v>
      </c>
      <c r="D42" s="21">
        <v>100000</v>
      </c>
      <c r="E42" s="29">
        <v>34070</v>
      </c>
      <c r="F42" s="29">
        <v>4116</v>
      </c>
    </row>
    <row r="43" spans="1:6" s="2" customFormat="1" x14ac:dyDescent="0.25">
      <c r="A43" s="25">
        <v>41788</v>
      </c>
      <c r="B43" s="107" t="s">
        <v>141</v>
      </c>
      <c r="C43" s="20">
        <v>100</v>
      </c>
      <c r="D43" s="21">
        <v>100000</v>
      </c>
      <c r="E43" s="29">
        <v>34070</v>
      </c>
      <c r="F43" s="29">
        <v>4116</v>
      </c>
    </row>
    <row r="44" spans="1:6" s="2" customFormat="1" x14ac:dyDescent="0.25">
      <c r="A44" s="25">
        <v>41801</v>
      </c>
      <c r="B44" s="107" t="s">
        <v>124</v>
      </c>
      <c r="C44" s="20">
        <v>30</v>
      </c>
      <c r="D44" s="21">
        <v>30000</v>
      </c>
      <c r="E44" s="29">
        <v>34194</v>
      </c>
      <c r="F44" s="29">
        <v>4116</v>
      </c>
    </row>
    <row r="45" spans="1:6" s="2" customFormat="1" x14ac:dyDescent="0.25">
      <c r="A45" s="25">
        <v>41815</v>
      </c>
      <c r="B45" s="107" t="s">
        <v>142</v>
      </c>
      <c r="C45" s="20">
        <v>1100</v>
      </c>
      <c r="D45" s="21">
        <v>1100000</v>
      </c>
      <c r="E45" s="29">
        <v>34352</v>
      </c>
      <c r="F45" s="29">
        <v>4116</v>
      </c>
    </row>
    <row r="46" spans="1:6" s="2" customFormat="1" x14ac:dyDescent="0.25">
      <c r="A46" s="25">
        <v>41820</v>
      </c>
      <c r="B46" s="107" t="s">
        <v>133</v>
      </c>
      <c r="C46" s="20">
        <v>114</v>
      </c>
      <c r="D46" s="21">
        <v>114000</v>
      </c>
      <c r="E46" s="29">
        <v>34001</v>
      </c>
      <c r="F46" s="29">
        <v>4116</v>
      </c>
    </row>
    <row r="47" spans="1:6" s="2" customFormat="1" x14ac:dyDescent="0.25">
      <c r="A47" s="25">
        <v>41822</v>
      </c>
      <c r="B47" s="107" t="s">
        <v>164</v>
      </c>
      <c r="C47" s="20">
        <v>5920</v>
      </c>
      <c r="D47" s="21">
        <v>5920000</v>
      </c>
      <c r="E47" s="29">
        <v>34352</v>
      </c>
      <c r="F47" s="29">
        <v>4116</v>
      </c>
    </row>
    <row r="48" spans="1:6" s="2" customFormat="1" x14ac:dyDescent="0.25">
      <c r="A48" s="25">
        <v>41822</v>
      </c>
      <c r="B48" s="107" t="s">
        <v>165</v>
      </c>
      <c r="C48" s="20">
        <v>2340</v>
      </c>
      <c r="D48" s="21">
        <v>2340000</v>
      </c>
      <c r="E48" s="29">
        <v>34352</v>
      </c>
      <c r="F48" s="29">
        <v>4116</v>
      </c>
    </row>
    <row r="49" spans="1:6" s="2" customFormat="1" x14ac:dyDescent="0.25">
      <c r="A49" s="25">
        <v>41822</v>
      </c>
      <c r="B49" s="107" t="s">
        <v>166</v>
      </c>
      <c r="C49" s="20">
        <v>2330</v>
      </c>
      <c r="D49" s="21">
        <v>2330000</v>
      </c>
      <c r="E49" s="29">
        <v>34352</v>
      </c>
      <c r="F49" s="29">
        <v>4116</v>
      </c>
    </row>
    <row r="50" spans="1:6" s="2" customFormat="1" x14ac:dyDescent="0.25">
      <c r="A50" s="25">
        <v>41824</v>
      </c>
      <c r="B50" s="107" t="s">
        <v>174</v>
      </c>
      <c r="C50" s="20">
        <v>140</v>
      </c>
      <c r="D50" s="21">
        <v>140000</v>
      </c>
      <c r="E50" s="29">
        <v>34001</v>
      </c>
      <c r="F50" s="29">
        <v>4116</v>
      </c>
    </row>
    <row r="51" spans="1:6" s="2" customFormat="1" x14ac:dyDescent="0.25">
      <c r="A51" s="25">
        <v>41828</v>
      </c>
      <c r="B51" s="107" t="s">
        <v>176</v>
      </c>
      <c r="C51" s="20">
        <v>650</v>
      </c>
      <c r="D51" s="21">
        <v>650000</v>
      </c>
      <c r="E51" s="29">
        <v>34352</v>
      </c>
      <c r="F51" s="29">
        <v>4116</v>
      </c>
    </row>
    <row r="52" spans="1:6" s="2" customFormat="1" x14ac:dyDescent="0.25">
      <c r="A52" s="25">
        <v>41835</v>
      </c>
      <c r="B52" s="107" t="s">
        <v>178</v>
      </c>
      <c r="C52" s="20">
        <v>340</v>
      </c>
      <c r="D52" s="21">
        <v>340000</v>
      </c>
      <c r="E52" s="29">
        <v>34070</v>
      </c>
      <c r="F52" s="29">
        <v>4116</v>
      </c>
    </row>
    <row r="53" spans="1:6" s="2" customFormat="1" x14ac:dyDescent="0.25">
      <c r="A53" s="25">
        <v>41835</v>
      </c>
      <c r="B53" s="107" t="s">
        <v>179</v>
      </c>
      <c r="C53" s="20">
        <v>450</v>
      </c>
      <c r="D53" s="21">
        <v>450000</v>
      </c>
      <c r="E53" s="29">
        <v>34070</v>
      </c>
      <c r="F53" s="29">
        <v>4116</v>
      </c>
    </row>
    <row r="54" spans="1:6" s="2" customFormat="1" x14ac:dyDescent="0.25">
      <c r="A54" s="25">
        <v>41835</v>
      </c>
      <c r="B54" s="107" t="s">
        <v>180</v>
      </c>
      <c r="C54" s="20">
        <v>80</v>
      </c>
      <c r="D54" s="21">
        <v>80000</v>
      </c>
      <c r="E54" s="29">
        <v>34070</v>
      </c>
      <c r="F54" s="29">
        <v>4116</v>
      </c>
    </row>
    <row r="55" spans="1:6" s="2" customFormat="1" x14ac:dyDescent="0.25">
      <c r="A55" s="25">
        <v>41850</v>
      </c>
      <c r="B55" s="107" t="s">
        <v>170</v>
      </c>
      <c r="C55" s="20">
        <v>150</v>
      </c>
      <c r="D55" s="21">
        <v>150000</v>
      </c>
      <c r="E55" s="29">
        <v>34070</v>
      </c>
      <c r="F55" s="29">
        <v>4116</v>
      </c>
    </row>
    <row r="56" spans="1:6" s="2" customFormat="1" x14ac:dyDescent="0.25">
      <c r="A56" s="25">
        <v>41912</v>
      </c>
      <c r="B56" s="107" t="s">
        <v>211</v>
      </c>
      <c r="C56" s="20">
        <v>456</v>
      </c>
      <c r="D56" s="21">
        <v>456000</v>
      </c>
      <c r="E56" s="29">
        <v>34002</v>
      </c>
      <c r="F56" s="29">
        <v>4116</v>
      </c>
    </row>
    <row r="57" spans="1:6" s="2" customFormat="1" x14ac:dyDescent="0.25">
      <c r="A57" s="25">
        <v>41915</v>
      </c>
      <c r="B57" s="107" t="s">
        <v>232</v>
      </c>
      <c r="C57" s="20">
        <v>1880</v>
      </c>
      <c r="D57" s="21">
        <v>1880000</v>
      </c>
      <c r="E57" s="29">
        <v>34054</v>
      </c>
      <c r="F57" s="29">
        <v>4116</v>
      </c>
    </row>
    <row r="58" spans="1:6" s="2" customFormat="1" x14ac:dyDescent="0.25">
      <c r="A58" s="25">
        <v>41915</v>
      </c>
      <c r="B58" s="107" t="s">
        <v>233</v>
      </c>
      <c r="C58" s="20">
        <v>1446</v>
      </c>
      <c r="D58" s="21">
        <v>1446000</v>
      </c>
      <c r="E58" s="29">
        <v>34002</v>
      </c>
      <c r="F58" s="29">
        <v>4116</v>
      </c>
    </row>
    <row r="59" spans="1:6" s="2" customFormat="1" x14ac:dyDescent="0.25">
      <c r="A59" s="25">
        <v>41928</v>
      </c>
      <c r="B59" s="107" t="s">
        <v>231</v>
      </c>
      <c r="C59" s="20">
        <v>350</v>
      </c>
      <c r="D59" s="21">
        <v>350000</v>
      </c>
      <c r="E59" s="29">
        <v>34070</v>
      </c>
      <c r="F59" s="29">
        <v>4116</v>
      </c>
    </row>
    <row r="60" spans="1:6" s="2" customFormat="1" x14ac:dyDescent="0.25">
      <c r="A60" s="25">
        <v>41942</v>
      </c>
      <c r="B60" s="107" t="s">
        <v>249</v>
      </c>
      <c r="C60" s="20">
        <v>80</v>
      </c>
      <c r="D60" s="21">
        <v>80000</v>
      </c>
      <c r="E60" s="29">
        <v>34070</v>
      </c>
      <c r="F60" s="29">
        <v>4116</v>
      </c>
    </row>
    <row r="61" spans="1:6" s="2" customFormat="1" x14ac:dyDescent="0.25">
      <c r="A61" s="25">
        <v>41955</v>
      </c>
      <c r="B61" s="107" t="s">
        <v>176</v>
      </c>
      <c r="C61" s="20">
        <v>90</v>
      </c>
      <c r="D61" s="21">
        <v>90000</v>
      </c>
      <c r="E61" s="29">
        <v>34352</v>
      </c>
      <c r="F61" s="29">
        <v>4116</v>
      </c>
    </row>
    <row r="62" spans="1:6" s="2" customFormat="1" x14ac:dyDescent="0.25">
      <c r="A62" s="25">
        <v>41955</v>
      </c>
      <c r="B62" s="107" t="s">
        <v>164</v>
      </c>
      <c r="C62" s="20">
        <v>845</v>
      </c>
      <c r="D62" s="21">
        <v>845000</v>
      </c>
      <c r="E62" s="29">
        <v>34352</v>
      </c>
      <c r="F62" s="29">
        <v>4116</v>
      </c>
    </row>
    <row r="63" spans="1:6" s="2" customFormat="1" x14ac:dyDescent="0.25">
      <c r="A63" s="25">
        <v>41955</v>
      </c>
      <c r="B63" s="107" t="s">
        <v>165</v>
      </c>
      <c r="C63" s="20">
        <v>330</v>
      </c>
      <c r="D63" s="20">
        <v>330000</v>
      </c>
      <c r="E63" s="29">
        <v>34352</v>
      </c>
      <c r="F63" s="29">
        <v>4116</v>
      </c>
    </row>
    <row r="64" spans="1:6" s="2" customFormat="1" x14ac:dyDescent="0.25">
      <c r="A64" s="25">
        <v>41964</v>
      </c>
      <c r="B64" s="107" t="s">
        <v>271</v>
      </c>
      <c r="C64" s="20">
        <v>160</v>
      </c>
      <c r="D64" s="20">
        <v>160000</v>
      </c>
      <c r="E64" s="29">
        <v>34352</v>
      </c>
      <c r="F64" s="29">
        <v>4116</v>
      </c>
    </row>
    <row r="65" spans="1:8" s="2" customFormat="1" x14ac:dyDescent="0.25">
      <c r="A65" s="25">
        <v>41964</v>
      </c>
      <c r="B65" s="107" t="s">
        <v>270</v>
      </c>
      <c r="C65" s="20">
        <v>1050</v>
      </c>
      <c r="D65" s="20">
        <v>1050000</v>
      </c>
      <c r="E65" s="29">
        <v>34070</v>
      </c>
      <c r="F65" s="29">
        <v>4116</v>
      </c>
    </row>
    <row r="66" spans="1:8" s="2" customFormat="1" x14ac:dyDescent="0.25">
      <c r="A66" s="25">
        <v>41977</v>
      </c>
      <c r="B66" s="107" t="s">
        <v>288</v>
      </c>
      <c r="C66" s="20">
        <v>330</v>
      </c>
      <c r="D66" s="20">
        <v>330000</v>
      </c>
      <c r="E66" s="29">
        <v>34352</v>
      </c>
      <c r="F66" s="29">
        <v>4116</v>
      </c>
    </row>
    <row r="67" spans="1:8" x14ac:dyDescent="0.25">
      <c r="A67" s="50"/>
      <c r="B67" s="107"/>
      <c r="C67" s="115"/>
      <c r="D67" s="21"/>
      <c r="E67" s="51"/>
      <c r="F67" s="51"/>
      <c r="G67" s="2"/>
      <c r="H67" s="2"/>
    </row>
    <row r="68" spans="1:8" s="2" customFormat="1" x14ac:dyDescent="0.25">
      <c r="A68" s="25"/>
      <c r="B68" s="38" t="s">
        <v>37</v>
      </c>
      <c r="C68" s="39">
        <f>SUM(C69:C80)</f>
        <v>25963.518090000001</v>
      </c>
      <c r="D68" s="40">
        <f>SUM(D69:D80)</f>
        <v>25963518.090000004</v>
      </c>
      <c r="E68" s="29"/>
      <c r="F68" s="36"/>
    </row>
    <row r="69" spans="1:8" s="2" customFormat="1" x14ac:dyDescent="0.25">
      <c r="A69" s="25">
        <v>41696</v>
      </c>
      <c r="B69" s="107" t="s">
        <v>73</v>
      </c>
      <c r="C69" s="52">
        <v>477.3768</v>
      </c>
      <c r="D69" s="53">
        <v>477376.8</v>
      </c>
      <c r="E69" s="29">
        <v>33123</v>
      </c>
      <c r="F69" s="36" t="s">
        <v>20</v>
      </c>
    </row>
    <row r="70" spans="1:8" s="2" customFormat="1" x14ac:dyDescent="0.25">
      <c r="A70" s="25">
        <v>41697</v>
      </c>
      <c r="B70" s="107" t="s">
        <v>74</v>
      </c>
      <c r="C70" s="52">
        <v>67.2</v>
      </c>
      <c r="D70" s="55">
        <v>67200</v>
      </c>
      <c r="E70" s="29">
        <v>33122</v>
      </c>
      <c r="F70" s="36">
        <v>4116</v>
      </c>
    </row>
    <row r="71" spans="1:8" s="2" customFormat="1" x14ac:dyDescent="0.25">
      <c r="A71" s="25">
        <v>41716</v>
      </c>
      <c r="B71" s="107" t="s">
        <v>79</v>
      </c>
      <c r="C71" s="52">
        <v>108.288</v>
      </c>
      <c r="D71" s="55">
        <v>108288</v>
      </c>
      <c r="E71" s="29">
        <v>33019</v>
      </c>
      <c r="F71" s="36">
        <v>4116</v>
      </c>
    </row>
    <row r="72" spans="1:8" s="2" customFormat="1" x14ac:dyDescent="0.25">
      <c r="A72" s="25">
        <v>41773</v>
      </c>
      <c r="B72" s="107" t="s">
        <v>159</v>
      </c>
      <c r="C72" s="52">
        <v>30</v>
      </c>
      <c r="D72" s="114">
        <v>30000</v>
      </c>
      <c r="E72" s="29">
        <v>33246</v>
      </c>
      <c r="F72" s="36">
        <v>4116</v>
      </c>
    </row>
    <row r="73" spans="1:8" s="2" customFormat="1" x14ac:dyDescent="0.25">
      <c r="A73" s="25">
        <v>41792</v>
      </c>
      <c r="B73" s="24" t="s">
        <v>118</v>
      </c>
      <c r="C73" s="52">
        <v>700.51199999999994</v>
      </c>
      <c r="D73" s="55">
        <v>700512</v>
      </c>
      <c r="E73" s="28">
        <v>33123</v>
      </c>
      <c r="F73" s="36">
        <v>4116</v>
      </c>
    </row>
    <row r="74" spans="1:8" s="2" customFormat="1" x14ac:dyDescent="0.25">
      <c r="A74" s="25">
        <v>41858</v>
      </c>
      <c r="B74" s="24" t="s">
        <v>188</v>
      </c>
      <c r="C74" s="53">
        <v>11999.833000000001</v>
      </c>
      <c r="D74" s="55">
        <f>10199858.05+1799974.95</f>
        <v>11999833</v>
      </c>
      <c r="E74" s="28">
        <v>33019</v>
      </c>
      <c r="F74" s="36">
        <v>4116</v>
      </c>
    </row>
    <row r="75" spans="1:8" s="2" customFormat="1" x14ac:dyDescent="0.25">
      <c r="A75" s="25">
        <v>41871</v>
      </c>
      <c r="B75" s="24" t="s">
        <v>196</v>
      </c>
      <c r="C75" s="53">
        <v>2673.1238199999998</v>
      </c>
      <c r="D75" s="55">
        <f>2272155.24+400968.58</f>
        <v>2673123.8200000003</v>
      </c>
      <c r="E75" s="28">
        <v>33019</v>
      </c>
      <c r="F75" s="36">
        <v>4116</v>
      </c>
    </row>
    <row r="76" spans="1:8" s="2" customFormat="1" x14ac:dyDescent="0.25">
      <c r="A76" s="25">
        <v>41877</v>
      </c>
      <c r="B76" s="24" t="s">
        <v>197</v>
      </c>
      <c r="C76" s="53">
        <v>1863.2159999999999</v>
      </c>
      <c r="D76" s="55">
        <v>1863216</v>
      </c>
      <c r="E76" s="28">
        <v>33019</v>
      </c>
      <c r="F76" s="36">
        <v>4116</v>
      </c>
    </row>
    <row r="77" spans="1:8" s="2" customFormat="1" x14ac:dyDescent="0.25">
      <c r="A77" s="25">
        <v>41964</v>
      </c>
      <c r="B77" s="24" t="s">
        <v>272</v>
      </c>
      <c r="C77" s="53">
        <v>2042.6949999999999</v>
      </c>
      <c r="D77" s="55">
        <f>1736290.74+306404.26</f>
        <v>2042695</v>
      </c>
      <c r="E77" s="28">
        <v>33019</v>
      </c>
      <c r="F77" s="36">
        <v>4116</v>
      </c>
    </row>
    <row r="78" spans="1:8" s="2" customFormat="1" x14ac:dyDescent="0.25">
      <c r="A78" s="25">
        <v>41981</v>
      </c>
      <c r="B78" s="24" t="s">
        <v>196</v>
      </c>
      <c r="C78" s="53">
        <v>1857.6276399999999</v>
      </c>
      <c r="D78" s="55">
        <v>1857627.64</v>
      </c>
      <c r="E78" s="28">
        <v>33019</v>
      </c>
      <c r="F78" s="36">
        <v>4116</v>
      </c>
    </row>
    <row r="79" spans="1:8" s="2" customFormat="1" x14ac:dyDescent="0.25">
      <c r="A79" s="25">
        <v>41990</v>
      </c>
      <c r="B79" s="24" t="s">
        <v>188</v>
      </c>
      <c r="C79" s="53">
        <v>4143.6458300000004</v>
      </c>
      <c r="D79" s="55">
        <v>4143645.83</v>
      </c>
      <c r="E79" s="28">
        <v>33019</v>
      </c>
      <c r="F79" s="36">
        <v>4116</v>
      </c>
    </row>
    <row r="80" spans="1:8" s="2" customFormat="1" x14ac:dyDescent="0.25">
      <c r="A80" s="25"/>
      <c r="B80" s="54"/>
      <c r="C80" s="47"/>
      <c r="D80" s="55"/>
      <c r="E80" s="28"/>
      <c r="F80" s="36"/>
    </row>
    <row r="81" spans="1:8" s="2" customFormat="1" x14ac:dyDescent="0.25">
      <c r="A81" s="25"/>
      <c r="B81" s="13" t="s">
        <v>38</v>
      </c>
      <c r="C81" s="30">
        <f>+SUM(C82:C83)</f>
        <v>626.42600000000004</v>
      </c>
      <c r="D81" s="31">
        <f>+SUM(D82:D83)</f>
        <v>626426</v>
      </c>
      <c r="E81" s="28"/>
      <c r="F81" s="29"/>
    </row>
    <row r="82" spans="1:8" s="2" customFormat="1" x14ac:dyDescent="0.25">
      <c r="A82" s="25">
        <v>41705</v>
      </c>
      <c r="B82" s="107" t="s">
        <v>78</v>
      </c>
      <c r="C82" s="52">
        <v>626.42600000000004</v>
      </c>
      <c r="D82" s="53">
        <v>626426</v>
      </c>
      <c r="E82" s="28">
        <v>17003</v>
      </c>
      <c r="F82" s="29" t="s">
        <v>20</v>
      </c>
    </row>
    <row r="83" spans="1:8" s="2" customFormat="1" x14ac:dyDescent="0.25">
      <c r="A83" s="25"/>
      <c r="B83" s="57"/>
      <c r="C83" s="52"/>
      <c r="D83" s="53"/>
      <c r="E83" s="28"/>
      <c r="F83" s="29"/>
    </row>
    <row r="84" spans="1:8" s="2" customFormat="1" x14ac:dyDescent="0.25">
      <c r="A84" s="25"/>
      <c r="B84" s="30" t="s">
        <v>39</v>
      </c>
      <c r="C84" s="30">
        <f>+SUM(C85:C89)</f>
        <v>35159.919309999997</v>
      </c>
      <c r="D84" s="31">
        <f>+SUM(D85:D89)</f>
        <v>35159919.310000002</v>
      </c>
      <c r="E84" s="28"/>
      <c r="F84" s="29"/>
    </row>
    <row r="85" spans="1:8" s="2" customFormat="1" x14ac:dyDescent="0.25">
      <c r="A85" s="25">
        <v>41722</v>
      </c>
      <c r="B85" s="19" t="s">
        <v>86</v>
      </c>
      <c r="C85" s="20">
        <f>16575.733-15055.294</f>
        <v>1520.4390000000003</v>
      </c>
      <c r="D85" s="53">
        <f>16575733-15055294</f>
        <v>1520439</v>
      </c>
      <c r="E85" s="28">
        <v>13011</v>
      </c>
      <c r="F85" s="29">
        <v>4116</v>
      </c>
    </row>
    <row r="86" spans="1:8" s="2" customFormat="1" x14ac:dyDescent="0.25">
      <c r="A86" s="25">
        <v>41834</v>
      </c>
      <c r="B86" s="19" t="s">
        <v>86</v>
      </c>
      <c r="C86" s="20">
        <f>19604.287-18716.868</f>
        <v>887.41900000000169</v>
      </c>
      <c r="D86" s="53">
        <f>19604287-18716868</f>
        <v>887419</v>
      </c>
      <c r="E86" s="28">
        <v>13011</v>
      </c>
      <c r="F86" s="29">
        <v>4116</v>
      </c>
    </row>
    <row r="87" spans="1:8" s="2" customFormat="1" x14ac:dyDescent="0.25">
      <c r="A87" s="25">
        <v>41857</v>
      </c>
      <c r="B87" s="19" t="s">
        <v>191</v>
      </c>
      <c r="C87" s="20">
        <v>5207.2613099999999</v>
      </c>
      <c r="D87" s="53">
        <v>5207261.3099999996</v>
      </c>
      <c r="E87" s="28">
        <v>13011</v>
      </c>
      <c r="F87" s="29">
        <v>4116</v>
      </c>
    </row>
    <row r="88" spans="1:8" s="2" customFormat="1" x14ac:dyDescent="0.25">
      <c r="A88" s="25">
        <v>41914</v>
      </c>
      <c r="B88" s="19" t="s">
        <v>230</v>
      </c>
      <c r="C88" s="20">
        <v>22777.8</v>
      </c>
      <c r="D88" s="53">
        <v>22777800</v>
      </c>
      <c r="E88" s="28">
        <v>13305</v>
      </c>
      <c r="F88" s="29">
        <v>4116</v>
      </c>
    </row>
    <row r="89" spans="1:8" s="2" customFormat="1" x14ac:dyDescent="0.25">
      <c r="A89" s="25">
        <v>41989</v>
      </c>
      <c r="B89" s="19" t="s">
        <v>230</v>
      </c>
      <c r="C89" s="20">
        <v>4767</v>
      </c>
      <c r="D89" s="53">
        <v>4767000</v>
      </c>
      <c r="E89" s="28">
        <v>13305</v>
      </c>
      <c r="F89" s="29">
        <v>4116</v>
      </c>
    </row>
    <row r="90" spans="1:8" x14ac:dyDescent="0.25">
      <c r="A90" s="50"/>
      <c r="B90" s="58"/>
      <c r="C90" s="46"/>
      <c r="D90" s="56"/>
      <c r="E90" s="60"/>
      <c r="F90" s="51"/>
      <c r="G90" s="2"/>
      <c r="H90" s="2"/>
    </row>
    <row r="91" spans="1:8" s="2" customFormat="1" x14ac:dyDescent="0.25">
      <c r="A91" s="25"/>
      <c r="B91" s="13" t="s">
        <v>43</v>
      </c>
      <c r="C91" s="30">
        <f>+C92</f>
        <v>600</v>
      </c>
      <c r="D91" s="31">
        <f>+D92</f>
        <v>600000</v>
      </c>
      <c r="E91" s="28"/>
      <c r="F91" s="29"/>
    </row>
    <row r="92" spans="1:8" s="2" customFormat="1" x14ac:dyDescent="0.25">
      <c r="A92" s="25">
        <v>41675</v>
      </c>
      <c r="B92" s="19" t="s">
        <v>44</v>
      </c>
      <c r="C92" s="46">
        <v>600</v>
      </c>
      <c r="D92" s="47">
        <v>600000</v>
      </c>
      <c r="E92" s="28">
        <v>22005</v>
      </c>
      <c r="F92" s="29" t="s">
        <v>20</v>
      </c>
    </row>
    <row r="93" spans="1:8" x14ac:dyDescent="0.25">
      <c r="A93" s="50"/>
      <c r="B93" s="61"/>
      <c r="C93" s="46"/>
      <c r="D93" s="56"/>
      <c r="E93" s="60"/>
      <c r="F93" s="51"/>
      <c r="G93" s="2"/>
      <c r="H93" s="2"/>
    </row>
    <row r="94" spans="1:8" s="2" customFormat="1" x14ac:dyDescent="0.25">
      <c r="A94" s="25"/>
      <c r="B94" s="13" t="s">
        <v>45</v>
      </c>
      <c r="C94" s="30">
        <f>SUM(C95:C105)</f>
        <v>3811.7601000000004</v>
      </c>
      <c r="D94" s="31">
        <f>SUM(D95:D105)</f>
        <v>3811760.1</v>
      </c>
      <c r="E94" s="28"/>
      <c r="F94" s="29"/>
    </row>
    <row r="95" spans="1:8" s="2" customFormat="1" x14ac:dyDescent="0.25">
      <c r="A95" s="25">
        <v>41737</v>
      </c>
      <c r="B95" s="24" t="s">
        <v>131</v>
      </c>
      <c r="C95" s="46">
        <v>72</v>
      </c>
      <c r="D95" s="47">
        <v>72000</v>
      </c>
      <c r="E95" s="28">
        <v>14336</v>
      </c>
      <c r="F95" s="29">
        <v>4116</v>
      </c>
    </row>
    <row r="96" spans="1:8" s="2" customFormat="1" x14ac:dyDescent="0.25">
      <c r="A96" s="25">
        <v>41745</v>
      </c>
      <c r="B96" s="24" t="s">
        <v>143</v>
      </c>
      <c r="C96" s="46">
        <v>1972.26846</v>
      </c>
      <c r="D96" s="47">
        <v>1972268.46</v>
      </c>
      <c r="E96" s="28">
        <v>14013</v>
      </c>
      <c r="F96" s="29">
        <v>4116</v>
      </c>
    </row>
    <row r="97" spans="1:6" s="2" customFormat="1" x14ac:dyDescent="0.25">
      <c r="A97" s="25">
        <v>41766</v>
      </c>
      <c r="B97" s="24" t="s">
        <v>106</v>
      </c>
      <c r="C97" s="46">
        <v>66</v>
      </c>
      <c r="D97" s="47">
        <v>66000</v>
      </c>
      <c r="E97" s="28">
        <v>14336</v>
      </c>
      <c r="F97" s="29">
        <v>4116</v>
      </c>
    </row>
    <row r="98" spans="1:6" s="2" customFormat="1" x14ac:dyDescent="0.25">
      <c r="A98" s="25">
        <v>41788</v>
      </c>
      <c r="B98" s="24" t="s">
        <v>144</v>
      </c>
      <c r="C98" s="46">
        <v>523</v>
      </c>
      <c r="D98" s="47">
        <v>523000</v>
      </c>
      <c r="E98" s="28">
        <v>14018</v>
      </c>
      <c r="F98" s="29">
        <v>4116</v>
      </c>
    </row>
    <row r="99" spans="1:6" s="2" customFormat="1" x14ac:dyDescent="0.25">
      <c r="A99" s="25">
        <v>41814</v>
      </c>
      <c r="B99" s="24" t="s">
        <v>130</v>
      </c>
      <c r="C99" s="46">
        <v>54</v>
      </c>
      <c r="D99" s="47">
        <v>54000</v>
      </c>
      <c r="E99" s="28">
        <v>14336</v>
      </c>
      <c r="F99" s="29">
        <v>4116</v>
      </c>
    </row>
    <row r="100" spans="1:6" s="2" customFormat="1" x14ac:dyDescent="0.25">
      <c r="A100" s="25">
        <v>41821</v>
      </c>
      <c r="B100" s="24" t="s">
        <v>163</v>
      </c>
      <c r="C100" s="46">
        <v>701.08527000000004</v>
      </c>
      <c r="D100" s="47">
        <v>701085.27</v>
      </c>
      <c r="E100" s="28">
        <v>14013</v>
      </c>
      <c r="F100" s="29">
        <v>4116</v>
      </c>
    </row>
    <row r="101" spans="1:6" s="2" customFormat="1" x14ac:dyDescent="0.25">
      <c r="A101" s="25">
        <v>41927</v>
      </c>
      <c r="B101" s="24" t="s">
        <v>163</v>
      </c>
      <c r="C101" s="46">
        <v>270.87736999999998</v>
      </c>
      <c r="D101" s="47">
        <v>270877.37</v>
      </c>
      <c r="E101" s="28">
        <v>14013</v>
      </c>
      <c r="F101" s="29">
        <v>4116</v>
      </c>
    </row>
    <row r="102" spans="1:6" s="2" customFormat="1" x14ac:dyDescent="0.25">
      <c r="A102" s="25">
        <v>41921</v>
      </c>
      <c r="B102" s="24" t="s">
        <v>234</v>
      </c>
      <c r="C102" s="46">
        <v>36</v>
      </c>
      <c r="D102" s="47">
        <v>36000</v>
      </c>
      <c r="E102" s="28">
        <v>14336</v>
      </c>
      <c r="F102" s="29">
        <v>4116</v>
      </c>
    </row>
    <row r="103" spans="1:6" s="2" customFormat="1" x14ac:dyDescent="0.25">
      <c r="A103" s="25">
        <v>41975</v>
      </c>
      <c r="B103" s="24" t="s">
        <v>286</v>
      </c>
      <c r="C103" s="46">
        <v>58.351999999999997</v>
      </c>
      <c r="D103" s="47">
        <v>58352</v>
      </c>
      <c r="E103" s="28">
        <v>14023</v>
      </c>
      <c r="F103" s="29">
        <v>4116</v>
      </c>
    </row>
    <row r="104" spans="1:6" s="2" customFormat="1" x14ac:dyDescent="0.25">
      <c r="A104" s="25">
        <v>41985</v>
      </c>
      <c r="B104" s="24" t="s">
        <v>289</v>
      </c>
      <c r="C104" s="46">
        <v>-5.4960000000000004</v>
      </c>
      <c r="D104" s="47">
        <v>-5496</v>
      </c>
      <c r="E104" s="28">
        <v>14018</v>
      </c>
      <c r="F104" s="29">
        <v>4116</v>
      </c>
    </row>
    <row r="105" spans="1:6" s="2" customFormat="1" x14ac:dyDescent="0.25">
      <c r="A105" s="25">
        <v>41995</v>
      </c>
      <c r="B105" s="24" t="s">
        <v>286</v>
      </c>
      <c r="C105" s="46">
        <v>63.673000000000002</v>
      </c>
      <c r="D105" s="47">
        <v>63673</v>
      </c>
      <c r="E105" s="28">
        <v>14023</v>
      </c>
      <c r="F105" s="29">
        <v>4116</v>
      </c>
    </row>
    <row r="106" spans="1:6" s="2" customFormat="1" x14ac:dyDescent="0.25">
      <c r="A106" s="25"/>
      <c r="B106" s="19"/>
      <c r="C106" s="116"/>
      <c r="D106" s="47"/>
      <c r="E106" s="28"/>
      <c r="F106" s="48"/>
    </row>
    <row r="107" spans="1:6" s="2" customFormat="1" x14ac:dyDescent="0.25">
      <c r="A107" s="25"/>
      <c r="B107" s="13" t="s">
        <v>46</v>
      </c>
      <c r="C107" s="30">
        <f>+SUM(C108:C122)</f>
        <v>591.61800000000005</v>
      </c>
      <c r="D107" s="30">
        <f>+SUM(D108:D122)</f>
        <v>591618</v>
      </c>
      <c r="E107" s="28"/>
      <c r="F107" s="48"/>
    </row>
    <row r="108" spans="1:6" s="2" customFormat="1" x14ac:dyDescent="0.25">
      <c r="A108" s="25">
        <v>41788</v>
      </c>
      <c r="B108" s="24" t="s">
        <v>241</v>
      </c>
      <c r="C108" s="46">
        <v>11.6875</v>
      </c>
      <c r="D108" s="47">
        <v>11687.5</v>
      </c>
      <c r="E108" s="28">
        <v>35019</v>
      </c>
      <c r="F108" s="48">
        <v>4116</v>
      </c>
    </row>
    <row r="109" spans="1:6" s="2" customFormat="1" x14ac:dyDescent="0.25">
      <c r="A109" s="25">
        <v>41788</v>
      </c>
      <c r="B109" s="24" t="s">
        <v>242</v>
      </c>
      <c r="C109" s="46">
        <v>19.325500000000002</v>
      </c>
      <c r="D109" s="47">
        <f>38651/2</f>
        <v>19325.5</v>
      </c>
      <c r="E109" s="28">
        <v>35019</v>
      </c>
      <c r="F109" s="48">
        <v>4116</v>
      </c>
    </row>
    <row r="110" spans="1:6" s="2" customFormat="1" x14ac:dyDescent="0.25">
      <c r="A110" s="25">
        <v>41788</v>
      </c>
      <c r="B110" s="24" t="s">
        <v>243</v>
      </c>
      <c r="C110" s="46">
        <v>185.5215</v>
      </c>
      <c r="D110" s="47">
        <f>371043/2</f>
        <v>185521.5</v>
      </c>
      <c r="E110" s="28">
        <v>35019</v>
      </c>
      <c r="F110" s="48">
        <v>4116</v>
      </c>
    </row>
    <row r="111" spans="1:6" s="2" customFormat="1" x14ac:dyDescent="0.25">
      <c r="A111" s="25">
        <v>41794</v>
      </c>
      <c r="B111" s="24" t="s">
        <v>244</v>
      </c>
      <c r="C111" s="46">
        <v>5</v>
      </c>
      <c r="D111" s="47">
        <v>5000</v>
      </c>
      <c r="E111" s="28">
        <v>35019</v>
      </c>
      <c r="F111" s="48">
        <v>4116</v>
      </c>
    </row>
    <row r="112" spans="1:6" s="2" customFormat="1" x14ac:dyDescent="0.25">
      <c r="A112" s="25">
        <v>41794</v>
      </c>
      <c r="B112" s="24" t="s">
        <v>241</v>
      </c>
      <c r="C112" s="46">
        <v>8.5719999999999992</v>
      </c>
      <c r="D112" s="47">
        <v>8572</v>
      </c>
      <c r="E112" s="28">
        <v>35019</v>
      </c>
      <c r="F112" s="48">
        <v>4116</v>
      </c>
    </row>
    <row r="113" spans="1:6" s="2" customFormat="1" x14ac:dyDescent="0.25">
      <c r="A113" s="25">
        <v>41794</v>
      </c>
      <c r="B113" s="24" t="s">
        <v>243</v>
      </c>
      <c r="C113" s="46">
        <v>14.285500000000001</v>
      </c>
      <c r="D113" s="47">
        <v>14285.5</v>
      </c>
      <c r="E113" s="28">
        <v>35019</v>
      </c>
      <c r="F113" s="48">
        <v>4116</v>
      </c>
    </row>
    <row r="114" spans="1:6" s="2" customFormat="1" x14ac:dyDescent="0.25">
      <c r="A114" s="25">
        <v>41913</v>
      </c>
      <c r="B114" s="24" t="s">
        <v>241</v>
      </c>
      <c r="C114" s="46">
        <v>11.6875</v>
      </c>
      <c r="D114" s="47">
        <v>11687.5</v>
      </c>
      <c r="E114" s="28">
        <v>35019</v>
      </c>
      <c r="F114" s="48">
        <v>4116</v>
      </c>
    </row>
    <row r="115" spans="1:6" s="2" customFormat="1" x14ac:dyDescent="0.25">
      <c r="A115" s="25">
        <v>41913</v>
      </c>
      <c r="B115" s="24" t="s">
        <v>242</v>
      </c>
      <c r="C115" s="46">
        <v>19.325500000000002</v>
      </c>
      <c r="D115" s="47">
        <f>38651/2</f>
        <v>19325.5</v>
      </c>
      <c r="E115" s="28">
        <v>35019</v>
      </c>
      <c r="F115" s="48">
        <v>4116</v>
      </c>
    </row>
    <row r="116" spans="1:6" s="2" customFormat="1" x14ac:dyDescent="0.25">
      <c r="A116" s="25">
        <v>41913</v>
      </c>
      <c r="B116" s="24" t="s">
        <v>243</v>
      </c>
      <c r="C116" s="46">
        <v>185.5215</v>
      </c>
      <c r="D116" s="47">
        <f>371043/2</f>
        <v>185521.5</v>
      </c>
      <c r="E116" s="28">
        <v>35019</v>
      </c>
      <c r="F116" s="48">
        <v>4116</v>
      </c>
    </row>
    <row r="117" spans="1:6" s="2" customFormat="1" x14ac:dyDescent="0.25">
      <c r="A117" s="25">
        <v>41914</v>
      </c>
      <c r="B117" s="24" t="s">
        <v>244</v>
      </c>
      <c r="C117" s="46">
        <v>5</v>
      </c>
      <c r="D117" s="47">
        <v>5000</v>
      </c>
      <c r="E117" s="28">
        <v>35019</v>
      </c>
      <c r="F117" s="48">
        <v>4116</v>
      </c>
    </row>
    <row r="118" spans="1:6" s="2" customFormat="1" x14ac:dyDescent="0.25">
      <c r="A118" s="25">
        <v>41914</v>
      </c>
      <c r="B118" s="24" t="s">
        <v>241</v>
      </c>
      <c r="C118" s="46">
        <v>8.5719999999999992</v>
      </c>
      <c r="D118" s="47">
        <v>8572</v>
      </c>
      <c r="E118" s="28">
        <v>35019</v>
      </c>
      <c r="F118" s="48">
        <v>4116</v>
      </c>
    </row>
    <row r="119" spans="1:6" s="2" customFormat="1" x14ac:dyDescent="0.25">
      <c r="A119" s="25">
        <v>41914</v>
      </c>
      <c r="B119" s="24" t="s">
        <v>243</v>
      </c>
      <c r="C119" s="46">
        <v>14.285500000000001</v>
      </c>
      <c r="D119" s="47">
        <v>14285.5</v>
      </c>
      <c r="E119" s="28">
        <v>35019</v>
      </c>
      <c r="F119" s="48">
        <v>4116</v>
      </c>
    </row>
    <row r="120" spans="1:6" s="2" customFormat="1" x14ac:dyDescent="0.25">
      <c r="A120" s="25">
        <v>41935</v>
      </c>
      <c r="B120" s="24" t="s">
        <v>243</v>
      </c>
      <c r="C120" s="46">
        <v>1</v>
      </c>
      <c r="D120" s="47">
        <v>1000</v>
      </c>
      <c r="E120" s="28">
        <v>35019</v>
      </c>
      <c r="F120" s="48">
        <v>4116</v>
      </c>
    </row>
    <row r="121" spans="1:6" s="2" customFormat="1" x14ac:dyDescent="0.25">
      <c r="A121" s="25">
        <v>41935</v>
      </c>
      <c r="B121" s="24" t="s">
        <v>240</v>
      </c>
      <c r="C121" s="46">
        <v>8.5</v>
      </c>
      <c r="D121" s="47">
        <v>8500</v>
      </c>
      <c r="E121" s="28">
        <v>35019</v>
      </c>
      <c r="F121" s="48">
        <v>4116</v>
      </c>
    </row>
    <row r="122" spans="1:6" s="2" customFormat="1" x14ac:dyDescent="0.25">
      <c r="A122" s="25">
        <v>41976</v>
      </c>
      <c r="B122" s="24" t="s">
        <v>312</v>
      </c>
      <c r="C122" s="46">
        <v>93.334000000000003</v>
      </c>
      <c r="D122" s="47">
        <v>93334</v>
      </c>
      <c r="E122" s="28">
        <v>35015</v>
      </c>
      <c r="F122" s="48">
        <v>4116</v>
      </c>
    </row>
    <row r="123" spans="1:6" s="2" customFormat="1" x14ac:dyDescent="0.25">
      <c r="A123" s="25"/>
      <c r="B123" s="24"/>
      <c r="C123" s="116"/>
      <c r="D123" s="47"/>
      <c r="E123" s="28"/>
      <c r="F123" s="48"/>
    </row>
    <row r="124" spans="1:6" s="2" customFormat="1" x14ac:dyDescent="0.25">
      <c r="A124" s="25"/>
      <c r="B124" s="13" t="s">
        <v>47</v>
      </c>
      <c r="C124" s="30">
        <f>+SUM(C125:C131)</f>
        <v>386.07499999999999</v>
      </c>
      <c r="D124" s="30">
        <f>+SUM(D125:D131)</f>
        <v>386075</v>
      </c>
      <c r="E124" s="28"/>
      <c r="F124" s="48"/>
    </row>
    <row r="125" spans="1:6" s="2" customFormat="1" x14ac:dyDescent="0.25">
      <c r="A125" s="25">
        <v>41751</v>
      </c>
      <c r="B125" s="24" t="s">
        <v>48</v>
      </c>
      <c r="C125" s="46">
        <v>86.159000000000006</v>
      </c>
      <c r="D125" s="47">
        <v>86159</v>
      </c>
      <c r="E125" s="28">
        <v>29008</v>
      </c>
      <c r="F125" s="48">
        <v>4116</v>
      </c>
    </row>
    <row r="126" spans="1:6" s="2" customFormat="1" x14ac:dyDescent="0.25">
      <c r="A126" s="25">
        <v>41815</v>
      </c>
      <c r="B126" s="24" t="s">
        <v>48</v>
      </c>
      <c r="C126" s="46">
        <v>84.284999999999997</v>
      </c>
      <c r="D126" s="47">
        <v>84285</v>
      </c>
      <c r="E126" s="28">
        <v>29008</v>
      </c>
      <c r="F126" s="48">
        <v>4116</v>
      </c>
    </row>
    <row r="127" spans="1:6" s="2" customFormat="1" x14ac:dyDescent="0.25">
      <c r="A127" s="25">
        <v>41822</v>
      </c>
      <c r="B127" s="24" t="s">
        <v>49</v>
      </c>
      <c r="C127" s="46">
        <v>9.85</v>
      </c>
      <c r="D127" s="47">
        <v>9850</v>
      </c>
      <c r="E127" s="28">
        <v>29004</v>
      </c>
      <c r="F127" s="48">
        <v>4116</v>
      </c>
    </row>
    <row r="128" spans="1:6" s="2" customFormat="1" x14ac:dyDescent="0.25">
      <c r="A128" s="25">
        <v>41886</v>
      </c>
      <c r="B128" s="24" t="s">
        <v>48</v>
      </c>
      <c r="C128" s="46">
        <v>85.221999999999994</v>
      </c>
      <c r="D128" s="47">
        <v>85222</v>
      </c>
      <c r="E128" s="28">
        <v>29008</v>
      </c>
      <c r="F128" s="48">
        <v>4116</v>
      </c>
    </row>
    <row r="129" spans="1:6" s="2" customFormat="1" x14ac:dyDescent="0.25">
      <c r="A129" s="25">
        <v>41955</v>
      </c>
      <c r="B129" s="24" t="s">
        <v>49</v>
      </c>
      <c r="C129" s="46">
        <v>34.4</v>
      </c>
      <c r="D129" s="47">
        <v>34400</v>
      </c>
      <c r="E129" s="28">
        <v>29004</v>
      </c>
      <c r="F129" s="48">
        <v>4116</v>
      </c>
    </row>
    <row r="130" spans="1:6" s="2" customFormat="1" x14ac:dyDescent="0.25">
      <c r="A130" s="25">
        <v>41962</v>
      </c>
      <c r="B130" s="24" t="s">
        <v>48</v>
      </c>
      <c r="C130" s="46">
        <v>86.159000000000006</v>
      </c>
      <c r="D130" s="47">
        <v>86159</v>
      </c>
      <c r="E130" s="28">
        <v>29008</v>
      </c>
      <c r="F130" s="48">
        <v>4116</v>
      </c>
    </row>
    <row r="131" spans="1:6" s="2" customFormat="1" x14ac:dyDescent="0.25">
      <c r="A131" s="25"/>
      <c r="B131" s="24"/>
      <c r="C131" s="116"/>
      <c r="D131" s="47"/>
      <c r="E131" s="28"/>
      <c r="F131" s="48"/>
    </row>
    <row r="132" spans="1:6" s="2" customFormat="1" x14ac:dyDescent="0.25">
      <c r="A132" s="25"/>
      <c r="B132" s="13" t="s">
        <v>50</v>
      </c>
      <c r="C132" s="30">
        <f>+SUM(C133:C144)</f>
        <v>12013.085239999999</v>
      </c>
      <c r="D132" s="31">
        <f>+SUM(D133:D144)</f>
        <v>12013085.24</v>
      </c>
      <c r="E132" s="28"/>
      <c r="F132" s="48"/>
    </row>
    <row r="133" spans="1:6" s="2" customFormat="1" x14ac:dyDescent="0.25">
      <c r="A133" s="25">
        <v>41904</v>
      </c>
      <c r="B133" s="24" t="s">
        <v>208</v>
      </c>
      <c r="C133" s="46">
        <v>821.68700000000001</v>
      </c>
      <c r="D133" s="47">
        <v>821687</v>
      </c>
      <c r="E133" s="28">
        <v>15065</v>
      </c>
      <c r="F133" s="48">
        <v>4116</v>
      </c>
    </row>
    <row r="134" spans="1:6" s="2" customFormat="1" x14ac:dyDescent="0.25">
      <c r="A134" s="25">
        <v>41954</v>
      </c>
      <c r="B134" s="24" t="s">
        <v>267</v>
      </c>
      <c r="C134" s="46">
        <v>44.099850000000004</v>
      </c>
      <c r="D134" s="47">
        <v>44099.85</v>
      </c>
      <c r="E134" s="28">
        <v>15320</v>
      </c>
      <c r="F134" s="48">
        <v>4116</v>
      </c>
    </row>
    <row r="135" spans="1:6" s="2" customFormat="1" x14ac:dyDescent="0.25">
      <c r="A135" s="25">
        <v>41954</v>
      </c>
      <c r="B135" s="24" t="s">
        <v>267</v>
      </c>
      <c r="C135" s="46">
        <v>749.69753000000003</v>
      </c>
      <c r="D135" s="47">
        <v>749697.53</v>
      </c>
      <c r="E135" s="28">
        <v>15321</v>
      </c>
      <c r="F135" s="48">
        <v>4116</v>
      </c>
    </row>
    <row r="136" spans="1:6" s="2" customFormat="1" x14ac:dyDescent="0.25">
      <c r="A136" s="25">
        <v>41984</v>
      </c>
      <c r="B136" s="24" t="s">
        <v>337</v>
      </c>
      <c r="C136" s="46">
        <v>1660.23615</v>
      </c>
      <c r="D136" s="47">
        <v>1660236.15</v>
      </c>
      <c r="E136" s="28">
        <v>15325</v>
      </c>
      <c r="F136" s="48">
        <v>4116</v>
      </c>
    </row>
    <row r="137" spans="1:6" s="2" customFormat="1" x14ac:dyDescent="0.25">
      <c r="A137" s="25">
        <v>41983</v>
      </c>
      <c r="B137" s="24" t="s">
        <v>290</v>
      </c>
      <c r="C137" s="46">
        <v>907.99109999999996</v>
      </c>
      <c r="D137" s="47">
        <v>907991.1</v>
      </c>
      <c r="E137" s="28">
        <v>15319</v>
      </c>
      <c r="F137" s="48">
        <v>4116</v>
      </c>
    </row>
    <row r="138" spans="1:6" s="2" customFormat="1" x14ac:dyDescent="0.25">
      <c r="A138" s="25">
        <v>41984</v>
      </c>
      <c r="B138" s="24" t="s">
        <v>291</v>
      </c>
      <c r="C138" s="46">
        <v>554.22495000000004</v>
      </c>
      <c r="D138" s="47">
        <v>554224.94999999995</v>
      </c>
      <c r="E138" s="28">
        <v>15319</v>
      </c>
      <c r="F138" s="48">
        <v>4116</v>
      </c>
    </row>
    <row r="139" spans="1:6" s="2" customFormat="1" x14ac:dyDescent="0.25">
      <c r="A139" s="12">
        <v>41984</v>
      </c>
      <c r="B139" s="24" t="s">
        <v>292</v>
      </c>
      <c r="C139" s="46">
        <v>1306.9070400000001</v>
      </c>
      <c r="D139" s="47">
        <v>1306907.04</v>
      </c>
      <c r="E139" s="28">
        <v>15319</v>
      </c>
      <c r="F139" s="48">
        <v>4116</v>
      </c>
    </row>
    <row r="140" spans="1:6" s="2" customFormat="1" x14ac:dyDescent="0.25">
      <c r="A140" s="12">
        <v>41984</v>
      </c>
      <c r="B140" s="24" t="s">
        <v>293</v>
      </c>
      <c r="C140" s="46">
        <v>207.74680000000001</v>
      </c>
      <c r="D140" s="47">
        <v>207746.8</v>
      </c>
      <c r="E140" s="28">
        <v>15319</v>
      </c>
      <c r="F140" s="48">
        <v>4116</v>
      </c>
    </row>
    <row r="141" spans="1:6" s="2" customFormat="1" x14ac:dyDescent="0.25">
      <c r="A141" s="12">
        <v>41984</v>
      </c>
      <c r="B141" s="24" t="s">
        <v>295</v>
      </c>
      <c r="C141" s="46">
        <v>1001.76549</v>
      </c>
      <c r="D141" s="47">
        <v>1001765.49</v>
      </c>
      <c r="E141" s="28">
        <v>15319</v>
      </c>
      <c r="F141" s="48">
        <v>4116</v>
      </c>
    </row>
    <row r="142" spans="1:6" s="2" customFormat="1" x14ac:dyDescent="0.25">
      <c r="A142" s="12">
        <v>41985</v>
      </c>
      <c r="B142" s="24" t="s">
        <v>296</v>
      </c>
      <c r="C142" s="46">
        <v>1788.92409</v>
      </c>
      <c r="D142" s="47">
        <v>1788924.09</v>
      </c>
      <c r="E142" s="28">
        <v>15319</v>
      </c>
      <c r="F142" s="48">
        <v>4116</v>
      </c>
    </row>
    <row r="143" spans="1:6" s="2" customFormat="1" x14ac:dyDescent="0.25">
      <c r="A143" s="12">
        <v>41983</v>
      </c>
      <c r="B143" s="24" t="s">
        <v>297</v>
      </c>
      <c r="C143" s="46">
        <v>2969.8052400000001</v>
      </c>
      <c r="D143" s="47">
        <v>2969805.24</v>
      </c>
      <c r="E143" s="28">
        <v>15319</v>
      </c>
      <c r="F143" s="48">
        <v>4116</v>
      </c>
    </row>
    <row r="144" spans="1:6" s="2" customFormat="1" x14ac:dyDescent="0.25">
      <c r="A144" s="12"/>
      <c r="B144" s="23"/>
      <c r="C144" s="47"/>
      <c r="D144" s="47"/>
      <c r="E144" s="28"/>
      <c r="F144" s="48"/>
    </row>
    <row r="145" spans="1:8" s="2" customFormat="1" x14ac:dyDescent="0.25">
      <c r="A145" s="25"/>
      <c r="B145" s="30" t="s">
        <v>51</v>
      </c>
      <c r="C145" s="30">
        <f>+SUM(C146:C147)</f>
        <v>163.22820999999999</v>
      </c>
      <c r="D145" s="31">
        <f>+SUM(D146:D147)</f>
        <v>163228.21</v>
      </c>
      <c r="E145" s="28"/>
      <c r="F145" s="48"/>
    </row>
    <row r="146" spans="1:8" x14ac:dyDescent="0.25">
      <c r="A146" s="25">
        <v>41696</v>
      </c>
      <c r="B146" s="24" t="s">
        <v>75</v>
      </c>
      <c r="C146" s="46">
        <v>163.22820999999999</v>
      </c>
      <c r="D146" s="47">
        <v>163228.21</v>
      </c>
      <c r="E146" s="60"/>
      <c r="F146" s="48" t="s">
        <v>52</v>
      </c>
      <c r="G146" s="2"/>
      <c r="H146" s="2"/>
    </row>
    <row r="147" spans="1:8" x14ac:dyDescent="0.25">
      <c r="A147" s="25"/>
      <c r="B147" s="24"/>
      <c r="C147" s="46"/>
      <c r="D147" s="47"/>
      <c r="E147" s="60"/>
      <c r="F147" s="48"/>
      <c r="G147" s="2"/>
      <c r="H147" s="2"/>
    </row>
    <row r="148" spans="1:8" s="2" customFormat="1" x14ac:dyDescent="0.25">
      <c r="A148" s="25"/>
      <c r="B148" s="13" t="s">
        <v>53</v>
      </c>
      <c r="C148" s="27">
        <f>SUM(C149:C230)</f>
        <v>39242.426549999996</v>
      </c>
      <c r="D148" s="27">
        <f>SUM(D149:D230)</f>
        <v>39242426.550000004</v>
      </c>
      <c r="E148" s="28"/>
      <c r="F148" s="22"/>
    </row>
    <row r="149" spans="1:8" s="2" customFormat="1" x14ac:dyDescent="0.25">
      <c r="A149" s="25">
        <v>41674</v>
      </c>
      <c r="B149" s="24" t="s">
        <v>151</v>
      </c>
      <c r="C149" s="53">
        <v>190.81503000000001</v>
      </c>
      <c r="D149" s="55">
        <f>162192.77+28622.26</f>
        <v>190815.03</v>
      </c>
      <c r="E149" s="28">
        <v>33030</v>
      </c>
      <c r="F149" s="48" t="s">
        <v>54</v>
      </c>
    </row>
    <row r="150" spans="1:8" s="2" customFormat="1" x14ac:dyDescent="0.25">
      <c r="A150" s="25">
        <v>41674</v>
      </c>
      <c r="B150" s="24" t="s">
        <v>148</v>
      </c>
      <c r="C150" s="53">
        <v>323.42325</v>
      </c>
      <c r="D150" s="55">
        <f>274909.76+48513.49</f>
        <v>323423.25</v>
      </c>
      <c r="E150" s="28">
        <v>33030</v>
      </c>
      <c r="F150" s="48" t="s">
        <v>54</v>
      </c>
    </row>
    <row r="151" spans="1:8" s="2" customFormat="1" x14ac:dyDescent="0.25">
      <c r="A151" s="25">
        <v>41674</v>
      </c>
      <c r="B151" s="24" t="s">
        <v>145</v>
      </c>
      <c r="C151" s="53">
        <v>386.86772000000002</v>
      </c>
      <c r="D151" s="55">
        <f>328837.56+58030.16</f>
        <v>386867.72</v>
      </c>
      <c r="E151" s="28">
        <v>33030</v>
      </c>
      <c r="F151" s="48">
        <v>4122</v>
      </c>
    </row>
    <row r="152" spans="1:8" s="2" customFormat="1" x14ac:dyDescent="0.25">
      <c r="A152" s="25">
        <v>41681</v>
      </c>
      <c r="B152" s="24" t="s">
        <v>92</v>
      </c>
      <c r="C152" s="55">
        <v>291.00630000000001</v>
      </c>
      <c r="D152" s="55">
        <f>247355.35+43650.95</f>
        <v>291006.3</v>
      </c>
      <c r="E152" s="28">
        <v>33030</v>
      </c>
      <c r="F152" s="48">
        <v>4122</v>
      </c>
    </row>
    <row r="153" spans="1:8" s="2" customFormat="1" x14ac:dyDescent="0.25">
      <c r="A153" s="25">
        <v>41690</v>
      </c>
      <c r="B153" s="24" t="s">
        <v>72</v>
      </c>
      <c r="C153" s="55">
        <v>371.75425000000001</v>
      </c>
      <c r="D153" s="55">
        <f>315991.11+55763.14</f>
        <v>371754.25</v>
      </c>
      <c r="E153" s="28">
        <v>33030</v>
      </c>
      <c r="F153" s="48">
        <v>4122</v>
      </c>
    </row>
    <row r="154" spans="1:8" s="2" customFormat="1" x14ac:dyDescent="0.25">
      <c r="A154" s="25">
        <v>41702</v>
      </c>
      <c r="B154" s="24" t="s">
        <v>77</v>
      </c>
      <c r="C154" s="52">
        <v>17.375</v>
      </c>
      <c r="D154" s="55">
        <v>17375</v>
      </c>
      <c r="E154" s="28">
        <v>14011</v>
      </c>
      <c r="F154" s="48">
        <v>4122</v>
      </c>
    </row>
    <row r="155" spans="1:8" s="2" customFormat="1" x14ac:dyDescent="0.25">
      <c r="A155" s="25">
        <v>41717</v>
      </c>
      <c r="B155" s="24" t="s">
        <v>80</v>
      </c>
      <c r="C155" s="52">
        <v>451.86489999999998</v>
      </c>
      <c r="D155" s="55">
        <f>384085.16+67779.74</f>
        <v>451864.89999999997</v>
      </c>
      <c r="E155" s="28">
        <v>33030</v>
      </c>
      <c r="F155" s="48">
        <v>4122</v>
      </c>
    </row>
    <row r="156" spans="1:8" s="2" customFormat="1" x14ac:dyDescent="0.25">
      <c r="A156" s="25">
        <v>41717</v>
      </c>
      <c r="B156" s="24" t="s">
        <v>81</v>
      </c>
      <c r="C156" s="52">
        <v>555.22578999999996</v>
      </c>
      <c r="D156" s="55">
        <f>471941.92+83283.87</f>
        <v>555225.79</v>
      </c>
      <c r="E156" s="28">
        <v>33030</v>
      </c>
      <c r="F156" s="48">
        <v>4122</v>
      </c>
    </row>
    <row r="157" spans="1:8" s="2" customFormat="1" x14ac:dyDescent="0.25">
      <c r="A157" s="25">
        <v>41724</v>
      </c>
      <c r="B157" s="24" t="s">
        <v>87</v>
      </c>
      <c r="C157" s="52">
        <v>362.62306999999998</v>
      </c>
      <c r="D157" s="55">
        <v>362623.07</v>
      </c>
      <c r="E157" s="28">
        <v>33030</v>
      </c>
      <c r="F157" s="48">
        <v>4122</v>
      </c>
    </row>
    <row r="158" spans="1:8" s="2" customFormat="1" x14ac:dyDescent="0.25">
      <c r="A158" s="25">
        <v>41731</v>
      </c>
      <c r="B158" s="24" t="s">
        <v>146</v>
      </c>
      <c r="C158" s="52">
        <v>4220.5246800000004</v>
      </c>
      <c r="D158" s="55">
        <f>3587445.97+633078.71</f>
        <v>4220524.68</v>
      </c>
      <c r="E158" s="28">
        <v>33030</v>
      </c>
      <c r="F158" s="48">
        <v>4122</v>
      </c>
    </row>
    <row r="159" spans="1:8" s="2" customFormat="1" x14ac:dyDescent="0.25">
      <c r="A159" s="25">
        <v>41740</v>
      </c>
      <c r="B159" s="24" t="s">
        <v>94</v>
      </c>
      <c r="C159" s="52">
        <v>200</v>
      </c>
      <c r="D159" s="55">
        <v>200000</v>
      </c>
      <c r="E159" s="28">
        <v>539</v>
      </c>
      <c r="F159" s="48">
        <v>4122</v>
      </c>
    </row>
    <row r="160" spans="1:8" s="2" customFormat="1" x14ac:dyDescent="0.25">
      <c r="A160" s="25">
        <v>41753</v>
      </c>
      <c r="B160" s="24" t="s">
        <v>162</v>
      </c>
      <c r="C160" s="52">
        <v>473.07794000000001</v>
      </c>
      <c r="D160" s="55">
        <v>473077.94</v>
      </c>
      <c r="E160" s="28">
        <v>33030</v>
      </c>
      <c r="F160" s="48">
        <v>4122</v>
      </c>
    </row>
    <row r="161" spans="1:6" s="2" customFormat="1" x14ac:dyDescent="0.25">
      <c r="A161" s="25">
        <v>41753</v>
      </c>
      <c r="B161" s="24" t="s">
        <v>96</v>
      </c>
      <c r="C161" s="52">
        <v>136.73121</v>
      </c>
      <c r="D161" s="55">
        <v>136731.21</v>
      </c>
      <c r="E161" s="28">
        <v>33030</v>
      </c>
      <c r="F161" s="48">
        <v>4122</v>
      </c>
    </row>
    <row r="162" spans="1:6" s="2" customFormat="1" x14ac:dyDescent="0.25">
      <c r="A162" s="25">
        <v>41765</v>
      </c>
      <c r="B162" s="24" t="s">
        <v>147</v>
      </c>
      <c r="C162" s="52">
        <v>534.51513</v>
      </c>
      <c r="D162" s="55">
        <f>454337.86+80177.27</f>
        <v>534515.13</v>
      </c>
      <c r="E162" s="28">
        <v>33030</v>
      </c>
      <c r="F162" s="48">
        <v>4122</v>
      </c>
    </row>
    <row r="163" spans="1:6" s="2" customFormat="1" x14ac:dyDescent="0.25">
      <c r="A163" s="25">
        <v>41765</v>
      </c>
      <c r="B163" s="24" t="s">
        <v>149</v>
      </c>
      <c r="C163" s="52">
        <v>1377.5491</v>
      </c>
      <c r="D163" s="55">
        <f>1170916.73+206632.37</f>
        <v>1377549.1</v>
      </c>
      <c r="E163" s="28">
        <v>33030</v>
      </c>
      <c r="F163" s="48">
        <v>4122</v>
      </c>
    </row>
    <row r="164" spans="1:6" s="2" customFormat="1" x14ac:dyDescent="0.25">
      <c r="A164" s="25">
        <v>41765</v>
      </c>
      <c r="B164" s="24" t="s">
        <v>150</v>
      </c>
      <c r="C164" s="52">
        <v>326.74684999999999</v>
      </c>
      <c r="D164" s="55">
        <f>277734.82+49012.03</f>
        <v>326746.84999999998</v>
      </c>
      <c r="E164" s="28">
        <v>33030</v>
      </c>
      <c r="F164" s="48">
        <v>4122</v>
      </c>
    </row>
    <row r="165" spans="1:6" s="2" customFormat="1" x14ac:dyDescent="0.25">
      <c r="A165" s="25">
        <v>41771</v>
      </c>
      <c r="B165" s="24" t="s">
        <v>145</v>
      </c>
      <c r="C165" s="52">
        <v>452.33542</v>
      </c>
      <c r="D165" s="55">
        <f>384485.1+67850.32</f>
        <v>452335.42</v>
      </c>
      <c r="E165" s="28">
        <v>33030</v>
      </c>
      <c r="F165" s="48">
        <v>4122</v>
      </c>
    </row>
    <row r="166" spans="1:6" s="2" customFormat="1" x14ac:dyDescent="0.25">
      <c r="A166" s="25">
        <v>41775</v>
      </c>
      <c r="B166" s="24" t="s">
        <v>71</v>
      </c>
      <c r="C166" s="52">
        <v>641.55130999999994</v>
      </c>
      <c r="D166" s="55">
        <v>641551.31000000006</v>
      </c>
      <c r="E166" s="28">
        <v>33030</v>
      </c>
      <c r="F166" s="48">
        <v>4122</v>
      </c>
    </row>
    <row r="167" spans="1:6" s="2" customFormat="1" x14ac:dyDescent="0.25">
      <c r="A167" s="25">
        <v>41787</v>
      </c>
      <c r="B167" s="24" t="s">
        <v>152</v>
      </c>
      <c r="C167" s="52">
        <v>950</v>
      </c>
      <c r="D167" s="55">
        <v>950000</v>
      </c>
      <c r="E167" s="28">
        <v>331</v>
      </c>
      <c r="F167" s="48">
        <v>4122</v>
      </c>
    </row>
    <row r="168" spans="1:6" s="2" customFormat="1" x14ac:dyDescent="0.25">
      <c r="A168" s="25">
        <v>41787</v>
      </c>
      <c r="B168" s="24" t="s">
        <v>153</v>
      </c>
      <c r="C168" s="52">
        <v>200</v>
      </c>
      <c r="D168" s="55">
        <v>200000</v>
      </c>
      <c r="E168" s="28">
        <v>331</v>
      </c>
      <c r="F168" s="48">
        <v>4122</v>
      </c>
    </row>
    <row r="169" spans="1:6" s="2" customFormat="1" x14ac:dyDescent="0.25">
      <c r="A169" s="25">
        <v>41787</v>
      </c>
      <c r="B169" s="24" t="s">
        <v>154</v>
      </c>
      <c r="C169" s="52">
        <v>80</v>
      </c>
      <c r="D169" s="55">
        <v>80000</v>
      </c>
      <c r="E169" s="28">
        <v>331</v>
      </c>
      <c r="F169" s="48">
        <v>4122</v>
      </c>
    </row>
    <row r="170" spans="1:6" s="2" customFormat="1" x14ac:dyDescent="0.25">
      <c r="A170" s="25">
        <v>41787</v>
      </c>
      <c r="B170" s="24" t="s">
        <v>155</v>
      </c>
      <c r="C170" s="52">
        <v>600</v>
      </c>
      <c r="D170" s="55">
        <v>600000</v>
      </c>
      <c r="E170" s="28">
        <v>331</v>
      </c>
      <c r="F170" s="48">
        <v>4122</v>
      </c>
    </row>
    <row r="171" spans="1:6" s="2" customFormat="1" x14ac:dyDescent="0.25">
      <c r="A171" s="25">
        <v>41787</v>
      </c>
      <c r="B171" s="24" t="s">
        <v>104</v>
      </c>
      <c r="C171" s="52">
        <v>120</v>
      </c>
      <c r="D171" s="55">
        <v>120000</v>
      </c>
      <c r="E171" s="28">
        <v>331</v>
      </c>
      <c r="F171" s="48">
        <v>4122</v>
      </c>
    </row>
    <row r="172" spans="1:6" s="2" customFormat="1" x14ac:dyDescent="0.25">
      <c r="A172" s="25">
        <v>41793</v>
      </c>
      <c r="B172" s="24" t="s">
        <v>116</v>
      </c>
      <c r="C172" s="52">
        <v>372.29502000000002</v>
      </c>
      <c r="D172" s="55">
        <v>372295.02</v>
      </c>
      <c r="E172" s="28">
        <v>33030</v>
      </c>
      <c r="F172" s="48">
        <v>4122</v>
      </c>
    </row>
    <row r="173" spans="1:6" s="2" customFormat="1" x14ac:dyDescent="0.25">
      <c r="A173" s="25">
        <v>41793</v>
      </c>
      <c r="B173" s="24" t="s">
        <v>117</v>
      </c>
      <c r="C173" s="52">
        <v>752.71591999999998</v>
      </c>
      <c r="D173" s="55">
        <v>752715.92</v>
      </c>
      <c r="E173" s="28">
        <v>33030</v>
      </c>
      <c r="F173" s="48">
        <v>4122</v>
      </c>
    </row>
    <row r="174" spans="1:6" s="2" customFormat="1" x14ac:dyDescent="0.25">
      <c r="A174" s="25">
        <v>41799</v>
      </c>
      <c r="B174" s="24" t="s">
        <v>121</v>
      </c>
      <c r="C174" s="52">
        <v>50</v>
      </c>
      <c r="D174" s="55">
        <v>50000</v>
      </c>
      <c r="E174" s="28">
        <v>311</v>
      </c>
      <c r="F174" s="48">
        <v>4122</v>
      </c>
    </row>
    <row r="175" spans="1:6" s="2" customFormat="1" x14ac:dyDescent="0.25">
      <c r="A175" s="25">
        <v>41799</v>
      </c>
      <c r="B175" s="24" t="s">
        <v>122</v>
      </c>
      <c r="C175" s="52">
        <v>50</v>
      </c>
      <c r="D175" s="55">
        <v>50000</v>
      </c>
      <c r="E175" s="28">
        <v>311</v>
      </c>
      <c r="F175" s="48">
        <v>4122</v>
      </c>
    </row>
    <row r="176" spans="1:6" s="2" customFormat="1" x14ac:dyDescent="0.25">
      <c r="A176" s="25">
        <v>41799</v>
      </c>
      <c r="B176" s="24" t="s">
        <v>123</v>
      </c>
      <c r="C176" s="52">
        <v>55</v>
      </c>
      <c r="D176" s="55">
        <v>55000</v>
      </c>
      <c r="E176" s="28">
        <v>311</v>
      </c>
      <c r="F176" s="48">
        <v>4122</v>
      </c>
    </row>
    <row r="177" spans="1:6" s="2" customFormat="1" x14ac:dyDescent="0.25">
      <c r="A177" s="25">
        <v>41801</v>
      </c>
      <c r="B177" s="24" t="s">
        <v>125</v>
      </c>
      <c r="C177" s="52">
        <v>80</v>
      </c>
      <c r="D177" s="55">
        <v>80000</v>
      </c>
      <c r="E177" s="28">
        <v>331</v>
      </c>
      <c r="F177" s="48">
        <v>4122</v>
      </c>
    </row>
    <row r="178" spans="1:6" s="2" customFormat="1" x14ac:dyDescent="0.25">
      <c r="A178" s="25">
        <v>41806</v>
      </c>
      <c r="B178" s="24" t="s">
        <v>119</v>
      </c>
      <c r="C178" s="52">
        <v>379.5077</v>
      </c>
      <c r="D178" s="55">
        <v>379507.7</v>
      </c>
      <c r="E178" s="28">
        <v>33030</v>
      </c>
      <c r="F178" s="48">
        <v>4122</v>
      </c>
    </row>
    <row r="179" spans="1:6" s="2" customFormat="1" x14ac:dyDescent="0.25">
      <c r="A179" s="25">
        <v>41806</v>
      </c>
      <c r="B179" s="24" t="s">
        <v>120</v>
      </c>
      <c r="C179" s="52">
        <v>371.00876</v>
      </c>
      <c r="D179" s="55">
        <v>371008.76</v>
      </c>
      <c r="E179" s="28">
        <v>33030</v>
      </c>
      <c r="F179" s="48">
        <v>4122</v>
      </c>
    </row>
    <row r="180" spans="1:6" s="2" customFormat="1" x14ac:dyDescent="0.25">
      <c r="A180" s="25">
        <v>41807</v>
      </c>
      <c r="B180" s="24" t="s">
        <v>126</v>
      </c>
      <c r="C180" s="52">
        <v>145.38300000000001</v>
      </c>
      <c r="D180" s="55">
        <v>145383</v>
      </c>
      <c r="E180" s="28">
        <v>33030</v>
      </c>
      <c r="F180" s="48">
        <v>4122</v>
      </c>
    </row>
    <row r="181" spans="1:6" s="2" customFormat="1" x14ac:dyDescent="0.25">
      <c r="A181" s="25">
        <v>41809</v>
      </c>
      <c r="B181" s="24" t="s">
        <v>77</v>
      </c>
      <c r="C181" s="52">
        <v>49.92</v>
      </c>
      <c r="D181" s="55">
        <v>49920</v>
      </c>
      <c r="E181" s="28">
        <v>14011</v>
      </c>
      <c r="F181" s="48">
        <v>4122</v>
      </c>
    </row>
    <row r="182" spans="1:6" s="2" customFormat="1" x14ac:dyDescent="0.25">
      <c r="A182" s="25">
        <v>41814</v>
      </c>
      <c r="B182" s="24" t="s">
        <v>128</v>
      </c>
      <c r="C182" s="52">
        <v>180</v>
      </c>
      <c r="D182" s="55">
        <v>180000</v>
      </c>
      <c r="E182" s="28">
        <v>435</v>
      </c>
      <c r="F182" s="48">
        <v>4122</v>
      </c>
    </row>
    <row r="183" spans="1:6" s="2" customFormat="1" x14ac:dyDescent="0.25">
      <c r="A183" s="25">
        <v>41814</v>
      </c>
      <c r="B183" s="24" t="s">
        <v>129</v>
      </c>
      <c r="C183" s="52">
        <v>60</v>
      </c>
      <c r="D183" s="55">
        <v>60000</v>
      </c>
      <c r="E183" s="28">
        <v>331</v>
      </c>
      <c r="F183" s="48">
        <v>4122</v>
      </c>
    </row>
    <row r="184" spans="1:6" s="2" customFormat="1" x14ac:dyDescent="0.25">
      <c r="A184" s="25">
        <v>41816</v>
      </c>
      <c r="B184" s="24" t="s">
        <v>80</v>
      </c>
      <c r="C184" s="52">
        <v>436.70456000000001</v>
      </c>
      <c r="D184" s="55">
        <v>436704.56</v>
      </c>
      <c r="E184" s="28">
        <v>33030</v>
      </c>
      <c r="F184" s="48">
        <v>4122</v>
      </c>
    </row>
    <row r="185" spans="1:6" s="2" customFormat="1" x14ac:dyDescent="0.25">
      <c r="A185" s="25">
        <v>41817</v>
      </c>
      <c r="B185" s="24" t="s">
        <v>132</v>
      </c>
      <c r="C185" s="52">
        <v>3128.0374700000002</v>
      </c>
      <c r="D185" s="55">
        <v>3128037.47</v>
      </c>
      <c r="E185" s="28">
        <v>33030</v>
      </c>
      <c r="F185" s="48">
        <v>4122</v>
      </c>
    </row>
    <row r="186" spans="1:6" s="2" customFormat="1" x14ac:dyDescent="0.25">
      <c r="A186" s="25">
        <v>41822</v>
      </c>
      <c r="B186" s="24" t="s">
        <v>167</v>
      </c>
      <c r="C186" s="52">
        <v>1000</v>
      </c>
      <c r="D186" s="55">
        <v>1000000</v>
      </c>
      <c r="E186" s="28">
        <v>331</v>
      </c>
      <c r="F186" s="48">
        <v>4122</v>
      </c>
    </row>
    <row r="187" spans="1:6" s="2" customFormat="1" x14ac:dyDescent="0.25">
      <c r="A187" s="25">
        <v>41823</v>
      </c>
      <c r="B187" s="24" t="s">
        <v>87</v>
      </c>
      <c r="C187" s="52">
        <v>211.45779999999999</v>
      </c>
      <c r="D187" s="55">
        <f>179739.13+31718.67</f>
        <v>211457.8</v>
      </c>
      <c r="E187" s="28">
        <v>33030</v>
      </c>
      <c r="F187" s="48">
        <v>4122</v>
      </c>
    </row>
    <row r="188" spans="1:6" s="2" customFormat="1" x14ac:dyDescent="0.25">
      <c r="A188" s="25">
        <v>41823</v>
      </c>
      <c r="B188" s="24" t="s">
        <v>162</v>
      </c>
      <c r="C188" s="52">
        <v>325.18011000000001</v>
      </c>
      <c r="D188" s="55">
        <v>325180.11</v>
      </c>
      <c r="E188" s="28">
        <v>33030</v>
      </c>
      <c r="F188" s="48">
        <v>4122</v>
      </c>
    </row>
    <row r="189" spans="1:6" s="2" customFormat="1" x14ac:dyDescent="0.25">
      <c r="A189" s="25">
        <v>41824</v>
      </c>
      <c r="B189" s="24" t="s">
        <v>145</v>
      </c>
      <c r="C189" s="52">
        <v>392.42531000000002</v>
      </c>
      <c r="D189" s="55">
        <v>392425.31</v>
      </c>
      <c r="E189" s="28">
        <v>33030</v>
      </c>
      <c r="F189" s="48">
        <v>4122</v>
      </c>
    </row>
    <row r="190" spans="1:6" s="2" customFormat="1" x14ac:dyDescent="0.25">
      <c r="A190" s="25">
        <v>41824</v>
      </c>
      <c r="B190" s="24" t="s">
        <v>173</v>
      </c>
      <c r="C190" s="52">
        <v>304.06526000000002</v>
      </c>
      <c r="D190" s="55">
        <f>258455.47+45609.79</f>
        <v>304065.26</v>
      </c>
      <c r="E190" s="28">
        <v>33030</v>
      </c>
      <c r="F190" s="48">
        <v>4122</v>
      </c>
    </row>
    <row r="191" spans="1:6" s="2" customFormat="1" x14ac:dyDescent="0.25">
      <c r="A191" s="25">
        <v>41824</v>
      </c>
      <c r="B191" s="24" t="s">
        <v>168</v>
      </c>
      <c r="C191" s="52">
        <v>44</v>
      </c>
      <c r="D191" s="55">
        <v>44000</v>
      </c>
      <c r="E191" s="28">
        <v>331</v>
      </c>
      <c r="F191" s="48">
        <v>4122</v>
      </c>
    </row>
    <row r="192" spans="1:6" s="2" customFormat="1" x14ac:dyDescent="0.25">
      <c r="A192" s="25">
        <v>41824</v>
      </c>
      <c r="B192" s="24" t="s">
        <v>169</v>
      </c>
      <c r="C192" s="52">
        <v>68</v>
      </c>
      <c r="D192" s="55">
        <v>68000</v>
      </c>
      <c r="E192" s="28">
        <v>331</v>
      </c>
      <c r="F192" s="48">
        <v>4122</v>
      </c>
    </row>
    <row r="193" spans="1:6" s="2" customFormat="1" x14ac:dyDescent="0.25">
      <c r="A193" s="25">
        <v>41824</v>
      </c>
      <c r="B193" s="24" t="s">
        <v>170</v>
      </c>
      <c r="C193" s="52">
        <v>55</v>
      </c>
      <c r="D193" s="55">
        <v>55000</v>
      </c>
      <c r="E193" s="28">
        <v>331</v>
      </c>
      <c r="F193" s="48">
        <v>4122</v>
      </c>
    </row>
    <row r="194" spans="1:6" s="2" customFormat="1" x14ac:dyDescent="0.25">
      <c r="A194" s="25">
        <v>41824</v>
      </c>
      <c r="B194" s="24" t="s">
        <v>171</v>
      </c>
      <c r="C194" s="52">
        <v>25</v>
      </c>
      <c r="D194" s="55">
        <v>25000</v>
      </c>
      <c r="E194" s="28">
        <v>331</v>
      </c>
      <c r="F194" s="48">
        <v>4122</v>
      </c>
    </row>
    <row r="195" spans="1:6" s="2" customFormat="1" x14ac:dyDescent="0.25">
      <c r="A195" s="25">
        <v>41824</v>
      </c>
      <c r="B195" s="24" t="s">
        <v>172</v>
      </c>
      <c r="C195" s="52">
        <v>48</v>
      </c>
      <c r="D195" s="55">
        <v>48000</v>
      </c>
      <c r="E195" s="28">
        <v>331</v>
      </c>
      <c r="F195" s="48">
        <v>4122</v>
      </c>
    </row>
    <row r="196" spans="1:6" s="2" customFormat="1" x14ac:dyDescent="0.25">
      <c r="A196" s="25">
        <v>41844</v>
      </c>
      <c r="B196" s="24" t="s">
        <v>187</v>
      </c>
      <c r="C196" s="55">
        <v>19.8</v>
      </c>
      <c r="D196" s="55">
        <v>19800</v>
      </c>
      <c r="E196" s="28">
        <v>359</v>
      </c>
      <c r="F196" s="48">
        <v>4122</v>
      </c>
    </row>
    <row r="197" spans="1:6" s="2" customFormat="1" x14ac:dyDescent="0.25">
      <c r="A197" s="25">
        <v>41845</v>
      </c>
      <c r="B197" s="24" t="s">
        <v>92</v>
      </c>
      <c r="C197" s="55">
        <v>556.37405999999999</v>
      </c>
      <c r="D197" s="55">
        <f>472917.95+83456.11</f>
        <v>556374.06000000006</v>
      </c>
      <c r="E197" s="28">
        <v>33030</v>
      </c>
      <c r="F197" s="48">
        <v>4122</v>
      </c>
    </row>
    <row r="198" spans="1:6" s="2" customFormat="1" x14ac:dyDescent="0.25">
      <c r="A198" s="25">
        <v>41849</v>
      </c>
      <c r="B198" s="24" t="s">
        <v>184</v>
      </c>
      <c r="C198" s="55">
        <v>100</v>
      </c>
      <c r="D198" s="55">
        <v>100000</v>
      </c>
      <c r="E198" s="28">
        <v>539</v>
      </c>
      <c r="F198" s="48">
        <v>4122</v>
      </c>
    </row>
    <row r="199" spans="1:6" s="2" customFormat="1" x14ac:dyDescent="0.25">
      <c r="A199" s="25">
        <v>41849</v>
      </c>
      <c r="B199" s="24" t="s">
        <v>185</v>
      </c>
      <c r="C199" s="55">
        <v>73</v>
      </c>
      <c r="D199" s="55">
        <v>73000</v>
      </c>
      <c r="E199" s="28">
        <v>539</v>
      </c>
      <c r="F199" s="48">
        <v>4122</v>
      </c>
    </row>
    <row r="200" spans="1:6" s="2" customFormat="1" x14ac:dyDescent="0.25">
      <c r="A200" s="25">
        <v>41849</v>
      </c>
      <c r="B200" s="24" t="s">
        <v>186</v>
      </c>
      <c r="C200" s="55">
        <v>66</v>
      </c>
      <c r="D200" s="55">
        <v>66000</v>
      </c>
      <c r="E200" s="28">
        <v>539</v>
      </c>
      <c r="F200" s="48">
        <v>4122</v>
      </c>
    </row>
    <row r="201" spans="1:6" s="2" customFormat="1" x14ac:dyDescent="0.25">
      <c r="A201" s="25">
        <v>41857</v>
      </c>
      <c r="B201" s="24" t="s">
        <v>149</v>
      </c>
      <c r="C201" s="55">
        <v>1062.93398</v>
      </c>
      <c r="D201" s="55">
        <f>903493.88+159440.1</f>
        <v>1062933.98</v>
      </c>
      <c r="E201" s="28">
        <v>33030</v>
      </c>
      <c r="F201" s="48">
        <v>4122</v>
      </c>
    </row>
    <row r="202" spans="1:6" s="2" customFormat="1" x14ac:dyDescent="0.25">
      <c r="A202" s="25">
        <v>41862</v>
      </c>
      <c r="B202" s="24" t="s">
        <v>189</v>
      </c>
      <c r="C202" s="55">
        <v>876.99243999999999</v>
      </c>
      <c r="D202" s="55">
        <f>745443.57+131548.87</f>
        <v>876992.44</v>
      </c>
      <c r="E202" s="28">
        <v>33030</v>
      </c>
      <c r="F202" s="48">
        <v>4122</v>
      </c>
    </row>
    <row r="203" spans="1:6" s="2" customFormat="1" x14ac:dyDescent="0.25">
      <c r="A203" s="25">
        <v>41865</v>
      </c>
      <c r="B203" s="24" t="s">
        <v>195</v>
      </c>
      <c r="C203" s="55">
        <v>100</v>
      </c>
      <c r="D203" s="55">
        <v>100000</v>
      </c>
      <c r="E203" s="28">
        <v>539</v>
      </c>
      <c r="F203" s="48">
        <v>4122</v>
      </c>
    </row>
    <row r="204" spans="1:6" s="2" customFormat="1" x14ac:dyDescent="0.25">
      <c r="A204" s="25">
        <v>41876</v>
      </c>
      <c r="B204" s="24" t="s">
        <v>162</v>
      </c>
      <c r="C204" s="52">
        <v>40.484209999999997</v>
      </c>
      <c r="D204" s="55">
        <f>34411.57+6072.64</f>
        <v>40484.21</v>
      </c>
      <c r="E204" s="28">
        <v>33030</v>
      </c>
      <c r="F204" s="48">
        <v>4122</v>
      </c>
    </row>
    <row r="205" spans="1:6" s="2" customFormat="1" x14ac:dyDescent="0.25">
      <c r="A205" s="25">
        <v>41877</v>
      </c>
      <c r="B205" s="24" t="s">
        <v>77</v>
      </c>
      <c r="C205" s="52">
        <v>81.12</v>
      </c>
      <c r="D205" s="55">
        <v>81120</v>
      </c>
      <c r="E205" s="28">
        <v>14011</v>
      </c>
      <c r="F205" s="48">
        <v>4122</v>
      </c>
    </row>
    <row r="206" spans="1:6" s="2" customFormat="1" x14ac:dyDescent="0.25">
      <c r="A206" s="25">
        <v>41885</v>
      </c>
      <c r="B206" s="24" t="s">
        <v>200</v>
      </c>
      <c r="C206" s="52">
        <v>60</v>
      </c>
      <c r="D206" s="55">
        <v>60000</v>
      </c>
      <c r="E206" s="28">
        <v>214</v>
      </c>
      <c r="F206" s="48">
        <v>4122</v>
      </c>
    </row>
    <row r="207" spans="1:6" s="2" customFormat="1" x14ac:dyDescent="0.25">
      <c r="A207" s="25">
        <v>41886</v>
      </c>
      <c r="B207" s="24" t="s">
        <v>209</v>
      </c>
      <c r="C207" s="52">
        <v>2000</v>
      </c>
      <c r="D207" s="55">
        <v>2000000</v>
      </c>
      <c r="E207" s="28">
        <v>331</v>
      </c>
      <c r="F207" s="48">
        <v>4122</v>
      </c>
    </row>
    <row r="208" spans="1:6" s="2" customFormat="1" x14ac:dyDescent="0.25">
      <c r="A208" s="25">
        <v>41908</v>
      </c>
      <c r="B208" s="24" t="s">
        <v>210</v>
      </c>
      <c r="C208" s="52">
        <v>120</v>
      </c>
      <c r="D208" s="55">
        <v>120000</v>
      </c>
      <c r="E208" s="22">
        <v>311</v>
      </c>
      <c r="F208" s="48">
        <v>4122</v>
      </c>
    </row>
    <row r="209" spans="1:8" s="2" customFormat="1" x14ac:dyDescent="0.25">
      <c r="A209" s="25">
        <v>41939</v>
      </c>
      <c r="B209" s="24" t="s">
        <v>248</v>
      </c>
      <c r="C209" s="52">
        <v>367.26477</v>
      </c>
      <c r="D209" s="55">
        <v>367264.77</v>
      </c>
      <c r="E209" s="22">
        <v>33030</v>
      </c>
      <c r="F209" s="48">
        <v>4122</v>
      </c>
    </row>
    <row r="210" spans="1:8" s="2" customFormat="1" x14ac:dyDescent="0.25">
      <c r="A210" s="25">
        <v>41948</v>
      </c>
      <c r="B210" s="24" t="s">
        <v>92</v>
      </c>
      <c r="C210" s="52">
        <v>59.492049999999999</v>
      </c>
      <c r="D210" s="55">
        <v>59492.05</v>
      </c>
      <c r="E210" s="22">
        <v>33030</v>
      </c>
      <c r="F210" s="48">
        <v>4122</v>
      </c>
    </row>
    <row r="211" spans="1:8" s="2" customFormat="1" x14ac:dyDescent="0.25">
      <c r="A211" s="25">
        <v>41948</v>
      </c>
      <c r="B211" s="24" t="s">
        <v>101</v>
      </c>
      <c r="C211" s="52">
        <v>479.05074000000002</v>
      </c>
      <c r="D211" s="55">
        <f>407193.12+71857.62</f>
        <v>479050.74</v>
      </c>
      <c r="E211" s="22">
        <v>33030</v>
      </c>
      <c r="F211" s="48">
        <v>4122</v>
      </c>
    </row>
    <row r="212" spans="1:8" s="2" customFormat="1" x14ac:dyDescent="0.25">
      <c r="A212" s="25">
        <v>41948</v>
      </c>
      <c r="B212" s="24" t="s">
        <v>146</v>
      </c>
      <c r="C212" s="52">
        <v>2226.5305499999999</v>
      </c>
      <c r="D212" s="55">
        <v>2226530.5499999998</v>
      </c>
      <c r="E212" s="22">
        <v>33030</v>
      </c>
      <c r="F212" s="48">
        <v>4122</v>
      </c>
    </row>
    <row r="213" spans="1:8" s="2" customFormat="1" x14ac:dyDescent="0.25">
      <c r="A213" s="25">
        <v>41948</v>
      </c>
      <c r="B213" s="24" t="s">
        <v>145</v>
      </c>
      <c r="C213" s="52">
        <v>350.97582999999997</v>
      </c>
      <c r="D213" s="55">
        <v>350975.83</v>
      </c>
      <c r="E213" s="22">
        <v>33030</v>
      </c>
      <c r="F213" s="48">
        <v>4122</v>
      </c>
    </row>
    <row r="214" spans="1:8" s="2" customFormat="1" x14ac:dyDescent="0.25">
      <c r="A214" s="25">
        <v>41957</v>
      </c>
      <c r="B214" s="24" t="s">
        <v>72</v>
      </c>
      <c r="C214" s="52">
        <v>148.68736999999999</v>
      </c>
      <c r="D214" s="55">
        <f>126384.25+22303.12</f>
        <v>148687.37</v>
      </c>
      <c r="E214" s="22">
        <v>33030</v>
      </c>
      <c r="F214" s="48">
        <v>4122</v>
      </c>
    </row>
    <row r="215" spans="1:8" s="2" customFormat="1" x14ac:dyDescent="0.25">
      <c r="A215" s="25">
        <v>41957</v>
      </c>
      <c r="B215" s="24" t="s">
        <v>81</v>
      </c>
      <c r="C215" s="52">
        <v>385.09258999999997</v>
      </c>
      <c r="D215" s="55">
        <v>385092.59</v>
      </c>
      <c r="E215" s="22">
        <v>33030</v>
      </c>
      <c r="F215" s="48">
        <v>4122</v>
      </c>
    </row>
    <row r="216" spans="1:8" s="2" customFormat="1" x14ac:dyDescent="0.25">
      <c r="A216" s="25">
        <v>41969</v>
      </c>
      <c r="B216" s="24" t="s">
        <v>276</v>
      </c>
      <c r="C216" s="52">
        <v>580</v>
      </c>
      <c r="D216" s="55">
        <v>580000</v>
      </c>
      <c r="E216" s="22">
        <v>331</v>
      </c>
      <c r="F216" s="48">
        <v>4122</v>
      </c>
    </row>
    <row r="217" spans="1:8" s="2" customFormat="1" x14ac:dyDescent="0.25">
      <c r="A217" s="25">
        <v>41969</v>
      </c>
      <c r="B217" s="24" t="s">
        <v>277</v>
      </c>
      <c r="C217" s="52">
        <v>20</v>
      </c>
      <c r="D217" s="55">
        <v>20000</v>
      </c>
      <c r="E217" s="22">
        <v>331</v>
      </c>
      <c r="F217" s="48">
        <v>4122</v>
      </c>
      <c r="H217" s="1"/>
    </row>
    <row r="218" spans="1:8" s="2" customFormat="1" x14ac:dyDescent="0.25">
      <c r="A218" s="25">
        <v>41969</v>
      </c>
      <c r="B218" s="24" t="s">
        <v>278</v>
      </c>
      <c r="C218" s="52">
        <v>240</v>
      </c>
      <c r="D218" s="55">
        <v>240000</v>
      </c>
      <c r="E218" s="22">
        <v>331</v>
      </c>
      <c r="F218" s="48">
        <v>4122</v>
      </c>
      <c r="H218" s="1"/>
    </row>
    <row r="219" spans="1:8" s="2" customFormat="1" x14ac:dyDescent="0.25">
      <c r="A219" s="25">
        <v>41969</v>
      </c>
      <c r="B219" s="24" t="s">
        <v>283</v>
      </c>
      <c r="C219" s="52">
        <v>1800</v>
      </c>
      <c r="D219" s="55">
        <v>1800000</v>
      </c>
      <c r="E219" s="22">
        <v>222</v>
      </c>
      <c r="F219" s="48">
        <v>4122</v>
      </c>
      <c r="H219" s="1"/>
    </row>
    <row r="220" spans="1:8" s="2" customFormat="1" x14ac:dyDescent="0.25">
      <c r="A220" s="25">
        <v>41976</v>
      </c>
      <c r="B220" s="24" t="s">
        <v>103</v>
      </c>
      <c r="C220" s="52">
        <v>306.74346000000003</v>
      </c>
      <c r="D220" s="55">
        <f>260731.94+46011.52</f>
        <v>306743.46000000002</v>
      </c>
      <c r="E220" s="22">
        <v>33030</v>
      </c>
      <c r="F220" s="48">
        <v>4122</v>
      </c>
      <c r="H220" s="1"/>
    </row>
    <row r="221" spans="1:8" s="2" customFormat="1" x14ac:dyDescent="0.25">
      <c r="A221" s="25">
        <v>41976</v>
      </c>
      <c r="B221" s="24" t="s">
        <v>119</v>
      </c>
      <c r="C221" s="52">
        <v>278.21814999999998</v>
      </c>
      <c r="D221" s="55">
        <f>236485.42+41732.73</f>
        <v>278218.15000000002</v>
      </c>
      <c r="E221" s="22">
        <v>33030</v>
      </c>
      <c r="F221" s="48">
        <v>4122</v>
      </c>
      <c r="H221" s="1"/>
    </row>
    <row r="222" spans="1:8" s="2" customFormat="1" x14ac:dyDescent="0.25">
      <c r="A222" s="25">
        <v>41984</v>
      </c>
      <c r="B222" s="24" t="s">
        <v>102</v>
      </c>
      <c r="C222" s="52">
        <v>785.92787999999996</v>
      </c>
      <c r="D222" s="55">
        <v>785927.88</v>
      </c>
      <c r="E222" s="22">
        <v>33030</v>
      </c>
      <c r="F222" s="48">
        <v>4122</v>
      </c>
      <c r="H222" s="1"/>
    </row>
    <row r="223" spans="1:8" s="2" customFormat="1" x14ac:dyDescent="0.25">
      <c r="A223" s="25">
        <v>41991</v>
      </c>
      <c r="B223" s="24" t="s">
        <v>77</v>
      </c>
      <c r="C223" s="52">
        <v>44.2</v>
      </c>
      <c r="D223" s="55">
        <v>44200</v>
      </c>
      <c r="E223" s="22">
        <v>14011</v>
      </c>
      <c r="F223" s="48">
        <v>4122</v>
      </c>
      <c r="H223" s="1"/>
    </row>
    <row r="224" spans="1:8" s="2" customFormat="1" x14ac:dyDescent="0.25">
      <c r="A224" s="25">
        <v>41992</v>
      </c>
      <c r="B224" s="24" t="s">
        <v>80</v>
      </c>
      <c r="C224" s="52">
        <v>93.969849999999994</v>
      </c>
      <c r="D224" s="55">
        <v>93969.85</v>
      </c>
      <c r="E224" s="22">
        <v>33030</v>
      </c>
      <c r="F224" s="48">
        <v>4122</v>
      </c>
      <c r="H224" s="1"/>
    </row>
    <row r="225" spans="1:8" s="2" customFormat="1" x14ac:dyDescent="0.25">
      <c r="A225" s="25">
        <v>41992</v>
      </c>
      <c r="B225" s="24" t="s">
        <v>306</v>
      </c>
      <c r="C225" s="52">
        <v>188.25846999999999</v>
      </c>
      <c r="D225" s="55">
        <f>160019.69+28238.78</f>
        <v>188258.47</v>
      </c>
      <c r="E225" s="22">
        <v>33030</v>
      </c>
      <c r="F225" s="48">
        <v>4122</v>
      </c>
      <c r="H225" s="1"/>
    </row>
    <row r="226" spans="1:8" s="2" customFormat="1" x14ac:dyDescent="0.25">
      <c r="A226" s="25">
        <v>41992</v>
      </c>
      <c r="B226" s="24" t="s">
        <v>69</v>
      </c>
      <c r="C226" s="52">
        <v>0.99221999999999999</v>
      </c>
      <c r="D226" s="55">
        <f>843.38+148.84</f>
        <v>992.22</v>
      </c>
      <c r="E226" s="22">
        <v>33030</v>
      </c>
      <c r="F226" s="48">
        <v>4122</v>
      </c>
      <c r="H226" s="1"/>
    </row>
    <row r="227" spans="1:8" s="2" customFormat="1" x14ac:dyDescent="0.25">
      <c r="A227" s="25">
        <v>41992</v>
      </c>
      <c r="B227" s="24" t="s">
        <v>117</v>
      </c>
      <c r="C227" s="52">
        <v>848.11527999999998</v>
      </c>
      <c r="D227" s="55">
        <f>720897.98+127217.3</f>
        <v>848115.28</v>
      </c>
      <c r="E227" s="22">
        <v>33030</v>
      </c>
      <c r="F227" s="48">
        <v>4122</v>
      </c>
      <c r="H227" s="1"/>
    </row>
    <row r="228" spans="1:8" s="2" customFormat="1" x14ac:dyDescent="0.25">
      <c r="A228" s="25">
        <v>41992</v>
      </c>
      <c r="B228" s="24" t="s">
        <v>116</v>
      </c>
      <c r="C228" s="52">
        <v>323.90965999999997</v>
      </c>
      <c r="D228" s="55">
        <f>275323.21+48586.45</f>
        <v>323909.66000000003</v>
      </c>
      <c r="E228" s="22">
        <v>33030</v>
      </c>
      <c r="F228" s="48">
        <v>4122</v>
      </c>
      <c r="H228" s="1"/>
    </row>
    <row r="229" spans="1:8" s="2" customFormat="1" x14ac:dyDescent="0.25">
      <c r="A229" s="25">
        <v>41992</v>
      </c>
      <c r="B229" s="24" t="s">
        <v>145</v>
      </c>
      <c r="C229" s="52">
        <v>636.83671000000004</v>
      </c>
      <c r="D229" s="55">
        <f>541311.2+95525.51</f>
        <v>636836.71</v>
      </c>
      <c r="E229" s="22">
        <v>33030</v>
      </c>
      <c r="F229" s="48">
        <v>4122</v>
      </c>
      <c r="H229" s="1"/>
    </row>
    <row r="230" spans="1:8" s="2" customFormat="1" x14ac:dyDescent="0.25">
      <c r="A230" s="25">
        <v>41992</v>
      </c>
      <c r="B230" s="24" t="s">
        <v>88</v>
      </c>
      <c r="C230" s="52">
        <v>2073.7684199999999</v>
      </c>
      <c r="D230" s="55">
        <f>1762703.15+311065.27</f>
        <v>2073768.42</v>
      </c>
      <c r="E230" s="22">
        <v>33030</v>
      </c>
      <c r="F230" s="48">
        <v>4122</v>
      </c>
      <c r="H230" s="1"/>
    </row>
    <row r="231" spans="1:8" s="2" customFormat="1" x14ac:dyDescent="0.25">
      <c r="A231" s="25"/>
      <c r="B231" s="24"/>
      <c r="C231" s="55"/>
      <c r="D231" s="55"/>
      <c r="E231" s="28"/>
      <c r="F231" s="29"/>
    </row>
    <row r="232" spans="1:8" s="2" customFormat="1" x14ac:dyDescent="0.25">
      <c r="A232" s="25"/>
      <c r="B232" s="30" t="s">
        <v>55</v>
      </c>
      <c r="C232" s="26">
        <f>SUM(C233:C237)</f>
        <v>1855.9939900000002</v>
      </c>
      <c r="D232" s="27">
        <f>+SUM(D233:D237)</f>
        <v>1855993.99</v>
      </c>
      <c r="E232" s="28"/>
      <c r="F232" s="29"/>
    </row>
    <row r="233" spans="1:8" s="2" customFormat="1" x14ac:dyDescent="0.25">
      <c r="A233" s="12">
        <v>41768</v>
      </c>
      <c r="B233" s="24" t="s">
        <v>107</v>
      </c>
      <c r="C233" s="52">
        <v>1052.0603000000001</v>
      </c>
      <c r="D233" s="55">
        <v>1052060.3</v>
      </c>
      <c r="E233" s="22">
        <v>86005</v>
      </c>
      <c r="F233" s="48">
        <v>4123</v>
      </c>
    </row>
    <row r="234" spans="1:8" s="2" customFormat="1" x14ac:dyDescent="0.25">
      <c r="A234" s="49">
        <v>41768</v>
      </c>
      <c r="B234" s="24" t="s">
        <v>107</v>
      </c>
      <c r="C234" s="52">
        <v>92.828850000000003</v>
      </c>
      <c r="D234" s="55">
        <v>92828.85</v>
      </c>
      <c r="E234" s="62">
        <v>86001</v>
      </c>
      <c r="F234" s="48">
        <v>4123</v>
      </c>
    </row>
    <row r="235" spans="1:8" s="2" customFormat="1" x14ac:dyDescent="0.25">
      <c r="A235" s="49">
        <v>41835</v>
      </c>
      <c r="B235" s="24" t="s">
        <v>347</v>
      </c>
      <c r="C235" s="52">
        <v>653.44768999999997</v>
      </c>
      <c r="D235" s="55">
        <v>653447.68999999994</v>
      </c>
      <c r="E235" s="62">
        <v>86005</v>
      </c>
      <c r="F235" s="48">
        <v>4123</v>
      </c>
    </row>
    <row r="236" spans="1:8" s="2" customFormat="1" x14ac:dyDescent="0.25">
      <c r="A236" s="49">
        <v>41835</v>
      </c>
      <c r="B236" s="24" t="s">
        <v>347</v>
      </c>
      <c r="C236" s="52">
        <v>57.657150000000001</v>
      </c>
      <c r="D236" s="55">
        <v>57657.15</v>
      </c>
      <c r="E236" s="62">
        <v>86001</v>
      </c>
      <c r="F236" s="48">
        <v>4123</v>
      </c>
    </row>
    <row r="237" spans="1:8" x14ac:dyDescent="0.25">
      <c r="A237" s="50"/>
      <c r="B237" s="64"/>
      <c r="C237" s="65"/>
      <c r="D237" s="56"/>
      <c r="E237" s="60"/>
      <c r="F237" s="48"/>
      <c r="G237" s="2"/>
      <c r="H237" s="2"/>
    </row>
    <row r="238" spans="1:8" s="2" customFormat="1" x14ac:dyDescent="0.25">
      <c r="A238" s="25"/>
      <c r="B238" s="66" t="s">
        <v>56</v>
      </c>
      <c r="C238" s="30">
        <f>+C239</f>
        <v>328</v>
      </c>
      <c r="D238" s="31">
        <f>+D239</f>
        <v>327409.55</v>
      </c>
      <c r="E238" s="28"/>
      <c r="F238" s="29"/>
    </row>
    <row r="239" spans="1:8" s="45" customFormat="1" x14ac:dyDescent="0.25">
      <c r="A239" s="43">
        <v>41669</v>
      </c>
      <c r="B239" s="44" t="s">
        <v>57</v>
      </c>
      <c r="C239" s="47">
        <v>328</v>
      </c>
      <c r="D239" s="47">
        <v>327409.55</v>
      </c>
      <c r="E239" s="67"/>
      <c r="F239" s="68">
        <v>4151</v>
      </c>
      <c r="G239" s="2"/>
      <c r="H239" s="2"/>
    </row>
    <row r="240" spans="1:8" s="2" customFormat="1" x14ac:dyDescent="0.25">
      <c r="A240" s="25"/>
      <c r="B240" s="23"/>
      <c r="C240" s="46"/>
      <c r="D240" s="47"/>
      <c r="E240" s="28"/>
      <c r="F240" s="48"/>
    </row>
    <row r="241" spans="1:8" s="2" customFormat="1" x14ac:dyDescent="0.25">
      <c r="A241" s="25"/>
      <c r="B241" s="69" t="s">
        <v>58</v>
      </c>
      <c r="C241" s="30">
        <f>+SUM(C242:C245)</f>
        <v>5888</v>
      </c>
      <c r="D241" s="31">
        <f>+SUM(D242:D245)</f>
        <v>5886167.8700000001</v>
      </c>
      <c r="E241" s="28"/>
      <c r="F241" s="48"/>
    </row>
    <row r="242" spans="1:8" s="45" customFormat="1" x14ac:dyDescent="0.25">
      <c r="A242" s="43">
        <v>41661</v>
      </c>
      <c r="B242" s="24" t="s">
        <v>60</v>
      </c>
      <c r="C242" s="53">
        <v>448</v>
      </c>
      <c r="D242" s="55">
        <v>447498.68</v>
      </c>
      <c r="E242" s="67"/>
      <c r="F242" s="68">
        <v>4152</v>
      </c>
      <c r="G242" s="2"/>
      <c r="H242" s="2"/>
    </row>
    <row r="243" spans="1:8" s="45" customFormat="1" x14ac:dyDescent="0.25">
      <c r="A243" s="43">
        <v>41670</v>
      </c>
      <c r="B243" s="24" t="s">
        <v>59</v>
      </c>
      <c r="C243" s="53">
        <v>2852</v>
      </c>
      <c r="D243" s="55">
        <v>2851674.69</v>
      </c>
      <c r="E243" s="67"/>
      <c r="F243" s="68">
        <v>4152</v>
      </c>
      <c r="G243" s="2"/>
      <c r="H243" s="2"/>
    </row>
    <row r="244" spans="1:8" s="45" customFormat="1" x14ac:dyDescent="0.25">
      <c r="A244" s="43">
        <v>41773</v>
      </c>
      <c r="B244" s="24" t="s">
        <v>110</v>
      </c>
      <c r="C244" s="53">
        <v>2097</v>
      </c>
      <c r="D244" s="55">
        <v>2096090.44</v>
      </c>
      <c r="E244" s="67"/>
      <c r="F244" s="68">
        <v>4152</v>
      </c>
      <c r="G244" s="2"/>
      <c r="H244" s="2"/>
    </row>
    <row r="245" spans="1:8" s="45" customFormat="1" x14ac:dyDescent="0.25">
      <c r="A245" s="43">
        <v>41810</v>
      </c>
      <c r="B245" s="24" t="s">
        <v>127</v>
      </c>
      <c r="C245" s="53">
        <v>491</v>
      </c>
      <c r="D245" s="55">
        <v>490904.06</v>
      </c>
      <c r="E245" s="67"/>
      <c r="F245" s="68">
        <v>4152</v>
      </c>
      <c r="G245" s="2"/>
      <c r="H245" s="2"/>
    </row>
    <row r="246" spans="1:8" x14ac:dyDescent="0.25">
      <c r="A246" s="50"/>
      <c r="B246" s="24"/>
      <c r="C246" s="59"/>
      <c r="D246" s="55"/>
      <c r="E246" s="60"/>
      <c r="F246" s="63"/>
      <c r="G246" s="2"/>
      <c r="H246" s="2"/>
    </row>
    <row r="247" spans="1:8" s="2" customFormat="1" x14ac:dyDescent="0.25">
      <c r="A247" s="25"/>
      <c r="B247" s="70" t="s">
        <v>61</v>
      </c>
      <c r="C247" s="26">
        <f>+C241+C148+C94+C91+C81+C68+C21+C7+C84+C238+C232+C145+C27+C107+C132+C11+C124</f>
        <v>154582.70371999999</v>
      </c>
      <c r="D247" s="26">
        <f>+D241+D148+D94+D91+D81+D68+D21+D7+D84+D238+D232+D145+D27+D107+D132+D11+D124</f>
        <v>154580281.14000002</v>
      </c>
      <c r="E247" s="71"/>
      <c r="F247" s="22"/>
    </row>
    <row r="248" spans="1:8" s="2" customFormat="1" ht="16.5" thickBot="1" x14ac:dyDescent="0.3">
      <c r="A248" s="72"/>
      <c r="B248" s="73"/>
      <c r="C248" s="74"/>
      <c r="D248" s="75"/>
      <c r="E248" s="76"/>
      <c r="F248" s="77"/>
    </row>
    <row r="249" spans="1:8" s="2" customFormat="1" x14ac:dyDescent="0.25">
      <c r="A249" s="78"/>
      <c r="B249" s="7"/>
      <c r="C249" s="7"/>
      <c r="D249" s="79"/>
      <c r="E249" s="80"/>
      <c r="F249" s="80"/>
    </row>
    <row r="250" spans="1:8" s="2" customFormat="1" ht="16.5" thickBot="1" x14ac:dyDescent="0.3">
      <c r="A250" s="78"/>
      <c r="B250" s="7"/>
      <c r="C250" s="7"/>
      <c r="D250" s="79"/>
      <c r="E250" s="80"/>
      <c r="F250" s="80"/>
    </row>
    <row r="251" spans="1:8" s="2" customFormat="1" x14ac:dyDescent="0.25">
      <c r="A251" s="3"/>
      <c r="B251" s="4"/>
      <c r="C251" s="4"/>
      <c r="D251" s="5"/>
      <c r="E251" s="81"/>
      <c r="F251" s="81"/>
    </row>
    <row r="252" spans="1:8" s="2" customFormat="1" ht="16.5" thickBot="1" x14ac:dyDescent="0.3">
      <c r="A252" s="8" t="s">
        <v>1</v>
      </c>
      <c r="B252" s="9" t="s">
        <v>62</v>
      </c>
      <c r="C252" s="9" t="s">
        <v>3</v>
      </c>
      <c r="D252" s="10" t="s">
        <v>4</v>
      </c>
      <c r="E252" s="82" t="s">
        <v>5</v>
      </c>
      <c r="F252" s="82" t="s">
        <v>6</v>
      </c>
    </row>
    <row r="253" spans="1:8" s="2" customFormat="1" x14ac:dyDescent="0.25">
      <c r="A253" s="25"/>
      <c r="B253" s="13" t="s">
        <v>16</v>
      </c>
      <c r="C253" s="39">
        <f>+SUM(C254:C271)</f>
        <v>20222.031230000001</v>
      </c>
      <c r="D253" s="40">
        <f>+SUM(D254:D271)</f>
        <v>20080475.510000002</v>
      </c>
      <c r="E253" s="48"/>
      <c r="F253" s="48"/>
    </row>
    <row r="254" spans="1:8" s="2" customFormat="1" x14ac:dyDescent="0.25">
      <c r="A254" s="25">
        <v>41918</v>
      </c>
      <c r="B254" s="44" t="s">
        <v>76</v>
      </c>
      <c r="C254" s="53">
        <f>11668.6787+10153.37841-4196.97595</f>
        <v>17625.081160000002</v>
      </c>
      <c r="D254" s="47">
        <v>17625081.16</v>
      </c>
      <c r="E254" s="48">
        <v>90877</v>
      </c>
      <c r="F254" s="48">
        <v>4213</v>
      </c>
    </row>
    <row r="255" spans="1:8" s="2" customFormat="1" x14ac:dyDescent="0.25">
      <c r="A255" s="25">
        <v>41856</v>
      </c>
      <c r="B255" s="44" t="s">
        <v>193</v>
      </c>
      <c r="C255" s="53">
        <v>7.2996499999999997</v>
      </c>
      <c r="D255" s="21">
        <v>7299.65</v>
      </c>
      <c r="E255" s="48">
        <v>90877</v>
      </c>
      <c r="F255" s="48">
        <v>4213</v>
      </c>
    </row>
    <row r="256" spans="1:8" s="2" customFormat="1" x14ac:dyDescent="0.25">
      <c r="A256" s="25">
        <v>41894</v>
      </c>
      <c r="B256" s="44" t="s">
        <v>193</v>
      </c>
      <c r="C256" s="53">
        <v>20.533110000000001</v>
      </c>
      <c r="D256" s="21">
        <v>20533.11</v>
      </c>
      <c r="E256" s="48">
        <v>90877</v>
      </c>
      <c r="F256" s="48">
        <v>4213</v>
      </c>
    </row>
    <row r="257" spans="1:6" s="2" customFormat="1" x14ac:dyDescent="0.25">
      <c r="A257" s="25">
        <v>41964</v>
      </c>
      <c r="B257" s="44" t="s">
        <v>268</v>
      </c>
      <c r="C257" s="53">
        <v>5.4450000000000003</v>
      </c>
      <c r="D257" s="21">
        <v>5445</v>
      </c>
      <c r="E257" s="48">
        <v>90877</v>
      </c>
      <c r="F257" s="48">
        <v>4213</v>
      </c>
    </row>
    <row r="258" spans="1:6" s="2" customFormat="1" x14ac:dyDescent="0.25">
      <c r="A258" s="25">
        <v>41969</v>
      </c>
      <c r="B258" s="44" t="s">
        <v>269</v>
      </c>
      <c r="C258" s="53">
        <v>100.00698</v>
      </c>
      <c r="D258" s="21">
        <v>100006.98</v>
      </c>
      <c r="E258" s="48">
        <v>90877</v>
      </c>
      <c r="F258" s="48">
        <v>4213</v>
      </c>
    </row>
    <row r="259" spans="1:6" s="2" customFormat="1" x14ac:dyDescent="0.25">
      <c r="A259" s="25">
        <v>41971</v>
      </c>
      <c r="B259" s="44" t="s">
        <v>275</v>
      </c>
      <c r="C259" s="53">
        <v>100.88712</v>
      </c>
      <c r="D259" s="20">
        <v>100887.12</v>
      </c>
      <c r="E259" s="48">
        <v>90877</v>
      </c>
      <c r="F259" s="48">
        <v>4213</v>
      </c>
    </row>
    <row r="260" spans="1:6" s="2" customFormat="1" x14ac:dyDescent="0.25">
      <c r="A260" s="25">
        <v>41975</v>
      </c>
      <c r="B260" s="44" t="s">
        <v>280</v>
      </c>
      <c r="C260" s="53">
        <v>98.087739999999997</v>
      </c>
      <c r="D260" s="20">
        <v>98087.74</v>
      </c>
      <c r="E260" s="48">
        <v>90877</v>
      </c>
      <c r="F260" s="48">
        <v>4213</v>
      </c>
    </row>
    <row r="261" spans="1:6" s="2" customFormat="1" x14ac:dyDescent="0.25">
      <c r="A261" s="25">
        <v>41975</v>
      </c>
      <c r="B261" s="44" t="s">
        <v>281</v>
      </c>
      <c r="C261" s="53">
        <v>69.997870000000006</v>
      </c>
      <c r="D261" s="20">
        <v>69997.87</v>
      </c>
      <c r="E261" s="48">
        <v>90877</v>
      </c>
      <c r="F261" s="48">
        <v>4213</v>
      </c>
    </row>
    <row r="262" spans="1:6" s="2" customFormat="1" x14ac:dyDescent="0.25">
      <c r="A262" s="25">
        <v>41976</v>
      </c>
      <c r="B262" s="44" t="s">
        <v>309</v>
      </c>
      <c r="C262" s="53">
        <v>478.53451999999999</v>
      </c>
      <c r="D262" s="20">
        <v>478534.52</v>
      </c>
      <c r="E262" s="48">
        <v>90877</v>
      </c>
      <c r="F262" s="48">
        <v>4213</v>
      </c>
    </row>
    <row r="263" spans="1:6" s="2" customFormat="1" x14ac:dyDescent="0.25">
      <c r="A263" s="25">
        <v>41983</v>
      </c>
      <c r="B263" s="44" t="s">
        <v>294</v>
      </c>
      <c r="C263" s="53">
        <v>0.4</v>
      </c>
      <c r="D263" s="20">
        <v>400</v>
      </c>
      <c r="E263" s="48">
        <v>90877</v>
      </c>
      <c r="F263" s="48">
        <v>4213</v>
      </c>
    </row>
    <row r="264" spans="1:6" s="2" customFormat="1" x14ac:dyDescent="0.25">
      <c r="A264" s="25">
        <v>41983</v>
      </c>
      <c r="B264" s="44" t="s">
        <v>275</v>
      </c>
      <c r="C264" s="53">
        <v>0.30249999999999999</v>
      </c>
      <c r="D264" s="20">
        <v>302.5</v>
      </c>
      <c r="E264" s="48">
        <v>90877</v>
      </c>
      <c r="F264" s="48">
        <v>4213</v>
      </c>
    </row>
    <row r="265" spans="1:6" s="2" customFormat="1" x14ac:dyDescent="0.25">
      <c r="A265" s="25">
        <v>41984</v>
      </c>
      <c r="B265" s="44" t="s">
        <v>268</v>
      </c>
      <c r="C265" s="53">
        <v>100.69473000000001</v>
      </c>
      <c r="D265" s="20">
        <v>100694.73</v>
      </c>
      <c r="E265" s="48">
        <v>90877</v>
      </c>
      <c r="F265" s="48">
        <v>4213</v>
      </c>
    </row>
    <row r="266" spans="1:6" s="2" customFormat="1" x14ac:dyDescent="0.25">
      <c r="A266" s="25">
        <v>41989</v>
      </c>
      <c r="B266" s="44" t="s">
        <v>299</v>
      </c>
      <c r="C266" s="53">
        <v>546.33384999999998</v>
      </c>
      <c r="D266" s="20">
        <v>546333.85</v>
      </c>
      <c r="E266" s="48">
        <v>90877</v>
      </c>
      <c r="F266" s="48">
        <v>4213</v>
      </c>
    </row>
    <row r="267" spans="1:6" s="2" customFormat="1" x14ac:dyDescent="0.25">
      <c r="A267" s="25">
        <v>41984</v>
      </c>
      <c r="B267" s="44" t="s">
        <v>300</v>
      </c>
      <c r="C267" s="53">
        <v>5.2560900000000004</v>
      </c>
      <c r="D267" s="20">
        <v>5256.09</v>
      </c>
      <c r="E267" s="48">
        <v>90877</v>
      </c>
      <c r="F267" s="48">
        <v>4213</v>
      </c>
    </row>
    <row r="268" spans="1:6" s="2" customFormat="1" x14ac:dyDescent="0.25">
      <c r="A268" s="25">
        <v>41984</v>
      </c>
      <c r="B268" s="44" t="s">
        <v>302</v>
      </c>
      <c r="C268" s="53">
        <v>358.07350000000002</v>
      </c>
      <c r="D268" s="20">
        <v>358073.5</v>
      </c>
      <c r="E268" s="48">
        <v>90877</v>
      </c>
      <c r="F268" s="48">
        <v>4213</v>
      </c>
    </row>
    <row r="269" spans="1:6" s="2" customFormat="1" x14ac:dyDescent="0.25">
      <c r="A269" s="25">
        <v>41984</v>
      </c>
      <c r="B269" s="44" t="s">
        <v>303</v>
      </c>
      <c r="C269" s="53">
        <v>157.00241</v>
      </c>
      <c r="D269" s="20">
        <v>157002.41</v>
      </c>
      <c r="E269" s="48">
        <v>90877</v>
      </c>
      <c r="F269" s="48">
        <v>4213</v>
      </c>
    </row>
    <row r="270" spans="1:6" s="2" customFormat="1" x14ac:dyDescent="0.25">
      <c r="A270" s="25">
        <v>41989</v>
      </c>
      <c r="B270" s="44" t="s">
        <v>304</v>
      </c>
      <c r="C270" s="53">
        <v>406.53928000000002</v>
      </c>
      <c r="D270" s="20">
        <v>406539.28</v>
      </c>
      <c r="E270" s="48">
        <v>90877</v>
      </c>
      <c r="F270" s="48">
        <v>4213</v>
      </c>
    </row>
    <row r="271" spans="1:6" s="2" customFormat="1" x14ac:dyDescent="0.25">
      <c r="A271" s="25"/>
      <c r="B271" s="44" t="s">
        <v>301</v>
      </c>
      <c r="C271" s="53">
        <v>141.55572000000001</v>
      </c>
      <c r="D271" s="20">
        <v>0</v>
      </c>
      <c r="E271" s="48">
        <v>90877</v>
      </c>
      <c r="F271" s="48">
        <v>4213</v>
      </c>
    </row>
    <row r="272" spans="1:6" s="2" customFormat="1" x14ac:dyDescent="0.25">
      <c r="A272" s="25"/>
      <c r="B272" s="23"/>
      <c r="C272" s="20"/>
      <c r="D272" s="40"/>
      <c r="E272" s="48"/>
      <c r="F272" s="48"/>
    </row>
    <row r="273" spans="1:6" s="2" customFormat="1" x14ac:dyDescent="0.25">
      <c r="A273" s="25"/>
      <c r="B273" s="13" t="s">
        <v>50</v>
      </c>
      <c r="C273" s="39">
        <f>+SUM(C274:C296)</f>
        <v>354005.94806000008</v>
      </c>
      <c r="D273" s="40">
        <f>+SUM(D274:D296)</f>
        <v>354005948.06</v>
      </c>
      <c r="E273" s="48"/>
      <c r="F273" s="48"/>
    </row>
    <row r="274" spans="1:6" s="2" customFormat="1" x14ac:dyDescent="0.25">
      <c r="A274" s="25">
        <v>41920</v>
      </c>
      <c r="B274" s="44" t="s">
        <v>76</v>
      </c>
      <c r="C274" s="53">
        <f>198367.53729+172607.43311-71348.59103</f>
        <v>299626.37936999998</v>
      </c>
      <c r="D274" s="21">
        <v>299626379.37</v>
      </c>
      <c r="E274" s="48">
        <v>15825</v>
      </c>
      <c r="F274" s="48">
        <v>4216</v>
      </c>
    </row>
    <row r="275" spans="1:6" s="2" customFormat="1" x14ac:dyDescent="0.25">
      <c r="A275" s="25">
        <v>41856</v>
      </c>
      <c r="B275" s="44" t="s">
        <v>193</v>
      </c>
      <c r="C275" s="53">
        <v>124.09405</v>
      </c>
      <c r="D275" s="21">
        <v>124094.05</v>
      </c>
      <c r="E275" s="48">
        <v>15827</v>
      </c>
      <c r="F275" s="48">
        <v>4216</v>
      </c>
    </row>
    <row r="276" spans="1:6" s="2" customFormat="1" x14ac:dyDescent="0.25">
      <c r="A276" s="25">
        <v>41894</v>
      </c>
      <c r="B276" s="44" t="s">
        <v>193</v>
      </c>
      <c r="C276" s="53">
        <v>349.06297999999998</v>
      </c>
      <c r="D276" s="21">
        <v>349062.98</v>
      </c>
      <c r="E276" s="48">
        <v>15827</v>
      </c>
      <c r="F276" s="48">
        <v>4216</v>
      </c>
    </row>
    <row r="277" spans="1:6" s="2" customFormat="1" x14ac:dyDescent="0.25">
      <c r="A277" s="25">
        <v>41950</v>
      </c>
      <c r="B277" s="44" t="s">
        <v>344</v>
      </c>
      <c r="C277" s="53">
        <v>521.48518999999999</v>
      </c>
      <c r="D277" s="21">
        <v>521485.19</v>
      </c>
      <c r="E277" s="48">
        <v>15829</v>
      </c>
      <c r="F277" s="48">
        <v>4216</v>
      </c>
    </row>
    <row r="278" spans="1:6" s="2" customFormat="1" x14ac:dyDescent="0.25">
      <c r="A278" s="25">
        <v>41950</v>
      </c>
      <c r="B278" s="44" t="s">
        <v>344</v>
      </c>
      <c r="C278" s="53">
        <v>30.67559</v>
      </c>
      <c r="D278" s="21">
        <v>30675.59</v>
      </c>
      <c r="E278" s="48">
        <v>15828</v>
      </c>
      <c r="F278" s="48">
        <v>4216</v>
      </c>
    </row>
    <row r="279" spans="1:6" s="2" customFormat="1" x14ac:dyDescent="0.25">
      <c r="A279" s="25">
        <v>41964</v>
      </c>
      <c r="B279" s="44" t="s">
        <v>268</v>
      </c>
      <c r="C279" s="53">
        <v>92.564999999999998</v>
      </c>
      <c r="D279" s="21">
        <v>92565</v>
      </c>
      <c r="E279" s="48">
        <v>15835</v>
      </c>
      <c r="F279" s="48">
        <v>4216</v>
      </c>
    </row>
    <row r="280" spans="1:6" s="2" customFormat="1" x14ac:dyDescent="0.25">
      <c r="A280" s="25">
        <v>41969</v>
      </c>
      <c r="B280" s="44" t="s">
        <v>269</v>
      </c>
      <c r="C280" s="53">
        <v>1700.11871</v>
      </c>
      <c r="D280" s="21">
        <v>1700118.71</v>
      </c>
      <c r="E280" s="48">
        <v>15835</v>
      </c>
      <c r="F280" s="48">
        <v>4216</v>
      </c>
    </row>
    <row r="281" spans="1:6" s="2" customFormat="1" x14ac:dyDescent="0.25">
      <c r="A281" s="25">
        <v>41971</v>
      </c>
      <c r="B281" s="44" t="s">
        <v>275</v>
      </c>
      <c r="C281" s="53">
        <v>1715.0811699999999</v>
      </c>
      <c r="D281" s="21">
        <v>1715081.17</v>
      </c>
      <c r="E281" s="48">
        <v>15835</v>
      </c>
      <c r="F281" s="48">
        <v>4216</v>
      </c>
    </row>
    <row r="282" spans="1:6" s="2" customFormat="1" x14ac:dyDescent="0.25">
      <c r="A282" s="25">
        <v>41975</v>
      </c>
      <c r="B282" s="44" t="s">
        <v>280</v>
      </c>
      <c r="C282" s="53">
        <v>1667.49171</v>
      </c>
      <c r="D282" s="21">
        <v>1667491.71</v>
      </c>
      <c r="E282" s="48">
        <v>15835</v>
      </c>
      <c r="F282" s="48">
        <v>4216</v>
      </c>
    </row>
    <row r="283" spans="1:6" s="2" customFormat="1" x14ac:dyDescent="0.25">
      <c r="A283" s="25">
        <v>41975</v>
      </c>
      <c r="B283" s="44" t="s">
        <v>281</v>
      </c>
      <c r="C283" s="53">
        <v>1189.9638199999999</v>
      </c>
      <c r="D283" s="21">
        <v>1189963.82</v>
      </c>
      <c r="E283" s="48">
        <v>15835</v>
      </c>
      <c r="F283" s="48">
        <v>4216</v>
      </c>
    </row>
    <row r="284" spans="1:6" s="2" customFormat="1" x14ac:dyDescent="0.25">
      <c r="A284" s="25">
        <v>41975</v>
      </c>
      <c r="B284" s="44" t="s">
        <v>309</v>
      </c>
      <c r="C284" s="53">
        <v>8135.0870000000004</v>
      </c>
      <c r="D284" s="21">
        <v>8135087</v>
      </c>
      <c r="E284" s="48">
        <v>15835</v>
      </c>
      <c r="F284" s="48">
        <v>4216</v>
      </c>
    </row>
    <row r="285" spans="1:6" s="2" customFormat="1" x14ac:dyDescent="0.25">
      <c r="A285" s="25">
        <v>41983</v>
      </c>
      <c r="B285" s="44" t="s">
        <v>275</v>
      </c>
      <c r="C285" s="53">
        <v>5.1425000000000001</v>
      </c>
      <c r="D285" s="21">
        <v>5142.5</v>
      </c>
      <c r="E285" s="48">
        <v>15835</v>
      </c>
      <c r="F285" s="48">
        <v>4216</v>
      </c>
    </row>
    <row r="286" spans="1:6" s="2" customFormat="1" x14ac:dyDescent="0.25">
      <c r="A286" s="25">
        <v>41982</v>
      </c>
      <c r="B286" s="44" t="s">
        <v>294</v>
      </c>
      <c r="C286" s="53">
        <v>6.8</v>
      </c>
      <c r="D286" s="21">
        <v>6800</v>
      </c>
      <c r="E286" s="48">
        <v>15827</v>
      </c>
      <c r="F286" s="48">
        <v>4216</v>
      </c>
    </row>
    <row r="287" spans="1:6" s="2" customFormat="1" x14ac:dyDescent="0.25">
      <c r="A287" s="25">
        <v>41983</v>
      </c>
      <c r="B287" s="44" t="s">
        <v>305</v>
      </c>
      <c r="C287" s="53">
        <v>537.73640999999998</v>
      </c>
      <c r="D287" s="21">
        <v>537736.41</v>
      </c>
      <c r="E287" s="48">
        <v>15828</v>
      </c>
      <c r="F287" s="48">
        <v>4216</v>
      </c>
    </row>
    <row r="288" spans="1:6" s="2" customFormat="1" x14ac:dyDescent="0.25">
      <c r="A288" s="25">
        <v>41983</v>
      </c>
      <c r="B288" s="44" t="s">
        <v>305</v>
      </c>
      <c r="C288" s="53">
        <v>9141.5190600000005</v>
      </c>
      <c r="D288" s="21">
        <v>9141519.0600000005</v>
      </c>
      <c r="E288" s="48">
        <v>15829</v>
      </c>
      <c r="F288" s="48">
        <v>4216</v>
      </c>
    </row>
    <row r="289" spans="1:8" s="2" customFormat="1" x14ac:dyDescent="0.25">
      <c r="A289" s="25">
        <v>41984</v>
      </c>
      <c r="B289" s="44" t="s">
        <v>268</v>
      </c>
      <c r="C289" s="53">
        <v>1711.8104699999999</v>
      </c>
      <c r="D289" s="21">
        <v>1711810.47</v>
      </c>
      <c r="E289" s="48">
        <v>15835</v>
      </c>
      <c r="F289" s="48">
        <v>4216</v>
      </c>
    </row>
    <row r="290" spans="1:8" s="2" customFormat="1" x14ac:dyDescent="0.25">
      <c r="A290" s="25">
        <v>41984</v>
      </c>
      <c r="B290" s="44" t="s">
        <v>300</v>
      </c>
      <c r="C290" s="53">
        <v>89.353589999999997</v>
      </c>
      <c r="D290" s="21">
        <v>89353.59</v>
      </c>
      <c r="E290" s="48">
        <v>15835</v>
      </c>
      <c r="F290" s="48">
        <v>4216</v>
      </c>
    </row>
    <row r="291" spans="1:8" s="2" customFormat="1" x14ac:dyDescent="0.25">
      <c r="A291" s="25">
        <v>41984</v>
      </c>
      <c r="B291" s="44" t="s">
        <v>302</v>
      </c>
      <c r="C291" s="53">
        <v>6087.24964</v>
      </c>
      <c r="D291" s="21">
        <v>6087249.6399999997</v>
      </c>
      <c r="E291" s="48">
        <v>15835</v>
      </c>
      <c r="F291" s="48">
        <v>4216</v>
      </c>
    </row>
    <row r="292" spans="1:8" s="2" customFormat="1" x14ac:dyDescent="0.25">
      <c r="A292" s="25">
        <v>41985</v>
      </c>
      <c r="B292" s="44" t="s">
        <v>299</v>
      </c>
      <c r="C292" s="53">
        <v>9287.6755699999994</v>
      </c>
      <c r="D292" s="21">
        <v>9287675.5700000003</v>
      </c>
      <c r="E292" s="48">
        <v>15835</v>
      </c>
      <c r="F292" s="48">
        <v>4216</v>
      </c>
    </row>
    <row r="293" spans="1:8" s="2" customFormat="1" x14ac:dyDescent="0.25">
      <c r="A293" s="25">
        <v>41985</v>
      </c>
      <c r="B293" s="44" t="s">
        <v>301</v>
      </c>
      <c r="C293" s="53">
        <v>2406.4472900000001</v>
      </c>
      <c r="D293" s="21">
        <v>2406447.29</v>
      </c>
      <c r="E293" s="48">
        <v>15835</v>
      </c>
      <c r="F293" s="48">
        <v>4216</v>
      </c>
    </row>
    <row r="294" spans="1:8" s="2" customFormat="1" x14ac:dyDescent="0.25">
      <c r="A294" s="25">
        <v>41985</v>
      </c>
      <c r="B294" s="44" t="s">
        <v>303</v>
      </c>
      <c r="C294" s="53">
        <v>2669.0410900000002</v>
      </c>
      <c r="D294" s="21">
        <v>2669041.09</v>
      </c>
      <c r="E294" s="48">
        <v>15835</v>
      </c>
      <c r="F294" s="48">
        <v>4216</v>
      </c>
    </row>
    <row r="295" spans="1:8" s="2" customFormat="1" x14ac:dyDescent="0.25">
      <c r="A295" s="25">
        <v>41985</v>
      </c>
      <c r="B295" s="44" t="s">
        <v>304</v>
      </c>
      <c r="C295" s="53">
        <v>6911.1678499999998</v>
      </c>
      <c r="D295" s="21">
        <v>6911167.8499999996</v>
      </c>
      <c r="E295" s="48">
        <v>15835</v>
      </c>
      <c r="F295" s="48">
        <v>4216</v>
      </c>
    </row>
    <row r="296" spans="1:8" s="2" customFormat="1" x14ac:dyDescent="0.25">
      <c r="A296" s="25"/>
      <c r="B296" s="23"/>
      <c r="C296" s="20"/>
      <c r="D296" s="21"/>
      <c r="E296" s="48"/>
      <c r="F296" s="48"/>
    </row>
    <row r="297" spans="1:8" s="2" customFormat="1" x14ac:dyDescent="0.25">
      <c r="A297" s="25"/>
      <c r="B297" s="30" t="s">
        <v>39</v>
      </c>
      <c r="C297" s="39">
        <f>+C298+C299</f>
        <v>14104.79062</v>
      </c>
      <c r="D297" s="39">
        <f>+D298+D299</f>
        <v>14104790.619999999</v>
      </c>
      <c r="E297" s="48"/>
      <c r="F297" s="48"/>
    </row>
    <row r="298" spans="1:8" s="2" customFormat="1" x14ac:dyDescent="0.25">
      <c r="A298" s="25">
        <v>41946</v>
      </c>
      <c r="B298" s="24" t="s">
        <v>265</v>
      </c>
      <c r="C298" s="20">
        <v>477.97262000000001</v>
      </c>
      <c r="D298" s="21">
        <f>71695.9+406276.72</f>
        <v>477972.62</v>
      </c>
      <c r="E298" s="48">
        <v>13899</v>
      </c>
      <c r="F298" s="48">
        <v>4216</v>
      </c>
    </row>
    <row r="299" spans="1:8" s="2" customFormat="1" x14ac:dyDescent="0.25">
      <c r="A299" s="25">
        <v>41990</v>
      </c>
      <c r="B299" s="24" t="s">
        <v>265</v>
      </c>
      <c r="C299" s="20">
        <v>13626.817999999999</v>
      </c>
      <c r="D299" s="21">
        <f>11582795.3+2044022.7</f>
        <v>13626818</v>
      </c>
      <c r="E299" s="48">
        <v>13899</v>
      </c>
      <c r="F299" s="48">
        <v>4216</v>
      </c>
    </row>
    <row r="300" spans="1:8" s="2" customFormat="1" x14ac:dyDescent="0.25">
      <c r="A300" s="25"/>
      <c r="B300" s="23"/>
      <c r="C300" s="20"/>
      <c r="D300" s="21"/>
      <c r="E300" s="48"/>
      <c r="F300" s="48"/>
    </row>
    <row r="301" spans="1:8" s="2" customFormat="1" x14ac:dyDescent="0.25">
      <c r="A301" s="25"/>
      <c r="B301" s="38" t="s">
        <v>235</v>
      </c>
      <c r="C301" s="40">
        <f>+C303+C302</f>
        <v>3915.00882</v>
      </c>
      <c r="D301" s="40">
        <f>+D303+D302</f>
        <v>3915008.82</v>
      </c>
      <c r="E301" s="48"/>
      <c r="F301" s="48"/>
    </row>
    <row r="302" spans="1:8" s="2" customFormat="1" x14ac:dyDescent="0.25">
      <c r="A302" s="25">
        <v>41922</v>
      </c>
      <c r="B302" s="24" t="s">
        <v>236</v>
      </c>
      <c r="C302" s="20">
        <v>3327.7575000000002</v>
      </c>
      <c r="D302" s="21">
        <v>3327757.5</v>
      </c>
      <c r="E302" s="48">
        <v>17871</v>
      </c>
      <c r="F302" s="48">
        <v>4216</v>
      </c>
    </row>
    <row r="303" spans="1:8" x14ac:dyDescent="0.25">
      <c r="A303" s="25">
        <v>41922</v>
      </c>
      <c r="B303" s="24" t="s">
        <v>236</v>
      </c>
      <c r="C303" s="20">
        <v>587.25131999999996</v>
      </c>
      <c r="D303" s="21">
        <v>587251.31999999995</v>
      </c>
      <c r="E303" s="48">
        <v>17870</v>
      </c>
      <c r="F303" s="48">
        <v>4216</v>
      </c>
      <c r="G303" s="2"/>
      <c r="H303" s="2"/>
    </row>
    <row r="304" spans="1:8" s="2" customFormat="1" x14ac:dyDescent="0.25">
      <c r="A304" s="25"/>
      <c r="B304" s="13"/>
      <c r="C304" s="39"/>
      <c r="D304" s="40"/>
      <c r="E304" s="48"/>
      <c r="F304" s="48"/>
    </row>
    <row r="305" spans="1:8" s="2" customFormat="1" x14ac:dyDescent="0.25">
      <c r="A305" s="25"/>
      <c r="B305" s="13" t="s">
        <v>53</v>
      </c>
      <c r="C305" s="39">
        <f>SUM(C306:C307)</f>
        <v>194.32999999999998</v>
      </c>
      <c r="D305" s="39">
        <f>SUM(D306:D307)</f>
        <v>194330</v>
      </c>
      <c r="E305" s="48"/>
      <c r="F305" s="48"/>
    </row>
    <row r="306" spans="1:8" s="2" customFormat="1" x14ac:dyDescent="0.25">
      <c r="A306" s="25">
        <v>41992</v>
      </c>
      <c r="B306" s="23" t="s">
        <v>80</v>
      </c>
      <c r="C306" s="52">
        <v>94.33</v>
      </c>
      <c r="D306" s="55">
        <v>94330</v>
      </c>
      <c r="E306" s="22">
        <v>33926</v>
      </c>
      <c r="F306" s="48">
        <v>4222</v>
      </c>
      <c r="H306" s="1"/>
    </row>
    <row r="307" spans="1:8" s="2" customFormat="1" x14ac:dyDescent="0.25">
      <c r="A307" s="25">
        <v>41984</v>
      </c>
      <c r="B307" s="23" t="s">
        <v>348</v>
      </c>
      <c r="C307" s="52">
        <v>100</v>
      </c>
      <c r="D307" s="55">
        <v>100000</v>
      </c>
      <c r="E307" s="22">
        <v>435</v>
      </c>
      <c r="F307" s="48">
        <v>4222</v>
      </c>
      <c r="H307" s="1"/>
    </row>
    <row r="308" spans="1:8" x14ac:dyDescent="0.25">
      <c r="A308" s="50"/>
      <c r="B308" s="83"/>
      <c r="C308" s="84"/>
      <c r="D308" s="55"/>
      <c r="E308" s="85"/>
      <c r="F308" s="63"/>
      <c r="G308" s="2"/>
      <c r="H308" s="2"/>
    </row>
    <row r="309" spans="1:8" s="2" customFormat="1" x14ac:dyDescent="0.25">
      <c r="A309" s="25"/>
      <c r="B309" s="30" t="s">
        <v>55</v>
      </c>
      <c r="C309" s="30">
        <f>+SUM(C310:C323)</f>
        <v>118237.19408</v>
      </c>
      <c r="D309" s="31">
        <f>+SUM(D310:D323)</f>
        <v>118237194.08000001</v>
      </c>
      <c r="E309" s="48"/>
      <c r="F309" s="48"/>
    </row>
    <row r="310" spans="1:8" s="2" customFormat="1" x14ac:dyDescent="0.25">
      <c r="A310" s="25">
        <v>41695</v>
      </c>
      <c r="B310" s="23" t="s">
        <v>63</v>
      </c>
      <c r="C310" s="46">
        <v>8438.1014200000009</v>
      </c>
      <c r="D310" s="47">
        <v>8438101.4199999999</v>
      </c>
      <c r="E310" s="22">
        <v>86505</v>
      </c>
      <c r="F310" s="48">
        <v>4223</v>
      </c>
    </row>
    <row r="311" spans="1:8" s="2" customFormat="1" x14ac:dyDescent="0.25">
      <c r="A311" s="25">
        <v>41711</v>
      </c>
      <c r="B311" s="23" t="s">
        <v>63</v>
      </c>
      <c r="C311" s="46">
        <v>1123.3418899999999</v>
      </c>
      <c r="D311" s="47">
        <v>1123341.8899999999</v>
      </c>
      <c r="E311" s="22">
        <v>86505</v>
      </c>
      <c r="F311" s="48">
        <v>4223</v>
      </c>
    </row>
    <row r="312" spans="1:8" s="2" customFormat="1" x14ac:dyDescent="0.25">
      <c r="A312" s="25">
        <v>41740</v>
      </c>
      <c r="B312" s="23" t="s">
        <v>89</v>
      </c>
      <c r="C312" s="46">
        <v>16976.554410000001</v>
      </c>
      <c r="D312" s="47">
        <v>16976554.41</v>
      </c>
      <c r="E312" s="22">
        <v>86505</v>
      </c>
      <c r="F312" s="48">
        <v>4223</v>
      </c>
    </row>
    <row r="313" spans="1:8" s="2" customFormat="1" x14ac:dyDescent="0.25">
      <c r="A313" s="25">
        <v>41740</v>
      </c>
      <c r="B313" s="23" t="s">
        <v>89</v>
      </c>
      <c r="C313" s="46">
        <v>1497.93127</v>
      </c>
      <c r="D313" s="47">
        <v>1497931.27</v>
      </c>
      <c r="E313" s="22">
        <v>86501</v>
      </c>
      <c r="F313" s="48">
        <v>4223</v>
      </c>
    </row>
    <row r="314" spans="1:8" s="2" customFormat="1" x14ac:dyDescent="0.25">
      <c r="A314" s="25">
        <v>41740</v>
      </c>
      <c r="B314" s="23" t="s">
        <v>90</v>
      </c>
      <c r="C314" s="46">
        <v>2757.52448</v>
      </c>
      <c r="D314" s="47">
        <v>2757524.48</v>
      </c>
      <c r="E314" s="22">
        <v>86505</v>
      </c>
      <c r="F314" s="48">
        <v>4223</v>
      </c>
    </row>
    <row r="315" spans="1:8" s="2" customFormat="1" x14ac:dyDescent="0.25">
      <c r="A315" s="25">
        <v>41789</v>
      </c>
      <c r="B315" s="23" t="s">
        <v>114</v>
      </c>
      <c r="C315" s="46">
        <v>4308.0696399999997</v>
      </c>
      <c r="D315" s="21">
        <v>4308069.6399999997</v>
      </c>
      <c r="E315" s="22">
        <v>86505</v>
      </c>
      <c r="F315" s="48">
        <v>4223</v>
      </c>
    </row>
    <row r="316" spans="1:8" s="2" customFormat="1" x14ac:dyDescent="0.25">
      <c r="A316" s="25">
        <v>41820</v>
      </c>
      <c r="B316" s="23" t="s">
        <v>134</v>
      </c>
      <c r="C316" s="46">
        <v>22116.769990000001</v>
      </c>
      <c r="D316" s="21">
        <v>22116769.989999998</v>
      </c>
      <c r="E316" s="22">
        <v>86505</v>
      </c>
      <c r="F316" s="48">
        <v>4223</v>
      </c>
    </row>
    <row r="317" spans="1:8" s="2" customFormat="1" x14ac:dyDescent="0.25">
      <c r="A317" s="25">
        <v>41827</v>
      </c>
      <c r="B317" s="23" t="s">
        <v>175</v>
      </c>
      <c r="C317" s="46">
        <v>17651.593959999998</v>
      </c>
      <c r="D317" s="21">
        <v>17651593.960000001</v>
      </c>
      <c r="E317" s="22">
        <v>86505</v>
      </c>
      <c r="F317" s="48">
        <v>4223</v>
      </c>
    </row>
    <row r="318" spans="1:8" s="2" customFormat="1" x14ac:dyDescent="0.25">
      <c r="A318" s="25">
        <v>41850</v>
      </c>
      <c r="B318" s="23" t="s">
        <v>192</v>
      </c>
      <c r="C318" s="46">
        <v>2983.2803699999999</v>
      </c>
      <c r="D318" s="21">
        <v>2983280.37</v>
      </c>
      <c r="E318" s="22">
        <v>86505</v>
      </c>
      <c r="F318" s="48">
        <v>4223</v>
      </c>
    </row>
    <row r="319" spans="1:8" s="2" customFormat="1" x14ac:dyDescent="0.25">
      <c r="A319" s="25">
        <v>41912</v>
      </c>
      <c r="B319" s="23" t="s">
        <v>212</v>
      </c>
      <c r="C319" s="46">
        <v>5513.16734</v>
      </c>
      <c r="D319" s="21">
        <v>5513167.3399999999</v>
      </c>
      <c r="E319" s="22">
        <v>86505</v>
      </c>
      <c r="F319" s="48">
        <v>4223</v>
      </c>
    </row>
    <row r="320" spans="1:8" s="2" customFormat="1" x14ac:dyDescent="0.25">
      <c r="A320" s="25">
        <v>41971</v>
      </c>
      <c r="B320" s="23" t="s">
        <v>282</v>
      </c>
      <c r="C320" s="46">
        <v>13900.870430000001</v>
      </c>
      <c r="D320" s="21">
        <v>13900870.43</v>
      </c>
      <c r="E320" s="22">
        <v>86505</v>
      </c>
      <c r="F320" s="48">
        <v>4223</v>
      </c>
    </row>
    <row r="321" spans="1:9" s="2" customFormat="1" x14ac:dyDescent="0.25">
      <c r="A321" s="25">
        <v>41977</v>
      </c>
      <c r="B321" s="23" t="s">
        <v>287</v>
      </c>
      <c r="C321" s="46">
        <v>4271.1644200000001</v>
      </c>
      <c r="D321" s="21">
        <v>4271164.42</v>
      </c>
      <c r="E321" s="22">
        <v>86505</v>
      </c>
      <c r="F321" s="48">
        <v>4223</v>
      </c>
    </row>
    <row r="322" spans="1:9" s="2" customFormat="1" x14ac:dyDescent="0.25">
      <c r="A322" s="25">
        <v>41992</v>
      </c>
      <c r="B322" s="23" t="s">
        <v>307</v>
      </c>
      <c r="C322" s="46">
        <v>16698.82446</v>
      </c>
      <c r="D322" s="21">
        <v>16698824.460000001</v>
      </c>
      <c r="E322" s="22">
        <v>86505</v>
      </c>
      <c r="F322" s="48">
        <v>4223</v>
      </c>
    </row>
    <row r="323" spans="1:9" s="2" customFormat="1" x14ac:dyDescent="0.25">
      <c r="A323" s="25"/>
      <c r="B323" s="23"/>
      <c r="C323" s="46"/>
      <c r="D323" s="21"/>
      <c r="E323" s="22"/>
      <c r="F323" s="48"/>
      <c r="G323" s="1"/>
    </row>
    <row r="324" spans="1:9" s="2" customFormat="1" x14ac:dyDescent="0.25">
      <c r="A324" s="25"/>
      <c r="B324" s="24"/>
      <c r="C324" s="46"/>
      <c r="D324" s="86"/>
      <c r="E324" s="48"/>
      <c r="F324" s="48"/>
      <c r="G324" s="1"/>
    </row>
    <row r="325" spans="1:9" s="2" customFormat="1" x14ac:dyDescent="0.25">
      <c r="A325" s="25"/>
      <c r="B325" s="70" t="s">
        <v>64</v>
      </c>
      <c r="C325" s="26">
        <f>+C305+C309+C253+C273+C301+C297</f>
        <v>510679.30281000002</v>
      </c>
      <c r="D325" s="26">
        <f>+D305+D309+D253+D273+D301+D297</f>
        <v>510537747.08999997</v>
      </c>
      <c r="E325" s="71"/>
      <c r="F325" s="28"/>
      <c r="G325" s="1"/>
    </row>
    <row r="326" spans="1:9" s="2" customFormat="1" ht="16.5" thickBot="1" x14ac:dyDescent="0.3">
      <c r="A326" s="72"/>
      <c r="B326" s="73"/>
      <c r="C326" s="74"/>
      <c r="D326" s="75"/>
      <c r="E326" s="76"/>
      <c r="F326" s="76"/>
      <c r="G326" s="1"/>
    </row>
    <row r="327" spans="1:9" s="2" customFormat="1" x14ac:dyDescent="0.25">
      <c r="A327" s="87"/>
      <c r="D327" s="45"/>
      <c r="E327" s="88"/>
      <c r="F327" s="88"/>
      <c r="G327" s="1"/>
    </row>
    <row r="328" spans="1:9" s="2" customFormat="1" ht="16.5" thickBot="1" x14ac:dyDescent="0.3">
      <c r="A328" s="89"/>
      <c r="B328" s="90"/>
      <c r="C328" s="90"/>
      <c r="D328" s="91"/>
      <c r="E328" s="92"/>
      <c r="F328" s="92"/>
      <c r="G328" s="1"/>
    </row>
    <row r="329" spans="1:9" s="2" customFormat="1" x14ac:dyDescent="0.25">
      <c r="A329" s="93"/>
      <c r="B329" s="94"/>
      <c r="C329" s="94"/>
      <c r="D329" s="5"/>
      <c r="E329" s="95"/>
      <c r="F329" s="153"/>
      <c r="G329" s="88"/>
      <c r="H329" s="1"/>
    </row>
    <row r="330" spans="1:9" s="2" customFormat="1" ht="16.5" thickBot="1" x14ac:dyDescent="0.3">
      <c r="A330" s="93"/>
      <c r="B330" s="9" t="s">
        <v>65</v>
      </c>
      <c r="C330" s="9" t="s">
        <v>3</v>
      </c>
      <c r="D330" s="10" t="s">
        <v>4</v>
      </c>
      <c r="E330" s="95"/>
      <c r="F330" s="153"/>
      <c r="G330" s="88"/>
      <c r="H330" s="1"/>
    </row>
    <row r="331" spans="1:9" s="2" customFormat="1" x14ac:dyDescent="0.25">
      <c r="A331" s="93"/>
      <c r="B331" s="96"/>
      <c r="C331" s="96"/>
      <c r="D331" s="97"/>
      <c r="E331" s="95"/>
      <c r="F331" s="153"/>
      <c r="G331" s="88"/>
      <c r="H331" s="1"/>
    </row>
    <row r="332" spans="1:9" s="2" customFormat="1" x14ac:dyDescent="0.25">
      <c r="A332" s="98"/>
      <c r="B332" s="99" t="s">
        <v>66</v>
      </c>
      <c r="C332" s="99">
        <f>+C247</f>
        <v>154582.70371999999</v>
      </c>
      <c r="D332" s="56">
        <f>+D247</f>
        <v>154580281.14000002</v>
      </c>
      <c r="E332" s="100"/>
      <c r="F332" s="80"/>
      <c r="G332" s="88"/>
      <c r="H332" s="1"/>
    </row>
    <row r="333" spans="1:9" s="2" customFormat="1" x14ac:dyDescent="0.25">
      <c r="A333" s="98"/>
      <c r="B333" s="99" t="s">
        <v>67</v>
      </c>
      <c r="C333" s="99">
        <f>+C325</f>
        <v>510679.30281000002</v>
      </c>
      <c r="D333" s="122">
        <f>+D325</f>
        <v>510537747.08999997</v>
      </c>
      <c r="E333" s="101"/>
      <c r="F333" s="92"/>
      <c r="G333" s="88"/>
      <c r="H333" s="1"/>
    </row>
    <row r="334" spans="1:9" s="2" customFormat="1" x14ac:dyDescent="0.25">
      <c r="A334" s="98"/>
      <c r="B334" s="99"/>
      <c r="C334" s="99"/>
      <c r="D334" s="56"/>
      <c r="E334" s="101"/>
      <c r="F334" s="92"/>
      <c r="G334" s="88"/>
      <c r="H334" s="1"/>
    </row>
    <row r="335" spans="1:9" s="2" customFormat="1" x14ac:dyDescent="0.25">
      <c r="A335" s="98"/>
      <c r="B335" s="102" t="s">
        <v>68</v>
      </c>
      <c r="C335" s="102">
        <f>+C332+C333</f>
        <v>665262.00653000001</v>
      </c>
      <c r="D335" s="27">
        <f>SUM(D332:D333)</f>
        <v>665118028.23000002</v>
      </c>
      <c r="E335" s="101"/>
      <c r="F335" s="92"/>
      <c r="H335" s="1"/>
    </row>
    <row r="336" spans="1:9" s="2" customFormat="1" ht="16.5" thickBot="1" x14ac:dyDescent="0.3">
      <c r="A336" s="98"/>
      <c r="B336" s="103"/>
      <c r="C336" s="103"/>
      <c r="D336" s="75"/>
      <c r="E336" s="100"/>
      <c r="F336" s="80"/>
      <c r="H336" s="1"/>
      <c r="I336" s="109"/>
    </row>
    <row r="337" spans="1:8" s="2" customFormat="1" x14ac:dyDescent="0.25">
      <c r="A337" s="87"/>
      <c r="D337" s="45"/>
      <c r="E337" s="1"/>
      <c r="G337" s="1"/>
    </row>
    <row r="338" spans="1:8" x14ac:dyDescent="0.25">
      <c r="E338" s="45"/>
      <c r="F338" s="45"/>
      <c r="H338" s="2"/>
    </row>
    <row r="339" spans="1:8" x14ac:dyDescent="0.25">
      <c r="H339" s="2"/>
    </row>
    <row r="340" spans="1:8" x14ac:dyDescent="0.25">
      <c r="B340" s="161" t="s">
        <v>351</v>
      </c>
      <c r="H340" s="2"/>
    </row>
    <row r="341" spans="1:8" x14ac:dyDescent="0.25">
      <c r="B341" s="162" t="s">
        <v>349</v>
      </c>
      <c r="H341" s="2"/>
    </row>
    <row r="342" spans="1:8" x14ac:dyDescent="0.25">
      <c r="H342" s="2"/>
    </row>
    <row r="343" spans="1:8" x14ac:dyDescent="0.25">
      <c r="H343" s="2"/>
    </row>
    <row r="344" spans="1:8" x14ac:dyDescent="0.25">
      <c r="H344" s="2"/>
    </row>
    <row r="345" spans="1:8" x14ac:dyDescent="0.25">
      <c r="H345" s="2"/>
    </row>
    <row r="346" spans="1:8" x14ac:dyDescent="0.25">
      <c r="H346" s="2"/>
    </row>
    <row r="384" spans="1:8" x14ac:dyDescent="0.25">
      <c r="A384" s="155"/>
      <c r="B384" s="111"/>
      <c r="C384" s="111"/>
      <c r="D384" s="156"/>
      <c r="E384" s="112"/>
      <c r="F384" s="113"/>
      <c r="G384" s="156"/>
      <c r="H384" s="157"/>
    </row>
    <row r="385" spans="1:8" x14ac:dyDescent="0.25">
      <c r="A385" s="155"/>
      <c r="B385" s="111"/>
      <c r="C385" s="111"/>
      <c r="D385" s="156"/>
      <c r="E385" s="112"/>
      <c r="F385" s="113"/>
      <c r="G385" s="156"/>
      <c r="H385" s="157"/>
    </row>
    <row r="386" spans="1:8" x14ac:dyDescent="0.25">
      <c r="A386" s="155"/>
      <c r="B386" s="111"/>
      <c r="C386" s="111"/>
      <c r="D386" s="156"/>
      <c r="E386" s="112"/>
      <c r="F386" s="113"/>
      <c r="G386" s="156"/>
      <c r="H386" s="157"/>
    </row>
    <row r="387" spans="1:8" x14ac:dyDescent="0.25">
      <c r="A387" s="155"/>
      <c r="B387" s="111"/>
      <c r="C387" s="111"/>
      <c r="D387" s="156"/>
      <c r="E387" s="112"/>
      <c r="F387" s="113"/>
      <c r="G387" s="156"/>
      <c r="H387" s="157"/>
    </row>
    <row r="388" spans="1:8" x14ac:dyDescent="0.25">
      <c r="A388" s="155"/>
      <c r="B388" s="111"/>
      <c r="C388" s="111"/>
      <c r="D388" s="156"/>
      <c r="E388" s="112"/>
      <c r="F388" s="113"/>
      <c r="G388" s="156"/>
      <c r="H388" s="157"/>
    </row>
    <row r="389" spans="1:8" x14ac:dyDescent="0.25">
      <c r="A389" s="155"/>
      <c r="B389" s="111"/>
      <c r="C389" s="111"/>
      <c r="D389" s="156"/>
      <c r="E389" s="112"/>
      <c r="F389" s="113"/>
      <c r="G389" s="156"/>
      <c r="H389" s="157"/>
    </row>
    <row r="390" spans="1:8" x14ac:dyDescent="0.25">
      <c r="A390" s="155"/>
      <c r="B390" s="111"/>
      <c r="C390" s="111"/>
      <c r="D390" s="156"/>
      <c r="E390" s="112"/>
      <c r="F390" s="113"/>
      <c r="G390" s="156"/>
      <c r="H390" s="157"/>
    </row>
    <row r="391" spans="1:8" x14ac:dyDescent="0.25">
      <c r="A391" s="155"/>
      <c r="B391" s="111"/>
      <c r="C391" s="111"/>
      <c r="D391" s="156"/>
      <c r="E391" s="112"/>
      <c r="F391" s="113"/>
      <c r="G391" s="156"/>
      <c r="H391" s="157"/>
    </row>
    <row r="392" spans="1:8" x14ac:dyDescent="0.25">
      <c r="A392" s="155"/>
      <c r="B392" s="111"/>
      <c r="C392" s="111"/>
      <c r="D392" s="156"/>
      <c r="E392" s="112"/>
      <c r="F392" s="113"/>
      <c r="G392" s="156"/>
      <c r="H392" s="157"/>
    </row>
    <row r="393" spans="1:8" x14ac:dyDescent="0.25">
      <c r="A393" s="155"/>
      <c r="B393" s="111"/>
      <c r="C393" s="111"/>
      <c r="D393" s="156"/>
      <c r="E393" s="112"/>
      <c r="F393" s="113"/>
      <c r="G393" s="156"/>
      <c r="H393" s="157"/>
    </row>
    <row r="394" spans="1:8" x14ac:dyDescent="0.25">
      <c r="A394" s="155"/>
      <c r="B394" s="111"/>
      <c r="C394" s="111"/>
      <c r="D394" s="156"/>
      <c r="E394" s="112"/>
      <c r="F394" s="113"/>
      <c r="G394" s="156"/>
      <c r="H394" s="157"/>
    </row>
    <row r="395" spans="1:8" x14ac:dyDescent="0.25">
      <c r="A395" s="155"/>
      <c r="B395" s="111"/>
      <c r="C395" s="111"/>
      <c r="D395" s="156"/>
      <c r="E395" s="112"/>
      <c r="F395" s="113"/>
      <c r="G395" s="156"/>
      <c r="H395" s="157"/>
    </row>
    <row r="396" spans="1:8" x14ac:dyDescent="0.25">
      <c r="A396" s="155"/>
      <c r="B396" s="111"/>
      <c r="C396" s="111"/>
      <c r="D396" s="156"/>
      <c r="E396" s="112"/>
      <c r="F396" s="113"/>
      <c r="G396" s="156"/>
      <c r="H396" s="157"/>
    </row>
    <row r="397" spans="1:8" x14ac:dyDescent="0.25">
      <c r="A397" s="155"/>
      <c r="B397" s="111"/>
      <c r="C397" s="111"/>
      <c r="D397" s="156"/>
      <c r="E397" s="112"/>
      <c r="F397" s="113"/>
      <c r="G397" s="156"/>
      <c r="H397" s="157"/>
    </row>
    <row r="398" spans="1:8" x14ac:dyDescent="0.25">
      <c r="A398" s="155"/>
      <c r="B398" s="111"/>
      <c r="C398" s="111"/>
      <c r="D398" s="156"/>
      <c r="E398" s="112"/>
      <c r="F398" s="113"/>
      <c r="G398" s="156"/>
      <c r="H398" s="157"/>
    </row>
    <row r="399" spans="1:8" x14ac:dyDescent="0.25">
      <c r="A399" s="155"/>
      <c r="B399" s="111"/>
      <c r="C399" s="111"/>
      <c r="D399" s="156"/>
      <c r="E399" s="112"/>
      <c r="F399" s="113"/>
      <c r="G399" s="156"/>
      <c r="H399" s="157"/>
    </row>
    <row r="400" spans="1:8" x14ac:dyDescent="0.25">
      <c r="A400" s="155"/>
      <c r="B400" s="111"/>
      <c r="C400" s="111"/>
      <c r="D400" s="156"/>
      <c r="E400" s="112"/>
      <c r="F400" s="113"/>
      <c r="G400" s="156"/>
      <c r="H400" s="157"/>
    </row>
    <row r="401" spans="1:8" x14ac:dyDescent="0.25">
      <c r="A401" s="155"/>
      <c r="B401" s="111"/>
      <c r="C401" s="111"/>
      <c r="D401" s="156"/>
      <c r="E401" s="112"/>
      <c r="F401" s="113"/>
      <c r="G401" s="156"/>
      <c r="H401" s="157"/>
    </row>
    <row r="402" spans="1:8" x14ac:dyDescent="0.25">
      <c r="A402" s="155"/>
      <c r="B402" s="111"/>
      <c r="C402" s="111"/>
      <c r="D402" s="156"/>
      <c r="E402" s="112"/>
      <c r="F402" s="113"/>
      <c r="G402" s="156"/>
      <c r="H402" s="157"/>
    </row>
    <row r="403" spans="1:8" x14ac:dyDescent="0.25">
      <c r="A403" s="155"/>
      <c r="B403" s="111"/>
      <c r="C403" s="111"/>
      <c r="D403" s="156"/>
      <c r="E403" s="112"/>
      <c r="F403" s="113"/>
      <c r="G403" s="156"/>
      <c r="H403" s="157"/>
    </row>
    <row r="404" spans="1:8" x14ac:dyDescent="0.25">
      <c r="A404" s="155"/>
      <c r="B404" s="111"/>
      <c r="C404" s="111"/>
      <c r="D404" s="156"/>
      <c r="E404" s="112"/>
      <c r="F404" s="113"/>
      <c r="G404" s="156"/>
      <c r="H404" s="157"/>
    </row>
    <row r="405" spans="1:8" x14ac:dyDescent="0.25">
      <c r="A405" s="155"/>
      <c r="B405" s="111"/>
      <c r="C405" s="111"/>
      <c r="D405" s="156"/>
      <c r="E405" s="112"/>
      <c r="F405" s="113"/>
      <c r="G405" s="156"/>
      <c r="H405" s="157"/>
    </row>
    <row r="406" spans="1:8" x14ac:dyDescent="0.25">
      <c r="A406" s="155"/>
      <c r="B406" s="111"/>
      <c r="C406" s="111"/>
      <c r="D406" s="156"/>
      <c r="E406" s="112"/>
      <c r="F406" s="113"/>
      <c r="G406" s="156"/>
      <c r="H406" s="157"/>
    </row>
    <row r="407" spans="1:8" x14ac:dyDescent="0.25">
      <c r="A407" s="155"/>
      <c r="B407" s="111"/>
      <c r="C407" s="111"/>
      <c r="D407" s="156"/>
      <c r="E407" s="112"/>
      <c r="F407" s="113"/>
      <c r="G407" s="156"/>
      <c r="H407" s="157"/>
    </row>
    <row r="408" spans="1:8" x14ac:dyDescent="0.25">
      <c r="A408" s="155"/>
      <c r="B408" s="111"/>
      <c r="C408" s="111"/>
      <c r="D408" s="156"/>
      <c r="E408" s="112"/>
      <c r="F408" s="113"/>
      <c r="G408" s="156"/>
      <c r="H408" s="157"/>
    </row>
    <row r="409" spans="1:8" x14ac:dyDescent="0.25">
      <c r="A409" s="155"/>
      <c r="B409" s="111"/>
      <c r="C409" s="111"/>
      <c r="D409" s="156"/>
      <c r="E409" s="112"/>
      <c r="F409" s="113"/>
      <c r="G409" s="156"/>
      <c r="H409" s="157"/>
    </row>
    <row r="410" spans="1:8" x14ac:dyDescent="0.25">
      <c r="A410" s="155"/>
      <c r="B410" s="111"/>
      <c r="C410" s="111"/>
      <c r="D410" s="156"/>
      <c r="E410" s="112"/>
      <c r="F410" s="113"/>
      <c r="G410" s="156"/>
      <c r="H410" s="157"/>
    </row>
    <row r="411" spans="1:8" x14ac:dyDescent="0.25">
      <c r="A411" s="155"/>
      <c r="B411" s="111"/>
      <c r="C411" s="111"/>
      <c r="D411" s="156"/>
      <c r="E411" s="112"/>
      <c r="F411" s="113"/>
      <c r="G411" s="156"/>
      <c r="H411" s="157"/>
    </row>
    <row r="412" spans="1:8" x14ac:dyDescent="0.25">
      <c r="A412" s="155"/>
      <c r="B412" s="111"/>
      <c r="C412" s="111"/>
      <c r="D412" s="156"/>
      <c r="E412" s="112"/>
      <c r="F412" s="113"/>
      <c r="G412" s="156"/>
      <c r="H412" s="157"/>
    </row>
    <row r="413" spans="1:8" x14ac:dyDescent="0.25">
      <c r="A413" s="155"/>
      <c r="B413" s="111"/>
      <c r="C413" s="111"/>
      <c r="D413" s="156"/>
      <c r="E413" s="112"/>
      <c r="F413" s="113"/>
      <c r="G413" s="156"/>
      <c r="H413" s="157"/>
    </row>
    <row r="414" spans="1:8" x14ac:dyDescent="0.25">
      <c r="A414" s="155"/>
      <c r="B414" s="111"/>
      <c r="C414" s="111"/>
      <c r="D414" s="156"/>
      <c r="E414" s="112"/>
      <c r="F414" s="113"/>
      <c r="G414" s="156"/>
      <c r="H414" s="157"/>
    </row>
    <row r="415" spans="1:8" x14ac:dyDescent="0.25">
      <c r="A415" s="155"/>
      <c r="B415" s="111"/>
      <c r="C415" s="111"/>
      <c r="D415" s="156"/>
      <c r="E415" s="112"/>
      <c r="F415" s="113"/>
      <c r="G415" s="156"/>
      <c r="H415" s="157"/>
    </row>
    <row r="416" spans="1:8" x14ac:dyDescent="0.25">
      <c r="A416" s="155"/>
      <c r="B416" s="111"/>
      <c r="C416" s="111"/>
      <c r="D416" s="156"/>
      <c r="E416" s="112"/>
      <c r="F416" s="113"/>
      <c r="G416" s="156"/>
      <c r="H416" s="157"/>
    </row>
    <row r="417" spans="1:8" x14ac:dyDescent="0.25">
      <c r="A417" s="155"/>
      <c r="B417" s="111"/>
      <c r="C417" s="111"/>
      <c r="D417" s="156"/>
      <c r="E417" s="112"/>
      <c r="F417" s="113"/>
      <c r="G417" s="156"/>
      <c r="H417" s="157"/>
    </row>
    <row r="418" spans="1:8" x14ac:dyDescent="0.25">
      <c r="A418" s="155"/>
      <c r="B418" s="111"/>
      <c r="C418" s="111"/>
      <c r="D418" s="156"/>
      <c r="E418" s="112"/>
      <c r="F418" s="113"/>
      <c r="G418" s="156"/>
      <c r="H418" s="157"/>
    </row>
    <row r="419" spans="1:8" x14ac:dyDescent="0.25">
      <c r="A419" s="155"/>
      <c r="B419" s="111"/>
      <c r="C419" s="111"/>
      <c r="D419" s="156"/>
      <c r="E419" s="112"/>
      <c r="F419" s="113"/>
      <c r="G419" s="156"/>
      <c r="H419" s="157"/>
    </row>
    <row r="420" spans="1:8" x14ac:dyDescent="0.25">
      <c r="A420" s="155"/>
      <c r="B420" s="111"/>
      <c r="C420" s="111"/>
      <c r="D420" s="156"/>
      <c r="E420" s="112"/>
      <c r="F420" s="113"/>
      <c r="G420" s="156"/>
      <c r="H420" s="157"/>
    </row>
    <row r="421" spans="1:8" x14ac:dyDescent="0.25">
      <c r="A421" s="155"/>
      <c r="B421" s="111"/>
      <c r="C421" s="111"/>
      <c r="D421" s="156"/>
      <c r="E421" s="112"/>
      <c r="F421" s="113"/>
      <c r="G421" s="156"/>
      <c r="H421" s="157"/>
    </row>
    <row r="422" spans="1:8" x14ac:dyDescent="0.25">
      <c r="A422" s="155"/>
      <c r="B422" s="111"/>
      <c r="C422" s="111"/>
      <c r="D422" s="156"/>
      <c r="E422" s="112"/>
      <c r="F422" s="113"/>
      <c r="G422" s="156"/>
      <c r="H422" s="157"/>
    </row>
    <row r="423" spans="1:8" x14ac:dyDescent="0.25">
      <c r="A423" s="155"/>
      <c r="B423" s="111"/>
      <c r="C423" s="111"/>
      <c r="D423" s="156"/>
      <c r="E423" s="112"/>
      <c r="F423" s="113"/>
      <c r="G423" s="156"/>
      <c r="H423" s="157"/>
    </row>
    <row r="424" spans="1:8" x14ac:dyDescent="0.25">
      <c r="A424" s="155"/>
      <c r="B424" s="111"/>
      <c r="C424" s="111"/>
      <c r="D424" s="156"/>
      <c r="E424" s="112"/>
      <c r="F424" s="113"/>
      <c r="G424" s="156"/>
      <c r="H424" s="157"/>
    </row>
    <row r="425" spans="1:8" x14ac:dyDescent="0.25">
      <c r="A425" s="155"/>
      <c r="B425" s="111"/>
      <c r="C425" s="111"/>
      <c r="D425" s="156"/>
      <c r="E425" s="112"/>
      <c r="F425" s="113"/>
      <c r="G425" s="156"/>
      <c r="H425" s="157"/>
    </row>
    <row r="426" spans="1:8" x14ac:dyDescent="0.25">
      <c r="A426" s="155"/>
      <c r="B426" s="111"/>
      <c r="C426" s="111"/>
      <c r="D426" s="156"/>
      <c r="E426" s="112"/>
      <c r="F426" s="113"/>
      <c r="G426" s="156"/>
      <c r="H426" s="157"/>
    </row>
    <row r="427" spans="1:8" x14ac:dyDescent="0.25">
      <c r="A427" s="155"/>
      <c r="B427" s="111"/>
      <c r="C427" s="111"/>
      <c r="D427" s="156"/>
      <c r="E427" s="112"/>
      <c r="F427" s="113"/>
      <c r="G427" s="156"/>
      <c r="H427" s="157"/>
    </row>
    <row r="428" spans="1:8" x14ac:dyDescent="0.25">
      <c r="A428" s="155"/>
      <c r="B428" s="111"/>
      <c r="C428" s="111"/>
      <c r="D428" s="156"/>
      <c r="E428" s="112"/>
      <c r="F428" s="113"/>
      <c r="G428" s="156"/>
      <c r="H428" s="157"/>
    </row>
    <row r="429" spans="1:8" x14ac:dyDescent="0.25">
      <c r="A429" s="155"/>
      <c r="B429" s="111"/>
      <c r="C429" s="111"/>
      <c r="D429" s="156"/>
      <c r="E429" s="112"/>
      <c r="F429" s="113"/>
      <c r="G429" s="156"/>
      <c r="H429" s="157"/>
    </row>
    <row r="430" spans="1:8" x14ac:dyDescent="0.25">
      <c r="A430" s="155"/>
      <c r="B430" s="111"/>
      <c r="C430" s="111"/>
      <c r="D430" s="156"/>
      <c r="E430" s="112"/>
      <c r="F430" s="113"/>
      <c r="G430" s="156"/>
      <c r="H430" s="157"/>
    </row>
    <row r="431" spans="1:8" x14ac:dyDescent="0.25">
      <c r="A431" s="155"/>
      <c r="B431" s="111"/>
      <c r="C431" s="111"/>
      <c r="D431" s="156"/>
      <c r="E431" s="112"/>
      <c r="F431" s="113"/>
      <c r="G431" s="156"/>
      <c r="H431" s="157"/>
    </row>
    <row r="432" spans="1:8" x14ac:dyDescent="0.25">
      <c r="A432" s="155"/>
      <c r="B432" s="111"/>
      <c r="C432" s="111"/>
      <c r="D432" s="156"/>
      <c r="E432" s="112"/>
      <c r="F432" s="113"/>
      <c r="G432" s="156"/>
      <c r="H432" s="157"/>
    </row>
    <row r="433" spans="1:8" x14ac:dyDescent="0.25">
      <c r="A433" s="155"/>
      <c r="B433" s="111"/>
      <c r="C433" s="111"/>
      <c r="D433" s="156"/>
      <c r="E433" s="112"/>
      <c r="F433" s="113"/>
      <c r="G433" s="156"/>
      <c r="H433" s="157"/>
    </row>
    <row r="434" spans="1:8" x14ac:dyDescent="0.25">
      <c r="A434" s="155"/>
      <c r="B434" s="111"/>
      <c r="C434" s="111"/>
      <c r="D434" s="156"/>
      <c r="E434" s="112"/>
      <c r="F434" s="113"/>
      <c r="G434" s="156"/>
      <c r="H434" s="157"/>
    </row>
    <row r="435" spans="1:8" x14ac:dyDescent="0.25">
      <c r="A435" s="155"/>
      <c r="B435" s="111"/>
      <c r="C435" s="111"/>
      <c r="D435" s="156"/>
      <c r="E435" s="112"/>
      <c r="F435" s="113"/>
      <c r="G435" s="156"/>
      <c r="H435" s="157"/>
    </row>
    <row r="436" spans="1:8" x14ac:dyDescent="0.25">
      <c r="A436" s="155"/>
      <c r="B436" s="111"/>
      <c r="C436" s="111"/>
      <c r="D436" s="156"/>
      <c r="E436" s="112"/>
      <c r="F436" s="113"/>
      <c r="G436" s="156"/>
      <c r="H436" s="157"/>
    </row>
    <row r="437" spans="1:8" x14ac:dyDescent="0.25">
      <c r="A437" s="155"/>
      <c r="B437" s="111"/>
      <c r="C437" s="111"/>
      <c r="D437" s="156"/>
      <c r="E437" s="112"/>
      <c r="F437" s="113"/>
      <c r="G437" s="156"/>
      <c r="H437" s="157"/>
    </row>
    <row r="438" spans="1:8" x14ac:dyDescent="0.25">
      <c r="A438" s="155"/>
      <c r="B438" s="111"/>
      <c r="C438" s="111"/>
      <c r="D438" s="156"/>
      <c r="E438" s="112"/>
      <c r="F438" s="113"/>
      <c r="G438" s="156"/>
      <c r="H438" s="157"/>
    </row>
    <row r="439" spans="1:8" x14ac:dyDescent="0.25">
      <c r="A439" s="155"/>
      <c r="B439" s="111"/>
      <c r="C439" s="111"/>
      <c r="D439" s="156"/>
      <c r="E439" s="112"/>
      <c r="F439" s="113"/>
      <c r="G439" s="156"/>
      <c r="H439" s="157"/>
    </row>
    <row r="440" spans="1:8" x14ac:dyDescent="0.25">
      <c r="A440" s="155"/>
      <c r="B440" s="111"/>
      <c r="C440" s="111"/>
      <c r="D440" s="156"/>
      <c r="E440" s="112"/>
      <c r="F440" s="113"/>
      <c r="G440" s="156"/>
      <c r="H440" s="157"/>
    </row>
    <row r="441" spans="1:8" x14ac:dyDescent="0.25">
      <c r="A441" s="155"/>
      <c r="B441" s="111"/>
      <c r="C441" s="111"/>
      <c r="D441" s="156"/>
      <c r="E441" s="112"/>
      <c r="F441" s="113"/>
      <c r="G441" s="156"/>
      <c r="H441" s="157"/>
    </row>
    <row r="442" spans="1:8" x14ac:dyDescent="0.25">
      <c r="A442" s="155"/>
      <c r="B442" s="111"/>
      <c r="C442" s="111"/>
      <c r="D442" s="156"/>
      <c r="E442" s="112"/>
      <c r="F442" s="113"/>
      <c r="G442" s="156"/>
      <c r="H442" s="157"/>
    </row>
    <row r="443" spans="1:8" x14ac:dyDescent="0.25">
      <c r="A443" s="155"/>
      <c r="B443" s="111"/>
      <c r="C443" s="111"/>
      <c r="D443" s="156"/>
      <c r="E443" s="112"/>
      <c r="F443" s="113"/>
      <c r="G443" s="156"/>
      <c r="H443" s="157"/>
    </row>
    <row r="444" spans="1:8" x14ac:dyDescent="0.25">
      <c r="A444" s="155"/>
      <c r="B444" s="111"/>
      <c r="C444" s="111"/>
      <c r="D444" s="156"/>
      <c r="E444" s="112"/>
      <c r="F444" s="113"/>
      <c r="G444" s="156"/>
      <c r="H444" s="157"/>
    </row>
    <row r="445" spans="1:8" x14ac:dyDescent="0.25">
      <c r="A445" s="155"/>
      <c r="B445" s="111"/>
      <c r="C445" s="111"/>
      <c r="D445" s="156"/>
      <c r="E445" s="112"/>
      <c r="F445" s="113"/>
      <c r="G445" s="156"/>
      <c r="H445" s="157"/>
    </row>
    <row r="446" spans="1:8" x14ac:dyDescent="0.25">
      <c r="A446" s="155"/>
      <c r="B446" s="111"/>
      <c r="C446" s="111"/>
      <c r="D446" s="156"/>
      <c r="E446" s="112"/>
      <c r="F446" s="113"/>
      <c r="G446" s="156"/>
      <c r="H446" s="157"/>
    </row>
    <row r="447" spans="1:8" x14ac:dyDescent="0.25">
      <c r="A447" s="155"/>
      <c r="B447" s="111"/>
      <c r="C447" s="111"/>
      <c r="D447" s="156"/>
      <c r="E447" s="112"/>
      <c r="F447" s="113"/>
      <c r="G447" s="156"/>
      <c r="H447" s="157"/>
    </row>
    <row r="448" spans="1:8" x14ac:dyDescent="0.25">
      <c r="A448" s="155"/>
      <c r="B448" s="111"/>
      <c r="C448" s="111"/>
      <c r="D448" s="156"/>
      <c r="E448" s="112"/>
      <c r="F448" s="113"/>
      <c r="G448" s="156"/>
      <c r="H448" s="157"/>
    </row>
    <row r="449" spans="1:8" x14ac:dyDescent="0.25">
      <c r="A449" s="155"/>
      <c r="B449" s="111"/>
      <c r="C449" s="111"/>
      <c r="D449" s="156"/>
      <c r="E449" s="112"/>
      <c r="F449" s="113"/>
      <c r="G449" s="156"/>
      <c r="H449" s="157"/>
    </row>
    <row r="450" spans="1:8" x14ac:dyDescent="0.25">
      <c r="A450" s="155"/>
      <c r="B450" s="111"/>
      <c r="C450" s="111"/>
      <c r="D450" s="156"/>
      <c r="E450" s="112"/>
      <c r="F450" s="113"/>
      <c r="G450" s="156"/>
      <c r="H450" s="157"/>
    </row>
    <row r="451" spans="1:8" x14ac:dyDescent="0.25">
      <c r="A451" s="155"/>
      <c r="B451" s="111"/>
      <c r="C451" s="111"/>
      <c r="D451" s="156"/>
      <c r="E451" s="112"/>
      <c r="F451" s="113"/>
      <c r="G451" s="156"/>
      <c r="H451" s="157"/>
    </row>
    <row r="452" spans="1:8" x14ac:dyDescent="0.25">
      <c r="A452" s="155"/>
      <c r="B452" s="111"/>
      <c r="C452" s="111"/>
      <c r="D452" s="156"/>
      <c r="E452" s="112"/>
      <c r="F452" s="113"/>
      <c r="G452" s="156"/>
      <c r="H452" s="157"/>
    </row>
    <row r="453" spans="1:8" x14ac:dyDescent="0.25">
      <c r="A453" s="155"/>
      <c r="B453" s="111"/>
      <c r="C453" s="111"/>
      <c r="D453" s="156"/>
      <c r="E453" s="112"/>
      <c r="F453" s="113"/>
      <c r="G453" s="156"/>
      <c r="H453" s="157"/>
    </row>
    <row r="454" spans="1:8" x14ac:dyDescent="0.25">
      <c r="A454" s="155"/>
      <c r="B454" s="111"/>
      <c r="C454" s="111"/>
      <c r="D454" s="156"/>
      <c r="E454" s="112"/>
      <c r="F454" s="113"/>
      <c r="G454" s="156"/>
      <c r="H454" s="157"/>
    </row>
    <row r="455" spans="1:8" x14ac:dyDescent="0.25">
      <c r="A455" s="155"/>
      <c r="B455" s="111"/>
      <c r="C455" s="111"/>
      <c r="D455" s="156"/>
      <c r="E455" s="112"/>
      <c r="F455" s="113"/>
      <c r="G455" s="156"/>
      <c r="H455" s="157"/>
    </row>
    <row r="456" spans="1:8" x14ac:dyDescent="0.25">
      <c r="A456" s="155"/>
      <c r="B456" s="111"/>
      <c r="C456" s="111"/>
      <c r="D456" s="156"/>
      <c r="E456" s="112"/>
      <c r="F456" s="113"/>
      <c r="G456" s="156"/>
      <c r="H456" s="157"/>
    </row>
    <row r="457" spans="1:8" x14ac:dyDescent="0.25">
      <c r="A457" s="155"/>
      <c r="B457" s="111"/>
      <c r="C457" s="111"/>
      <c r="D457" s="156"/>
      <c r="E457" s="112"/>
      <c r="F457" s="113"/>
      <c r="G457" s="156"/>
      <c r="H457" s="157"/>
    </row>
    <row r="458" spans="1:8" x14ac:dyDescent="0.25">
      <c r="A458" s="155"/>
      <c r="B458" s="111"/>
      <c r="C458" s="111"/>
      <c r="D458" s="156"/>
      <c r="E458" s="112"/>
      <c r="F458" s="113"/>
      <c r="G458" s="156"/>
      <c r="H458" s="157"/>
    </row>
    <row r="459" spans="1:8" x14ac:dyDescent="0.25">
      <c r="A459" s="155"/>
      <c r="B459" s="111"/>
      <c r="C459" s="111"/>
      <c r="D459" s="156"/>
      <c r="E459" s="112"/>
      <c r="F459" s="113"/>
      <c r="G459" s="156"/>
      <c r="H459" s="157"/>
    </row>
    <row r="460" spans="1:8" x14ac:dyDescent="0.25">
      <c r="A460" s="155"/>
      <c r="B460" s="111"/>
      <c r="C460" s="111"/>
      <c r="D460" s="156"/>
      <c r="E460" s="112"/>
      <c r="F460" s="113"/>
      <c r="G460" s="156"/>
      <c r="H460" s="157"/>
    </row>
    <row r="461" spans="1:8" x14ac:dyDescent="0.25">
      <c r="A461" s="155"/>
      <c r="B461" s="111"/>
      <c r="C461" s="111"/>
      <c r="D461" s="156"/>
      <c r="E461" s="112"/>
      <c r="F461" s="113"/>
      <c r="G461" s="156"/>
      <c r="H461" s="157"/>
    </row>
    <row r="462" spans="1:8" x14ac:dyDescent="0.25">
      <c r="A462" s="155"/>
      <c r="B462" s="111"/>
      <c r="C462" s="111"/>
      <c r="D462" s="156"/>
      <c r="E462" s="112"/>
      <c r="F462" s="113"/>
      <c r="G462" s="156"/>
      <c r="H462" s="157"/>
    </row>
    <row r="463" spans="1:8" x14ac:dyDescent="0.25">
      <c r="A463" s="155"/>
      <c r="B463" s="111"/>
      <c r="C463" s="111"/>
      <c r="D463" s="156"/>
      <c r="E463" s="112"/>
      <c r="F463" s="113"/>
      <c r="G463" s="156"/>
      <c r="H463" s="157"/>
    </row>
    <row r="464" spans="1:8" x14ac:dyDescent="0.25">
      <c r="A464" s="155"/>
      <c r="B464" s="111"/>
      <c r="C464" s="111"/>
      <c r="D464" s="156"/>
      <c r="E464" s="112"/>
      <c r="F464" s="113"/>
      <c r="G464" s="156"/>
      <c r="H464" s="157"/>
    </row>
    <row r="465" spans="1:8" x14ac:dyDescent="0.25">
      <c r="A465" s="155"/>
      <c r="B465" s="111"/>
      <c r="C465" s="111"/>
      <c r="D465" s="156"/>
      <c r="E465" s="112"/>
      <c r="F465" s="113"/>
      <c r="G465" s="156"/>
      <c r="H465" s="157"/>
    </row>
    <row r="466" spans="1:8" x14ac:dyDescent="0.25">
      <c r="A466" s="155"/>
      <c r="B466" s="111"/>
      <c r="C466" s="111"/>
      <c r="D466" s="156"/>
      <c r="E466" s="112"/>
      <c r="F466" s="113"/>
      <c r="G466" s="156"/>
      <c r="H466" s="157"/>
    </row>
    <row r="467" spans="1:8" x14ac:dyDescent="0.25">
      <c r="A467" s="155"/>
      <c r="B467" s="111"/>
      <c r="C467" s="111"/>
      <c r="D467" s="156"/>
      <c r="E467" s="112"/>
      <c r="F467" s="113"/>
      <c r="G467" s="156"/>
      <c r="H467" s="157"/>
    </row>
    <row r="468" spans="1:8" x14ac:dyDescent="0.25">
      <c r="A468" s="155"/>
      <c r="B468" s="111"/>
      <c r="C468" s="111"/>
      <c r="D468" s="156"/>
      <c r="E468" s="112"/>
      <c r="F468" s="113"/>
      <c r="G468" s="156"/>
      <c r="H468" s="157"/>
    </row>
    <row r="469" spans="1:8" x14ac:dyDescent="0.25">
      <c r="A469" s="155"/>
      <c r="B469" s="111"/>
      <c r="C469" s="111"/>
      <c r="D469" s="156"/>
      <c r="E469" s="112"/>
      <c r="F469" s="113"/>
      <c r="G469" s="156"/>
      <c r="H469" s="157"/>
    </row>
    <row r="470" spans="1:8" x14ac:dyDescent="0.25">
      <c r="A470" s="155"/>
      <c r="B470" s="111"/>
      <c r="C470" s="111"/>
      <c r="D470" s="156"/>
      <c r="E470" s="112"/>
      <c r="F470" s="113"/>
      <c r="G470" s="156"/>
      <c r="H470" s="157"/>
    </row>
    <row r="471" spans="1:8" x14ac:dyDescent="0.25">
      <c r="A471" s="155"/>
      <c r="B471" s="111"/>
      <c r="C471" s="111"/>
      <c r="D471" s="156"/>
      <c r="E471" s="112"/>
      <c r="F471" s="113"/>
      <c r="G471" s="156"/>
      <c r="H471" s="157"/>
    </row>
    <row r="472" spans="1:8" x14ac:dyDescent="0.25">
      <c r="A472" s="155"/>
      <c r="B472" s="111"/>
      <c r="C472" s="111"/>
      <c r="D472" s="156"/>
      <c r="E472" s="112"/>
      <c r="F472" s="113"/>
      <c r="G472" s="156"/>
      <c r="H472" s="157"/>
    </row>
    <row r="473" spans="1:8" x14ac:dyDescent="0.25">
      <c r="A473" s="155"/>
      <c r="B473" s="111"/>
      <c r="C473" s="111"/>
      <c r="D473" s="156"/>
      <c r="E473" s="112"/>
      <c r="F473" s="113"/>
      <c r="G473" s="156"/>
      <c r="H473" s="157"/>
    </row>
    <row r="474" spans="1:8" x14ac:dyDescent="0.25">
      <c r="A474" s="155"/>
      <c r="B474" s="111"/>
      <c r="C474" s="111"/>
      <c r="D474" s="156"/>
      <c r="E474" s="112"/>
      <c r="F474" s="113"/>
      <c r="G474" s="156"/>
      <c r="H474" s="157"/>
    </row>
    <row r="475" spans="1:8" x14ac:dyDescent="0.25">
      <c r="A475" s="155"/>
      <c r="B475" s="111"/>
      <c r="C475" s="111"/>
      <c r="D475" s="156"/>
      <c r="E475" s="112"/>
      <c r="F475" s="113"/>
      <c r="G475" s="156"/>
      <c r="H475" s="157"/>
    </row>
    <row r="476" spans="1:8" x14ac:dyDescent="0.25">
      <c r="A476" s="155"/>
      <c r="B476" s="111"/>
      <c r="C476" s="111"/>
      <c r="D476" s="156"/>
      <c r="E476" s="112"/>
      <c r="F476" s="113"/>
      <c r="G476" s="156"/>
      <c r="H476" s="157"/>
    </row>
    <row r="477" spans="1:8" x14ac:dyDescent="0.25">
      <c r="A477" s="155"/>
      <c r="B477" s="111"/>
      <c r="C477" s="111"/>
      <c r="D477" s="156"/>
      <c r="E477" s="112"/>
      <c r="F477" s="113"/>
      <c r="G477" s="156"/>
      <c r="H477" s="157"/>
    </row>
    <row r="478" spans="1:8" x14ac:dyDescent="0.25">
      <c r="A478" s="155"/>
      <c r="B478" s="111"/>
      <c r="C478" s="111"/>
      <c r="D478" s="156"/>
      <c r="E478" s="112"/>
      <c r="F478" s="113"/>
      <c r="G478" s="156"/>
      <c r="H478" s="157"/>
    </row>
    <row r="479" spans="1:8" x14ac:dyDescent="0.25">
      <c r="A479" s="155"/>
      <c r="B479" s="111"/>
      <c r="C479" s="111"/>
      <c r="D479" s="156"/>
      <c r="E479" s="112"/>
      <c r="F479" s="113"/>
      <c r="G479" s="156"/>
      <c r="H479" s="157"/>
    </row>
    <row r="480" spans="1:8" x14ac:dyDescent="0.25">
      <c r="A480" s="155"/>
      <c r="B480" s="111"/>
      <c r="C480" s="111"/>
      <c r="D480" s="156"/>
      <c r="E480" s="112"/>
      <c r="F480" s="113"/>
      <c r="G480" s="156"/>
      <c r="H480" s="157"/>
    </row>
    <row r="481" spans="1:8" x14ac:dyDescent="0.25">
      <c r="A481" s="155"/>
      <c r="B481" s="111"/>
      <c r="C481" s="111"/>
      <c r="D481" s="156"/>
      <c r="E481" s="112"/>
      <c r="F481" s="113"/>
      <c r="G481" s="156"/>
      <c r="H481" s="157"/>
    </row>
    <row r="482" spans="1:8" x14ac:dyDescent="0.25">
      <c r="A482" s="155"/>
      <c r="B482" s="111"/>
      <c r="C482" s="111"/>
      <c r="D482" s="156"/>
      <c r="E482" s="112"/>
      <c r="F482" s="113"/>
      <c r="G482" s="156"/>
      <c r="H482" s="157"/>
    </row>
    <row r="483" spans="1:8" x14ac:dyDescent="0.25">
      <c r="A483" s="155"/>
      <c r="B483" s="111"/>
      <c r="C483" s="111"/>
      <c r="D483" s="156"/>
      <c r="E483" s="112"/>
      <c r="F483" s="113"/>
      <c r="G483" s="156"/>
      <c r="H483" s="157"/>
    </row>
    <row r="484" spans="1:8" x14ac:dyDescent="0.25">
      <c r="A484" s="155"/>
      <c r="B484" s="111"/>
      <c r="C484" s="111"/>
      <c r="D484" s="156"/>
      <c r="E484" s="112"/>
      <c r="F484" s="113"/>
      <c r="G484" s="156"/>
      <c r="H484" s="157"/>
    </row>
    <row r="485" spans="1:8" x14ac:dyDescent="0.25">
      <c r="A485" s="155"/>
      <c r="B485" s="111"/>
      <c r="C485" s="111"/>
      <c r="D485" s="156"/>
      <c r="E485" s="112"/>
      <c r="F485" s="113"/>
      <c r="G485" s="156"/>
      <c r="H485" s="157"/>
    </row>
    <row r="486" spans="1:8" x14ac:dyDescent="0.25">
      <c r="A486" s="155"/>
      <c r="B486" s="111"/>
      <c r="C486" s="111"/>
      <c r="D486" s="156"/>
      <c r="E486" s="112"/>
      <c r="F486" s="113"/>
      <c r="G486" s="156"/>
      <c r="H486" s="157"/>
    </row>
    <row r="487" spans="1:8" x14ac:dyDescent="0.25">
      <c r="A487" s="155"/>
      <c r="B487" s="111"/>
      <c r="C487" s="111"/>
      <c r="D487" s="156"/>
      <c r="E487" s="112"/>
      <c r="F487" s="113"/>
      <c r="G487" s="156"/>
      <c r="H487" s="157"/>
    </row>
    <row r="488" spans="1:8" x14ac:dyDescent="0.25">
      <c r="A488" s="155"/>
      <c r="B488" s="111"/>
      <c r="C488" s="111"/>
      <c r="D488" s="156"/>
      <c r="E488" s="112"/>
      <c r="F488" s="113"/>
      <c r="G488" s="156"/>
      <c r="H488" s="157"/>
    </row>
    <row r="489" spans="1:8" x14ac:dyDescent="0.25">
      <c r="A489" s="155"/>
      <c r="B489" s="111"/>
      <c r="C489" s="111"/>
      <c r="D489" s="156"/>
      <c r="E489" s="112"/>
      <c r="F489" s="113"/>
      <c r="G489" s="156"/>
      <c r="H489" s="157"/>
    </row>
    <row r="490" spans="1:8" x14ac:dyDescent="0.25">
      <c r="A490" s="155"/>
      <c r="B490" s="111"/>
      <c r="C490" s="111"/>
      <c r="D490" s="156"/>
      <c r="E490" s="112"/>
      <c r="F490" s="113"/>
      <c r="G490" s="156"/>
      <c r="H490" s="157"/>
    </row>
    <row r="491" spans="1:8" x14ac:dyDescent="0.25">
      <c r="A491" s="155"/>
      <c r="B491" s="111"/>
      <c r="C491" s="111"/>
      <c r="D491" s="156"/>
      <c r="E491" s="112"/>
      <c r="F491" s="113"/>
      <c r="G491" s="156"/>
      <c r="H491" s="157"/>
    </row>
    <row r="492" spans="1:8" x14ac:dyDescent="0.25">
      <c r="A492" s="155"/>
      <c r="B492" s="111"/>
      <c r="C492" s="111"/>
      <c r="D492" s="156"/>
      <c r="E492" s="112"/>
      <c r="F492" s="113"/>
      <c r="G492" s="156"/>
      <c r="H492" s="157"/>
    </row>
    <row r="493" spans="1:8" x14ac:dyDescent="0.25">
      <c r="A493" s="155"/>
      <c r="B493" s="111"/>
      <c r="C493" s="111"/>
      <c r="D493" s="156"/>
      <c r="E493" s="112"/>
      <c r="F493" s="113"/>
      <c r="G493" s="156"/>
      <c r="H493" s="157"/>
    </row>
    <row r="494" spans="1:8" x14ac:dyDescent="0.25">
      <c r="A494" s="155"/>
      <c r="B494" s="111"/>
      <c r="C494" s="111"/>
      <c r="D494" s="156"/>
      <c r="E494" s="112"/>
      <c r="F494" s="113"/>
      <c r="G494" s="156"/>
      <c r="H494" s="157"/>
    </row>
    <row r="495" spans="1:8" x14ac:dyDescent="0.25">
      <c r="A495" s="155"/>
      <c r="B495" s="111"/>
      <c r="C495" s="111"/>
      <c r="D495" s="156"/>
      <c r="E495" s="112"/>
      <c r="F495" s="113"/>
      <c r="G495" s="156"/>
      <c r="H495" s="157"/>
    </row>
    <row r="496" spans="1:8" x14ac:dyDescent="0.25">
      <c r="A496" s="155"/>
      <c r="B496" s="111"/>
      <c r="C496" s="111"/>
      <c r="D496" s="156"/>
      <c r="E496" s="112"/>
      <c r="F496" s="113"/>
      <c r="G496" s="156"/>
      <c r="H496" s="157"/>
    </row>
    <row r="497" spans="1:8" x14ac:dyDescent="0.25">
      <c r="A497" s="155"/>
      <c r="B497" s="111"/>
      <c r="C497" s="111"/>
      <c r="D497" s="156"/>
      <c r="E497" s="112"/>
      <c r="F497" s="113"/>
      <c r="G497" s="156"/>
      <c r="H497" s="157"/>
    </row>
    <row r="498" spans="1:8" x14ac:dyDescent="0.25">
      <c r="A498" s="155"/>
      <c r="B498" s="111"/>
      <c r="C498" s="111"/>
      <c r="D498" s="156"/>
      <c r="E498" s="112"/>
      <c r="F498" s="113"/>
      <c r="G498" s="156"/>
      <c r="H498" s="157"/>
    </row>
    <row r="499" spans="1:8" x14ac:dyDescent="0.25">
      <c r="A499" s="155"/>
      <c r="B499" s="111"/>
      <c r="C499" s="111"/>
      <c r="D499" s="156"/>
      <c r="E499" s="112"/>
      <c r="F499" s="113"/>
      <c r="G499" s="156"/>
      <c r="H499" s="157"/>
    </row>
    <row r="500" spans="1:8" x14ac:dyDescent="0.25">
      <c r="A500" s="155"/>
      <c r="B500" s="111"/>
      <c r="C500" s="111"/>
      <c r="D500" s="156"/>
      <c r="E500" s="112"/>
      <c r="F500" s="113"/>
      <c r="G500" s="156"/>
      <c r="H500" s="157"/>
    </row>
    <row r="501" spans="1:8" x14ac:dyDescent="0.25">
      <c r="A501" s="155"/>
      <c r="B501" s="111"/>
      <c r="C501" s="111"/>
      <c r="D501" s="156"/>
      <c r="E501" s="112"/>
      <c r="F501" s="113"/>
      <c r="G501" s="156"/>
      <c r="H501" s="157"/>
    </row>
    <row r="502" spans="1:8" x14ac:dyDescent="0.25">
      <c r="A502" s="155"/>
      <c r="B502" s="111"/>
      <c r="C502" s="111"/>
      <c r="D502" s="156"/>
      <c r="E502" s="112"/>
      <c r="F502" s="113"/>
      <c r="G502" s="156"/>
      <c r="H502" s="157"/>
    </row>
    <row r="503" spans="1:8" x14ac:dyDescent="0.25">
      <c r="A503" s="155"/>
      <c r="B503" s="111"/>
      <c r="C503" s="111"/>
      <c r="D503" s="156"/>
      <c r="E503" s="112"/>
      <c r="F503" s="113"/>
      <c r="G503" s="156"/>
      <c r="H503" s="157"/>
    </row>
    <row r="504" spans="1:8" x14ac:dyDescent="0.25">
      <c r="A504" s="155"/>
      <c r="B504" s="111"/>
      <c r="C504" s="111"/>
      <c r="D504" s="156"/>
      <c r="E504" s="112"/>
      <c r="F504" s="113"/>
      <c r="G504" s="156"/>
      <c r="H504" s="157"/>
    </row>
    <row r="505" spans="1:8" x14ac:dyDescent="0.25">
      <c r="A505" s="155"/>
      <c r="B505" s="111"/>
      <c r="C505" s="111"/>
      <c r="D505" s="156"/>
      <c r="E505" s="112"/>
      <c r="F505" s="113"/>
      <c r="G505" s="156"/>
      <c r="H505" s="157"/>
    </row>
    <row r="506" spans="1:8" x14ac:dyDescent="0.25">
      <c r="A506" s="155"/>
      <c r="B506" s="111"/>
      <c r="C506" s="111"/>
      <c r="D506" s="156"/>
      <c r="E506" s="112"/>
      <c r="F506" s="113"/>
      <c r="G506" s="156"/>
      <c r="H506" s="157"/>
    </row>
    <row r="507" spans="1:8" x14ac:dyDescent="0.25">
      <c r="A507" s="155"/>
      <c r="B507" s="111"/>
      <c r="C507" s="111"/>
      <c r="D507" s="156"/>
      <c r="E507" s="112"/>
      <c r="F507" s="113"/>
      <c r="G507" s="156"/>
      <c r="H507" s="157"/>
    </row>
    <row r="508" spans="1:8" x14ac:dyDescent="0.25">
      <c r="A508" s="155"/>
      <c r="B508" s="111"/>
      <c r="C508" s="111"/>
      <c r="D508" s="156"/>
      <c r="E508" s="112"/>
      <c r="F508" s="113"/>
      <c r="G508" s="156"/>
      <c r="H508" s="157"/>
    </row>
    <row r="509" spans="1:8" x14ac:dyDescent="0.25">
      <c r="A509" s="155"/>
      <c r="B509" s="111"/>
      <c r="C509" s="111"/>
      <c r="D509" s="156"/>
      <c r="E509" s="112"/>
      <c r="F509" s="113"/>
      <c r="G509" s="156"/>
      <c r="H509" s="157"/>
    </row>
    <row r="510" spans="1:8" x14ac:dyDescent="0.25">
      <c r="A510" s="155"/>
      <c r="B510" s="111"/>
      <c r="C510" s="111"/>
      <c r="D510" s="156"/>
      <c r="E510" s="112"/>
      <c r="F510" s="113"/>
      <c r="G510" s="156"/>
      <c r="H510" s="157"/>
    </row>
    <row r="511" spans="1:8" x14ac:dyDescent="0.25">
      <c r="A511" s="155"/>
      <c r="B511" s="111"/>
      <c r="C511" s="111"/>
      <c r="D511" s="156"/>
      <c r="E511" s="112"/>
      <c r="F511" s="113"/>
      <c r="G511" s="156"/>
      <c r="H511" s="157"/>
    </row>
    <row r="512" spans="1:8" x14ac:dyDescent="0.25">
      <c r="A512" s="155"/>
      <c r="B512" s="111"/>
      <c r="C512" s="111"/>
      <c r="D512" s="156"/>
      <c r="E512" s="112"/>
      <c r="F512" s="113"/>
      <c r="G512" s="156"/>
      <c r="H512" s="157"/>
    </row>
    <row r="513" spans="1:8" x14ac:dyDescent="0.25">
      <c r="A513" s="155"/>
      <c r="B513" s="111"/>
      <c r="C513" s="111"/>
      <c r="D513" s="156"/>
      <c r="E513" s="112"/>
      <c r="F513" s="113"/>
      <c r="G513" s="156"/>
      <c r="H513" s="157"/>
    </row>
    <row r="514" spans="1:8" x14ac:dyDescent="0.25">
      <c r="A514" s="155"/>
      <c r="B514" s="111"/>
      <c r="C514" s="111"/>
      <c r="D514" s="156"/>
      <c r="E514" s="112"/>
      <c r="F514" s="113"/>
      <c r="G514" s="156"/>
      <c r="H514" s="157"/>
    </row>
    <row r="515" spans="1:8" x14ac:dyDescent="0.25">
      <c r="A515" s="155"/>
      <c r="B515" s="111"/>
      <c r="C515" s="111"/>
      <c r="D515" s="156"/>
      <c r="E515" s="112"/>
      <c r="F515" s="113"/>
      <c r="G515" s="156"/>
      <c r="H515" s="157"/>
    </row>
    <row r="516" spans="1:8" x14ac:dyDescent="0.25">
      <c r="A516" s="155"/>
      <c r="B516" s="111"/>
      <c r="C516" s="111"/>
      <c r="D516" s="156"/>
      <c r="E516" s="112"/>
      <c r="F516" s="113"/>
      <c r="G516" s="156"/>
      <c r="H516" s="157"/>
    </row>
    <row r="517" spans="1:8" x14ac:dyDescent="0.25">
      <c r="A517" s="155"/>
      <c r="B517" s="111"/>
      <c r="C517" s="111"/>
      <c r="D517" s="156"/>
      <c r="E517" s="112"/>
      <c r="F517" s="113"/>
      <c r="G517" s="156"/>
      <c r="H517" s="157"/>
    </row>
    <row r="518" spans="1:8" x14ac:dyDescent="0.25">
      <c r="A518" s="155"/>
      <c r="B518" s="111"/>
      <c r="C518" s="111"/>
      <c r="D518" s="156"/>
      <c r="E518" s="112"/>
      <c r="F518" s="113"/>
      <c r="G518" s="156"/>
      <c r="H518" s="157"/>
    </row>
    <row r="519" spans="1:8" x14ac:dyDescent="0.25">
      <c r="A519" s="155"/>
      <c r="B519" s="111"/>
      <c r="C519" s="111"/>
      <c r="D519" s="156"/>
      <c r="E519" s="112"/>
      <c r="F519" s="113"/>
      <c r="G519" s="156"/>
      <c r="H519" s="157"/>
    </row>
    <row r="520" spans="1:8" x14ac:dyDescent="0.25">
      <c r="A520" s="155"/>
      <c r="B520" s="111"/>
      <c r="C520" s="111"/>
      <c r="D520" s="156"/>
      <c r="E520" s="112"/>
      <c r="F520" s="113"/>
      <c r="G520" s="156"/>
      <c r="H520" s="157"/>
    </row>
    <row r="521" spans="1:8" x14ac:dyDescent="0.25">
      <c r="A521" s="155"/>
      <c r="B521" s="111"/>
      <c r="C521" s="111"/>
      <c r="D521" s="156"/>
      <c r="E521" s="112"/>
      <c r="F521" s="113"/>
      <c r="G521" s="156"/>
      <c r="H521" s="157"/>
    </row>
    <row r="522" spans="1:8" x14ac:dyDescent="0.25">
      <c r="A522" s="155"/>
      <c r="B522" s="111"/>
      <c r="C522" s="111"/>
      <c r="D522" s="156"/>
      <c r="E522" s="112"/>
      <c r="F522" s="113"/>
      <c r="G522" s="156"/>
      <c r="H522" s="157"/>
    </row>
    <row r="523" spans="1:8" x14ac:dyDescent="0.25">
      <c r="A523" s="155"/>
      <c r="B523" s="111"/>
      <c r="C523" s="111"/>
      <c r="D523" s="156"/>
      <c r="E523" s="112"/>
      <c r="F523" s="113"/>
      <c r="G523" s="156"/>
      <c r="H523" s="157"/>
    </row>
    <row r="524" spans="1:8" x14ac:dyDescent="0.25">
      <c r="A524" s="155"/>
      <c r="B524" s="111"/>
      <c r="C524" s="111"/>
      <c r="D524" s="156"/>
      <c r="E524" s="112"/>
      <c r="F524" s="113"/>
      <c r="G524" s="156"/>
      <c r="H524" s="157"/>
    </row>
    <row r="525" spans="1:8" x14ac:dyDescent="0.25">
      <c r="A525" s="155"/>
      <c r="B525" s="111"/>
      <c r="C525" s="111"/>
      <c r="D525" s="156"/>
      <c r="E525" s="112"/>
      <c r="F525" s="113"/>
      <c r="G525" s="156"/>
      <c r="H525" s="157"/>
    </row>
    <row r="526" spans="1:8" x14ac:dyDescent="0.25">
      <c r="A526" s="155"/>
      <c r="B526" s="111"/>
      <c r="C526" s="111"/>
      <c r="D526" s="156"/>
      <c r="E526" s="112"/>
      <c r="F526" s="113"/>
      <c r="G526" s="156"/>
      <c r="H526" s="157"/>
    </row>
    <row r="527" spans="1:8" x14ac:dyDescent="0.25">
      <c r="A527" s="155"/>
      <c r="B527" s="111"/>
      <c r="C527" s="111"/>
      <c r="D527" s="156"/>
      <c r="E527" s="112"/>
      <c r="F527" s="113"/>
      <c r="G527" s="156"/>
      <c r="H527" s="157"/>
    </row>
    <row r="528" spans="1:8" x14ac:dyDescent="0.25">
      <c r="A528" s="155"/>
      <c r="B528" s="111"/>
      <c r="C528" s="111"/>
      <c r="D528" s="156"/>
      <c r="E528" s="112"/>
      <c r="F528" s="113"/>
      <c r="G528" s="156"/>
      <c r="H528" s="157"/>
    </row>
    <row r="529" spans="1:8" x14ac:dyDescent="0.25">
      <c r="A529" s="155"/>
      <c r="B529" s="111"/>
      <c r="C529" s="111"/>
      <c r="D529" s="156"/>
      <c r="E529" s="112"/>
      <c r="F529" s="113"/>
      <c r="G529" s="156"/>
      <c r="H529" s="157"/>
    </row>
    <row r="530" spans="1:8" x14ac:dyDescent="0.25">
      <c r="A530" s="155"/>
      <c r="B530" s="111"/>
      <c r="C530" s="111"/>
      <c r="D530" s="156"/>
      <c r="E530" s="112"/>
      <c r="F530" s="113"/>
      <c r="G530" s="156"/>
      <c r="H530" s="157"/>
    </row>
    <row r="531" spans="1:8" x14ac:dyDescent="0.25">
      <c r="A531" s="155"/>
      <c r="B531" s="111"/>
      <c r="C531" s="111"/>
      <c r="D531" s="156"/>
      <c r="E531" s="112"/>
      <c r="F531" s="113"/>
      <c r="G531" s="156"/>
      <c r="H531" s="157"/>
    </row>
    <row r="532" spans="1:8" x14ac:dyDescent="0.25">
      <c r="A532" s="155"/>
      <c r="B532" s="111"/>
      <c r="C532" s="111"/>
      <c r="D532" s="156"/>
      <c r="E532" s="112"/>
      <c r="F532" s="113"/>
      <c r="G532" s="156"/>
      <c r="H532" s="157"/>
    </row>
    <row r="533" spans="1:8" x14ac:dyDescent="0.25">
      <c r="A533" s="155"/>
      <c r="B533" s="111"/>
      <c r="C533" s="111"/>
      <c r="D533" s="156"/>
      <c r="E533" s="112"/>
      <c r="F533" s="113"/>
      <c r="G533" s="156"/>
      <c r="H533" s="157"/>
    </row>
    <row r="534" spans="1:8" x14ac:dyDescent="0.25">
      <c r="A534" s="155"/>
      <c r="B534" s="111"/>
      <c r="C534" s="111"/>
      <c r="D534" s="156"/>
      <c r="E534" s="112"/>
      <c r="F534" s="113"/>
      <c r="G534" s="156"/>
      <c r="H534" s="157"/>
    </row>
    <row r="535" spans="1:8" x14ac:dyDescent="0.25">
      <c r="A535" s="155"/>
      <c r="B535" s="111"/>
      <c r="C535" s="111"/>
      <c r="D535" s="156"/>
      <c r="E535" s="112"/>
      <c r="F535" s="113"/>
      <c r="G535" s="156"/>
      <c r="H535" s="157"/>
    </row>
    <row r="536" spans="1:8" x14ac:dyDescent="0.25">
      <c r="A536" s="155"/>
      <c r="B536" s="111"/>
      <c r="C536" s="111"/>
      <c r="D536" s="156"/>
      <c r="E536" s="112"/>
      <c r="F536" s="113"/>
      <c r="G536" s="156"/>
      <c r="H536" s="157"/>
    </row>
    <row r="537" spans="1:8" x14ac:dyDescent="0.25">
      <c r="A537" s="155"/>
      <c r="B537" s="111"/>
      <c r="C537" s="111"/>
      <c r="D537" s="156"/>
      <c r="E537" s="112"/>
      <c r="F537" s="113"/>
      <c r="G537" s="156"/>
      <c r="H537" s="157"/>
    </row>
    <row r="538" spans="1:8" x14ac:dyDescent="0.25">
      <c r="A538" s="155"/>
      <c r="B538" s="111"/>
      <c r="C538" s="111"/>
      <c r="D538" s="156"/>
      <c r="E538" s="112"/>
      <c r="F538" s="113"/>
      <c r="G538" s="156"/>
      <c r="H538" s="157"/>
    </row>
    <row r="539" spans="1:8" x14ac:dyDescent="0.25">
      <c r="A539" s="155"/>
      <c r="B539" s="111"/>
      <c r="C539" s="111"/>
      <c r="D539" s="156"/>
      <c r="E539" s="112"/>
      <c r="F539" s="113"/>
      <c r="G539" s="156"/>
      <c r="H539" s="157"/>
    </row>
    <row r="540" spans="1:8" x14ac:dyDescent="0.25">
      <c r="A540" s="155"/>
      <c r="B540" s="111"/>
      <c r="C540" s="111"/>
      <c r="D540" s="156"/>
      <c r="E540" s="112"/>
      <c r="F540" s="113"/>
      <c r="G540" s="156"/>
      <c r="H540" s="157"/>
    </row>
    <row r="541" spans="1:8" x14ac:dyDescent="0.25">
      <c r="A541" s="155"/>
      <c r="B541" s="111"/>
      <c r="C541" s="111"/>
      <c r="D541" s="156"/>
      <c r="E541" s="112"/>
      <c r="F541" s="113"/>
      <c r="G541" s="156"/>
      <c r="H541" s="157"/>
    </row>
    <row r="542" spans="1:8" x14ac:dyDescent="0.25">
      <c r="A542" s="155"/>
      <c r="B542" s="111"/>
      <c r="C542" s="111"/>
      <c r="D542" s="156"/>
      <c r="E542" s="112"/>
      <c r="F542" s="113"/>
      <c r="G542" s="156"/>
      <c r="H542" s="157"/>
    </row>
    <row r="543" spans="1:8" x14ac:dyDescent="0.25">
      <c r="A543" s="155"/>
      <c r="B543" s="111"/>
      <c r="C543" s="111"/>
      <c r="D543" s="156"/>
      <c r="E543" s="112"/>
      <c r="F543" s="113"/>
      <c r="G543" s="156"/>
      <c r="H543" s="157"/>
    </row>
    <row r="544" spans="1:8" x14ac:dyDescent="0.25">
      <c r="A544" s="155"/>
      <c r="B544" s="111"/>
      <c r="C544" s="111"/>
      <c r="D544" s="156"/>
      <c r="E544" s="112"/>
      <c r="F544" s="113"/>
      <c r="G544" s="156"/>
      <c r="H544" s="157"/>
    </row>
    <row r="545" spans="1:8" x14ac:dyDescent="0.25">
      <c r="A545" s="155"/>
      <c r="B545" s="111"/>
      <c r="C545" s="111"/>
      <c r="D545" s="156"/>
      <c r="E545" s="112"/>
      <c r="F545" s="113"/>
      <c r="G545" s="156"/>
      <c r="H545" s="157"/>
    </row>
    <row r="546" spans="1:8" x14ac:dyDescent="0.25">
      <c r="A546" s="155"/>
      <c r="B546" s="111"/>
      <c r="C546" s="111"/>
      <c r="D546" s="156"/>
      <c r="E546" s="112"/>
      <c r="F546" s="113"/>
      <c r="G546" s="156"/>
      <c r="H546" s="157"/>
    </row>
    <row r="547" spans="1:8" x14ac:dyDescent="0.25">
      <c r="A547" s="155"/>
      <c r="B547" s="111"/>
      <c r="C547" s="111"/>
      <c r="D547" s="156"/>
      <c r="E547" s="112"/>
      <c r="F547" s="113"/>
      <c r="G547" s="156"/>
      <c r="H547" s="157"/>
    </row>
    <row r="548" spans="1:8" x14ac:dyDescent="0.25">
      <c r="A548" s="155"/>
      <c r="B548" s="111"/>
      <c r="C548" s="111"/>
      <c r="D548" s="156"/>
      <c r="E548" s="112"/>
      <c r="F548" s="113"/>
      <c r="G548" s="156"/>
      <c r="H548" s="157"/>
    </row>
    <row r="549" spans="1:8" x14ac:dyDescent="0.25">
      <c r="A549" s="155"/>
      <c r="B549" s="111"/>
      <c r="C549" s="111"/>
      <c r="D549" s="156"/>
      <c r="E549" s="112"/>
      <c r="F549" s="113"/>
      <c r="G549" s="156"/>
      <c r="H549" s="157"/>
    </row>
    <row r="550" spans="1:8" x14ac:dyDescent="0.25">
      <c r="A550" s="155"/>
      <c r="B550" s="111"/>
      <c r="C550" s="111"/>
      <c r="D550" s="156"/>
      <c r="E550" s="112"/>
      <c r="F550" s="113"/>
      <c r="G550" s="156"/>
      <c r="H550" s="157"/>
    </row>
    <row r="551" spans="1:8" x14ac:dyDescent="0.25">
      <c r="A551" s="155"/>
      <c r="B551" s="111"/>
      <c r="C551" s="111"/>
      <c r="D551" s="156"/>
      <c r="E551" s="112"/>
      <c r="F551" s="113"/>
      <c r="G551" s="156"/>
      <c r="H551" s="157"/>
    </row>
    <row r="552" spans="1:8" x14ac:dyDescent="0.25">
      <c r="A552" s="155"/>
      <c r="B552" s="111"/>
      <c r="C552" s="111"/>
      <c r="D552" s="156"/>
      <c r="E552" s="112"/>
      <c r="F552" s="113"/>
      <c r="G552" s="156"/>
      <c r="H552" s="157"/>
    </row>
    <row r="553" spans="1:8" x14ac:dyDescent="0.25">
      <c r="A553" s="155"/>
      <c r="B553" s="111"/>
      <c r="C553" s="111"/>
      <c r="D553" s="156"/>
      <c r="E553" s="112"/>
      <c r="F553" s="113"/>
      <c r="G553" s="156"/>
      <c r="H553" s="157"/>
    </row>
    <row r="554" spans="1:8" x14ac:dyDescent="0.25">
      <c r="A554" s="155"/>
      <c r="B554" s="111"/>
      <c r="C554" s="111"/>
      <c r="D554" s="156"/>
      <c r="E554" s="112"/>
      <c r="F554" s="113"/>
      <c r="G554" s="156"/>
      <c r="H554" s="157"/>
    </row>
    <row r="555" spans="1:8" x14ac:dyDescent="0.25">
      <c r="A555" s="155"/>
      <c r="B555" s="111"/>
      <c r="C555" s="111"/>
      <c r="D555" s="156"/>
      <c r="E555" s="112"/>
      <c r="F555" s="113"/>
      <c r="G555" s="156"/>
      <c r="H555" s="157"/>
    </row>
    <row r="556" spans="1:8" x14ac:dyDescent="0.25">
      <c r="A556" s="155"/>
      <c r="B556" s="111"/>
      <c r="C556" s="111"/>
      <c r="D556" s="156"/>
      <c r="E556" s="112"/>
      <c r="F556" s="113"/>
      <c r="G556" s="156"/>
      <c r="H556" s="157"/>
    </row>
    <row r="557" spans="1:8" x14ac:dyDescent="0.25">
      <c r="A557" s="155"/>
      <c r="B557" s="111"/>
      <c r="C557" s="111"/>
      <c r="D557" s="156"/>
      <c r="E557" s="112"/>
      <c r="F557" s="113"/>
      <c r="G557" s="156"/>
      <c r="H557" s="157"/>
    </row>
    <row r="558" spans="1:8" x14ac:dyDescent="0.25">
      <c r="A558" s="155"/>
      <c r="B558" s="111"/>
      <c r="C558" s="111"/>
      <c r="D558" s="156"/>
      <c r="E558" s="112"/>
      <c r="F558" s="113"/>
      <c r="G558" s="156"/>
      <c r="H558" s="157"/>
    </row>
    <row r="559" spans="1:8" x14ac:dyDescent="0.25">
      <c r="A559" s="155"/>
      <c r="B559" s="111"/>
      <c r="C559" s="111"/>
      <c r="D559" s="156"/>
      <c r="E559" s="112"/>
      <c r="F559" s="113"/>
      <c r="G559" s="156"/>
      <c r="H559" s="157"/>
    </row>
    <row r="560" spans="1:8" x14ac:dyDescent="0.25">
      <c r="A560" s="155"/>
      <c r="B560" s="111"/>
      <c r="C560" s="111"/>
      <c r="D560" s="156"/>
      <c r="E560" s="112"/>
      <c r="F560" s="113"/>
      <c r="G560" s="156"/>
      <c r="H560" s="157"/>
    </row>
    <row r="561" spans="1:8" x14ac:dyDescent="0.25">
      <c r="A561" s="155"/>
      <c r="B561" s="111"/>
      <c r="C561" s="111"/>
      <c r="D561" s="156"/>
      <c r="E561" s="112"/>
      <c r="F561" s="113"/>
      <c r="G561" s="156"/>
      <c r="H561" s="157"/>
    </row>
    <row r="562" spans="1:8" x14ac:dyDescent="0.25">
      <c r="A562" s="155"/>
      <c r="B562" s="111"/>
      <c r="C562" s="111"/>
      <c r="D562" s="156"/>
      <c r="E562" s="112"/>
      <c r="F562" s="113"/>
      <c r="G562" s="156"/>
      <c r="H562" s="157"/>
    </row>
    <row r="563" spans="1:8" x14ac:dyDescent="0.25">
      <c r="A563" s="155"/>
      <c r="B563" s="111"/>
      <c r="C563" s="111"/>
      <c r="D563" s="156"/>
      <c r="E563" s="112"/>
      <c r="F563" s="113"/>
      <c r="G563" s="156"/>
      <c r="H563" s="157"/>
    </row>
    <row r="564" spans="1:8" x14ac:dyDescent="0.25">
      <c r="A564" s="155"/>
      <c r="B564" s="111"/>
      <c r="C564" s="111"/>
      <c r="D564" s="156"/>
      <c r="E564" s="112"/>
      <c r="F564" s="113"/>
      <c r="G564" s="156"/>
      <c r="H564" s="157"/>
    </row>
    <row r="565" spans="1:8" x14ac:dyDescent="0.25">
      <c r="A565" s="155"/>
      <c r="B565" s="111"/>
      <c r="C565" s="111"/>
      <c r="D565" s="156"/>
      <c r="E565" s="112"/>
      <c r="F565" s="113"/>
      <c r="G565" s="156"/>
      <c r="H565" s="157"/>
    </row>
    <row r="566" spans="1:8" x14ac:dyDescent="0.25">
      <c r="A566" s="155"/>
      <c r="B566" s="111"/>
      <c r="C566" s="111"/>
      <c r="D566" s="156"/>
      <c r="E566" s="112"/>
      <c r="F566" s="113"/>
      <c r="G566" s="156"/>
      <c r="H566" s="157"/>
    </row>
    <row r="567" spans="1:8" x14ac:dyDescent="0.25">
      <c r="A567" s="155"/>
      <c r="B567" s="111"/>
      <c r="C567" s="111"/>
      <c r="D567" s="156"/>
      <c r="E567" s="112"/>
      <c r="F567" s="113"/>
      <c r="G567" s="156"/>
      <c r="H567" s="157"/>
    </row>
    <row r="568" spans="1:8" x14ac:dyDescent="0.25">
      <c r="A568" s="155"/>
      <c r="B568" s="111"/>
      <c r="C568" s="111"/>
      <c r="D568" s="156"/>
      <c r="E568" s="112"/>
      <c r="F568" s="113"/>
      <c r="G568" s="156"/>
      <c r="H568" s="157"/>
    </row>
    <row r="569" spans="1:8" x14ac:dyDescent="0.25">
      <c r="A569" s="155"/>
      <c r="B569" s="111"/>
      <c r="C569" s="111"/>
      <c r="D569" s="156"/>
      <c r="E569" s="112"/>
      <c r="F569" s="113"/>
      <c r="G569" s="156"/>
      <c r="H569" s="157"/>
    </row>
    <row r="570" spans="1:8" x14ac:dyDescent="0.25">
      <c r="A570" s="155"/>
      <c r="B570" s="111"/>
      <c r="C570" s="111"/>
      <c r="D570" s="156"/>
      <c r="E570" s="112"/>
      <c r="F570" s="113"/>
      <c r="G570" s="156"/>
      <c r="H570" s="157"/>
    </row>
    <row r="571" spans="1:8" x14ac:dyDescent="0.25">
      <c r="A571" s="155"/>
      <c r="B571" s="111"/>
      <c r="C571" s="111"/>
      <c r="D571" s="156"/>
      <c r="E571" s="112"/>
      <c r="F571" s="113"/>
      <c r="G571" s="156"/>
      <c r="H571" s="157"/>
    </row>
    <row r="572" spans="1:8" x14ac:dyDescent="0.25">
      <c r="A572" s="155"/>
      <c r="B572" s="111"/>
      <c r="C572" s="111"/>
      <c r="D572" s="156"/>
      <c r="E572" s="112"/>
      <c r="F572" s="113"/>
      <c r="G572" s="156"/>
      <c r="H572" s="157"/>
    </row>
    <row r="573" spans="1:8" x14ac:dyDescent="0.25">
      <c r="A573" s="155"/>
      <c r="B573" s="111"/>
      <c r="C573" s="111"/>
      <c r="D573" s="156"/>
      <c r="E573" s="112"/>
      <c r="F573" s="113"/>
      <c r="G573" s="156"/>
      <c r="H573" s="157"/>
    </row>
    <row r="574" spans="1:8" x14ac:dyDescent="0.25">
      <c r="A574" s="155"/>
      <c r="B574" s="111"/>
      <c r="C574" s="111"/>
      <c r="D574" s="156"/>
      <c r="E574" s="112"/>
      <c r="F574" s="113"/>
      <c r="G574" s="156"/>
      <c r="H574" s="157"/>
    </row>
    <row r="575" spans="1:8" x14ac:dyDescent="0.25">
      <c r="A575" s="155"/>
      <c r="B575" s="111"/>
      <c r="C575" s="111"/>
      <c r="D575" s="156"/>
      <c r="E575" s="112"/>
      <c r="F575" s="113"/>
      <c r="G575" s="156"/>
      <c r="H575" s="157"/>
    </row>
    <row r="576" spans="1:8" x14ac:dyDescent="0.25">
      <c r="A576" s="155"/>
      <c r="B576" s="111"/>
      <c r="C576" s="111"/>
      <c r="D576" s="156"/>
      <c r="E576" s="112"/>
      <c r="F576" s="113"/>
      <c r="G576" s="156"/>
      <c r="H576" s="157"/>
    </row>
    <row r="577" spans="1:8" x14ac:dyDescent="0.25">
      <c r="A577" s="155"/>
      <c r="B577" s="111"/>
      <c r="C577" s="111"/>
      <c r="D577" s="156"/>
      <c r="E577" s="112"/>
      <c r="F577" s="113"/>
      <c r="G577" s="156"/>
      <c r="H577" s="157"/>
    </row>
    <row r="578" spans="1:8" x14ac:dyDescent="0.25">
      <c r="A578" s="155"/>
      <c r="B578" s="111"/>
      <c r="C578" s="111"/>
      <c r="D578" s="156"/>
      <c r="E578" s="112"/>
      <c r="F578" s="113"/>
      <c r="G578" s="156"/>
      <c r="H578" s="157"/>
    </row>
    <row r="579" spans="1:8" x14ac:dyDescent="0.25">
      <c r="A579" s="155"/>
      <c r="B579" s="111"/>
      <c r="C579" s="111"/>
      <c r="D579" s="156"/>
      <c r="E579" s="112"/>
      <c r="F579" s="113"/>
      <c r="G579" s="156"/>
      <c r="H579" s="157"/>
    </row>
    <row r="580" spans="1:8" x14ac:dyDescent="0.25">
      <c r="A580" s="155"/>
      <c r="B580" s="111"/>
      <c r="C580" s="111"/>
      <c r="D580" s="156"/>
      <c r="E580" s="112"/>
      <c r="F580" s="113"/>
      <c r="G580" s="156"/>
      <c r="H580" s="157"/>
    </row>
    <row r="581" spans="1:8" x14ac:dyDescent="0.25">
      <c r="A581" s="155"/>
      <c r="B581" s="111"/>
      <c r="C581" s="111"/>
      <c r="D581" s="156"/>
      <c r="E581" s="112"/>
      <c r="F581" s="113"/>
      <c r="G581" s="156"/>
      <c r="H581" s="157"/>
    </row>
    <row r="582" spans="1:8" x14ac:dyDescent="0.25">
      <c r="A582" s="155"/>
      <c r="B582" s="111"/>
      <c r="C582" s="111"/>
      <c r="D582" s="156"/>
      <c r="E582" s="112"/>
      <c r="F582" s="113"/>
      <c r="G582" s="156"/>
      <c r="H582" s="157"/>
    </row>
    <row r="583" spans="1:8" x14ac:dyDescent="0.25">
      <c r="A583" s="155"/>
      <c r="B583" s="111"/>
      <c r="C583" s="111"/>
      <c r="D583" s="156"/>
      <c r="E583" s="112"/>
      <c r="F583" s="113"/>
      <c r="G583" s="156"/>
      <c r="H583" s="157"/>
    </row>
    <row r="584" spans="1:8" x14ac:dyDescent="0.25">
      <c r="A584" s="155"/>
      <c r="B584" s="111"/>
      <c r="C584" s="111"/>
      <c r="D584" s="156"/>
      <c r="E584" s="112"/>
      <c r="F584" s="113"/>
      <c r="G584" s="156"/>
      <c r="H584" s="157"/>
    </row>
    <row r="585" spans="1:8" x14ac:dyDescent="0.25">
      <c r="A585" s="155"/>
      <c r="B585" s="111"/>
      <c r="C585" s="111"/>
      <c r="D585" s="156"/>
      <c r="E585" s="112"/>
      <c r="F585" s="113"/>
      <c r="G585" s="156"/>
      <c r="H585" s="157"/>
    </row>
    <row r="586" spans="1:8" x14ac:dyDescent="0.25">
      <c r="A586" s="155"/>
      <c r="B586" s="111"/>
      <c r="C586" s="111"/>
      <c r="D586" s="156"/>
      <c r="E586" s="112"/>
      <c r="F586" s="113"/>
      <c r="G586" s="156"/>
      <c r="H586" s="157"/>
    </row>
    <row r="587" spans="1:8" x14ac:dyDescent="0.25">
      <c r="A587" s="155"/>
      <c r="B587" s="111"/>
      <c r="C587" s="111"/>
      <c r="D587" s="156"/>
      <c r="E587" s="112"/>
      <c r="F587" s="113"/>
      <c r="G587" s="156"/>
      <c r="H587" s="157"/>
    </row>
    <row r="588" spans="1:8" x14ac:dyDescent="0.25">
      <c r="A588" s="155"/>
      <c r="B588" s="111"/>
      <c r="C588" s="111"/>
      <c r="D588" s="156"/>
      <c r="E588" s="112"/>
      <c r="F588" s="113"/>
      <c r="G588" s="156"/>
      <c r="H588" s="157"/>
    </row>
    <row r="589" spans="1:8" x14ac:dyDescent="0.25">
      <c r="A589" s="155"/>
      <c r="B589" s="111"/>
      <c r="C589" s="111"/>
      <c r="D589" s="156"/>
      <c r="E589" s="112"/>
      <c r="F589" s="113"/>
      <c r="G589" s="156"/>
      <c r="H589" s="157"/>
    </row>
    <row r="590" spans="1:8" x14ac:dyDescent="0.25">
      <c r="A590" s="155"/>
      <c r="B590" s="111"/>
      <c r="C590" s="111"/>
      <c r="D590" s="156"/>
      <c r="E590" s="112"/>
      <c r="F590" s="113"/>
      <c r="G590" s="156"/>
      <c r="H590" s="157"/>
    </row>
    <row r="591" spans="1:8" x14ac:dyDescent="0.25">
      <c r="A591" s="155"/>
      <c r="B591" s="111"/>
      <c r="C591" s="111"/>
      <c r="D591" s="156"/>
      <c r="E591" s="112"/>
      <c r="F591" s="113"/>
      <c r="G591" s="156"/>
      <c r="H591" s="157"/>
    </row>
    <row r="592" spans="1:8" x14ac:dyDescent="0.25">
      <c r="A592" s="155"/>
      <c r="B592" s="111"/>
      <c r="C592" s="111"/>
      <c r="D592" s="156"/>
      <c r="E592" s="112"/>
      <c r="F592" s="113"/>
      <c r="G592" s="156"/>
      <c r="H592" s="157"/>
    </row>
    <row r="593" spans="1:8" x14ac:dyDescent="0.25">
      <c r="A593" s="155"/>
      <c r="B593" s="111"/>
      <c r="C593" s="111"/>
      <c r="D593" s="156"/>
      <c r="E593" s="112"/>
      <c r="F593" s="113"/>
      <c r="G593" s="156"/>
      <c r="H593" s="157"/>
    </row>
    <row r="594" spans="1:8" x14ac:dyDescent="0.25">
      <c r="A594" s="155"/>
      <c r="B594" s="111"/>
      <c r="C594" s="111"/>
      <c r="D594" s="156"/>
      <c r="E594" s="112"/>
      <c r="F594" s="113"/>
      <c r="G594" s="156"/>
      <c r="H594" s="157"/>
    </row>
    <row r="595" spans="1:8" x14ac:dyDescent="0.25">
      <c r="A595" s="155"/>
      <c r="B595" s="111"/>
      <c r="C595" s="111"/>
      <c r="D595" s="156"/>
      <c r="E595" s="112"/>
      <c r="F595" s="113"/>
      <c r="G595" s="156"/>
      <c r="H595" s="157"/>
    </row>
    <row r="596" spans="1:8" x14ac:dyDescent="0.25">
      <c r="A596" s="155"/>
      <c r="B596" s="111"/>
      <c r="C596" s="111"/>
      <c r="D596" s="156"/>
      <c r="E596" s="112"/>
      <c r="F596" s="113"/>
      <c r="G596" s="156"/>
      <c r="H596" s="157"/>
    </row>
    <row r="597" spans="1:8" x14ac:dyDescent="0.25">
      <c r="A597" s="155"/>
      <c r="B597" s="111"/>
      <c r="C597" s="111"/>
      <c r="D597" s="156"/>
      <c r="E597" s="112"/>
      <c r="F597" s="113"/>
      <c r="G597" s="156"/>
      <c r="H597" s="157"/>
    </row>
  </sheetData>
  <mergeCells count="2">
    <mergeCell ref="A1:F1"/>
    <mergeCell ref="A2:F2"/>
  </mergeCells>
  <conditionalFormatting sqref="D96:D101 D30:D67">
    <cfRule type="cellIs" dxfId="12" priority="4" operator="notEqual">
      <formula>#REF!</formula>
    </cfRule>
  </conditionalFormatting>
  <conditionalFormatting sqref="D108:D123">
    <cfRule type="cellIs" dxfId="11" priority="3" operator="notEqual">
      <formula>#REF!</formula>
    </cfRule>
  </conditionalFormatting>
  <conditionalFormatting sqref="H247:H251">
    <cfRule type="cellIs" dxfId="10" priority="2" operator="notEqual">
      <formula>A247</formula>
    </cfRule>
  </conditionalFormatting>
  <conditionalFormatting sqref="D102:D105">
    <cfRule type="cellIs" dxfId="9" priority="1" operator="notEqual">
      <formula>#REF!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90"/>
  <sheetViews>
    <sheetView zoomScaleNormal="100" workbookViewId="0">
      <selection activeCell="B335" sqref="B335"/>
    </sheetView>
  </sheetViews>
  <sheetFormatPr defaultColWidth="9.140625" defaultRowHeight="15.75" x14ac:dyDescent="0.25"/>
  <cols>
    <col min="1" max="1" width="11.28515625" style="104" customWidth="1"/>
    <col min="2" max="2" width="86.5703125" style="42" customWidth="1"/>
    <col min="3" max="3" width="17.5703125" style="42" customWidth="1"/>
    <col min="4" max="4" width="16.7109375" style="45" bestFit="1" customWidth="1"/>
    <col min="5" max="5" width="15" style="105" bestFit="1" customWidth="1"/>
    <col min="6" max="6" width="17.140625" style="105" customWidth="1"/>
    <col min="7" max="7" width="22" style="106" customWidth="1"/>
    <col min="8" max="8" width="24.5703125" style="42" customWidth="1"/>
    <col min="9" max="9" width="25" style="42" bestFit="1" customWidth="1"/>
    <col min="10" max="16384" width="9.140625" style="42"/>
  </cols>
  <sheetData>
    <row r="1" spans="1:8" s="2" customFormat="1" ht="22.5" x14ac:dyDescent="0.3">
      <c r="A1" s="174" t="s">
        <v>0</v>
      </c>
      <c r="B1" s="174"/>
      <c r="C1" s="174"/>
      <c r="D1" s="174"/>
      <c r="E1" s="174"/>
      <c r="F1" s="174"/>
      <c r="G1" s="1"/>
    </row>
    <row r="2" spans="1:8" s="2" customFormat="1" ht="22.5" x14ac:dyDescent="0.3">
      <c r="A2" s="174" t="s">
        <v>308</v>
      </c>
      <c r="B2" s="174"/>
      <c r="C2" s="174"/>
      <c r="D2" s="174"/>
      <c r="E2" s="174"/>
      <c r="F2" s="174"/>
      <c r="G2" s="1"/>
    </row>
    <row r="3" spans="1:8" s="2" customFormat="1" ht="22.5" x14ac:dyDescent="0.3">
      <c r="A3" s="158"/>
      <c r="B3" s="120"/>
      <c r="C3" s="148"/>
      <c r="D3" s="121"/>
      <c r="E3" s="158"/>
      <c r="F3" s="158"/>
      <c r="G3" s="1"/>
    </row>
    <row r="4" spans="1:8" s="2" customFormat="1" ht="23.25" thickBot="1" x14ac:dyDescent="0.35">
      <c r="A4" s="158"/>
      <c r="B4" s="158"/>
      <c r="C4" s="158"/>
      <c r="D4" s="121"/>
      <c r="E4" s="158"/>
      <c r="F4" s="1"/>
      <c r="G4" s="1"/>
    </row>
    <row r="5" spans="1:8" s="2" customFormat="1" x14ac:dyDescent="0.25">
      <c r="A5" s="3"/>
      <c r="B5" s="4"/>
      <c r="C5" s="4"/>
      <c r="D5" s="117"/>
      <c r="E5" s="6"/>
      <c r="F5" s="6"/>
      <c r="G5" s="7"/>
    </row>
    <row r="6" spans="1:8" s="2" customFormat="1" ht="16.5" thickBot="1" x14ac:dyDescent="0.3">
      <c r="A6" s="8" t="s">
        <v>1</v>
      </c>
      <c r="B6" s="9" t="s">
        <v>2</v>
      </c>
      <c r="C6" s="9" t="s">
        <v>3</v>
      </c>
      <c r="D6" s="118" t="s">
        <v>4</v>
      </c>
      <c r="E6" s="11" t="s">
        <v>5</v>
      </c>
      <c r="F6" s="11" t="s">
        <v>6</v>
      </c>
      <c r="G6" s="1"/>
    </row>
    <row r="7" spans="1:8" s="18" customFormat="1" x14ac:dyDescent="0.25">
      <c r="A7" s="12"/>
      <c r="B7" s="13" t="s">
        <v>7</v>
      </c>
      <c r="C7" s="14">
        <f>+SUM(C8:C10)</f>
        <v>20774.5</v>
      </c>
      <c r="D7" s="15">
        <f>+SUM(D8:D10)</f>
        <v>20774500</v>
      </c>
      <c r="E7" s="17"/>
      <c r="F7" s="17"/>
      <c r="G7" s="2"/>
      <c r="H7" s="2"/>
    </row>
    <row r="8" spans="1:8" s="2" customFormat="1" x14ac:dyDescent="0.25">
      <c r="A8" s="12">
        <v>41772</v>
      </c>
      <c r="B8" s="19" t="s">
        <v>350</v>
      </c>
      <c r="C8" s="20">
        <v>9926.5</v>
      </c>
      <c r="D8" s="21">
        <v>9926500</v>
      </c>
      <c r="E8" s="22">
        <v>98348</v>
      </c>
      <c r="F8" s="22">
        <v>4111</v>
      </c>
    </row>
    <row r="9" spans="1:8" s="2" customFormat="1" x14ac:dyDescent="0.25">
      <c r="A9" s="12">
        <v>41913</v>
      </c>
      <c r="B9" s="19" t="s">
        <v>221</v>
      </c>
      <c r="C9" s="20">
        <v>10848</v>
      </c>
      <c r="D9" s="21">
        <v>10848000</v>
      </c>
      <c r="E9" s="22">
        <v>98187</v>
      </c>
      <c r="F9" s="22">
        <v>4111</v>
      </c>
    </row>
    <row r="10" spans="1:8" s="2" customFormat="1" x14ac:dyDescent="0.25">
      <c r="A10" s="12"/>
      <c r="B10" s="23"/>
      <c r="C10" s="20"/>
      <c r="D10" s="21"/>
      <c r="E10" s="22"/>
      <c r="F10" s="22"/>
    </row>
    <row r="11" spans="1:8" s="2" customFormat="1" x14ac:dyDescent="0.25">
      <c r="A11" s="12"/>
      <c r="B11" s="24"/>
      <c r="C11" s="20"/>
      <c r="D11" s="21"/>
      <c r="E11" s="22"/>
      <c r="F11" s="22"/>
    </row>
    <row r="12" spans="1:8" s="2" customFormat="1" x14ac:dyDescent="0.25">
      <c r="A12" s="25"/>
      <c r="B12" s="13" t="s">
        <v>8</v>
      </c>
      <c r="C12" s="26">
        <f>+SUM(C13:C18)</f>
        <v>6581.7029999999995</v>
      </c>
      <c r="D12" s="27">
        <f>+SUM(D13:D18)</f>
        <v>6581703</v>
      </c>
      <c r="E12" s="28"/>
      <c r="F12" s="29"/>
    </row>
    <row r="13" spans="1:8" s="2" customFormat="1" x14ac:dyDescent="0.25">
      <c r="A13" s="25"/>
      <c r="B13" s="19" t="s">
        <v>9</v>
      </c>
      <c r="C13" s="21">
        <v>142.273</v>
      </c>
      <c r="D13" s="21">
        <v>142273</v>
      </c>
      <c r="E13" s="22">
        <v>92241</v>
      </c>
      <c r="F13" s="29">
        <v>4113</v>
      </c>
    </row>
    <row r="14" spans="1:8" s="2" customFormat="1" x14ac:dyDescent="0.25">
      <c r="A14" s="25"/>
      <c r="B14" s="19" t="s">
        <v>10</v>
      </c>
      <c r="C14" s="21">
        <v>133.14400000000001</v>
      </c>
      <c r="D14" s="21">
        <f>55520+14505+55520+6962+637</f>
        <v>133144</v>
      </c>
      <c r="E14" s="22">
        <v>92241</v>
      </c>
      <c r="F14" s="29" t="s">
        <v>11</v>
      </c>
    </row>
    <row r="15" spans="1:8" s="2" customFormat="1" x14ac:dyDescent="0.25">
      <c r="A15" s="25"/>
      <c r="B15" s="19" t="s">
        <v>12</v>
      </c>
      <c r="C15" s="21">
        <f>699.345-270.835</f>
        <v>428.51000000000005</v>
      </c>
      <c r="D15" s="21">
        <f>157670+270835</f>
        <v>428505</v>
      </c>
      <c r="E15" s="22">
        <v>92241</v>
      </c>
      <c r="F15" s="29">
        <v>4113</v>
      </c>
    </row>
    <row r="16" spans="1:8" s="2" customFormat="1" x14ac:dyDescent="0.25">
      <c r="A16" s="25"/>
      <c r="B16" s="19" t="s">
        <v>13</v>
      </c>
      <c r="C16" s="21">
        <v>2012.74</v>
      </c>
      <c r="D16" s="21">
        <f>217791+21018+82424+126687+134825+165995+48588+64784+72882+72882+217791+18006+509931+259136</f>
        <v>2012740</v>
      </c>
      <c r="E16" s="22">
        <v>92241</v>
      </c>
      <c r="F16" s="29" t="s">
        <v>11</v>
      </c>
    </row>
    <row r="17" spans="1:7" s="2" customFormat="1" x14ac:dyDescent="0.25">
      <c r="A17" s="25"/>
      <c r="B17" s="19" t="s">
        <v>14</v>
      </c>
      <c r="C17" s="21">
        <v>1650.95</v>
      </c>
      <c r="D17" s="21">
        <f>345411+215860+272851+345411+215860+255562</f>
        <v>1650955</v>
      </c>
      <c r="E17" s="22">
        <v>92241</v>
      </c>
      <c r="F17" s="29" t="s">
        <v>11</v>
      </c>
    </row>
    <row r="18" spans="1:7" s="2" customFormat="1" x14ac:dyDescent="0.25">
      <c r="A18" s="25"/>
      <c r="B18" s="19" t="s">
        <v>15</v>
      </c>
      <c r="C18" s="21">
        <f>2214.086</f>
        <v>2214.0859999999998</v>
      </c>
      <c r="D18" s="21">
        <f>328516+778527+328516+778527</f>
        <v>2214086</v>
      </c>
      <c r="E18" s="22">
        <v>92241</v>
      </c>
      <c r="F18" s="29" t="s">
        <v>11</v>
      </c>
    </row>
    <row r="19" spans="1:7" s="2" customFormat="1" x14ac:dyDescent="0.25">
      <c r="A19" s="12"/>
      <c r="B19" s="19"/>
      <c r="C19" s="20"/>
      <c r="D19" s="21"/>
      <c r="E19" s="22"/>
      <c r="F19" s="29"/>
    </row>
    <row r="20" spans="1:7" s="2" customFormat="1" x14ac:dyDescent="0.25">
      <c r="A20" s="12"/>
      <c r="B20" s="13" t="s">
        <v>16</v>
      </c>
      <c r="C20" s="30">
        <f>+SUM(C21:C32)</f>
        <v>646.46902</v>
      </c>
      <c r="D20" s="30">
        <f>+SUM(D21:D32)</f>
        <v>646469.02</v>
      </c>
      <c r="E20" s="22"/>
      <c r="F20" s="29"/>
    </row>
    <row r="21" spans="1:7" s="2" customFormat="1" x14ac:dyDescent="0.25">
      <c r="A21" s="12">
        <v>41983</v>
      </c>
      <c r="B21" s="24" t="s">
        <v>337</v>
      </c>
      <c r="C21" s="20">
        <v>97.66095</v>
      </c>
      <c r="D21" s="21">
        <v>97660.95</v>
      </c>
      <c r="E21" s="22">
        <v>90001</v>
      </c>
      <c r="F21" s="29">
        <v>4113</v>
      </c>
    </row>
    <row r="22" spans="1:7" s="2" customFormat="1" x14ac:dyDescent="0.25">
      <c r="A22" s="12">
        <v>41983</v>
      </c>
      <c r="B22" s="24" t="s">
        <v>290</v>
      </c>
      <c r="C22" s="20">
        <v>50.443950000000001</v>
      </c>
      <c r="D22" s="21">
        <v>50443.95</v>
      </c>
      <c r="E22" s="22">
        <v>90001</v>
      </c>
      <c r="F22" s="29">
        <v>4113</v>
      </c>
    </row>
    <row r="23" spans="1:7" s="2" customFormat="1" x14ac:dyDescent="0.25">
      <c r="A23" s="12">
        <v>41983</v>
      </c>
      <c r="B23" s="24" t="s">
        <v>291</v>
      </c>
      <c r="C23" s="20">
        <v>29.169740000000001</v>
      </c>
      <c r="D23" s="21">
        <v>29169.74</v>
      </c>
      <c r="E23" s="22">
        <v>90001</v>
      </c>
      <c r="F23" s="29">
        <v>4113</v>
      </c>
    </row>
    <row r="24" spans="1:7" s="2" customFormat="1" x14ac:dyDescent="0.25">
      <c r="A24" s="12">
        <v>41984</v>
      </c>
      <c r="B24" s="24" t="s">
        <v>292</v>
      </c>
      <c r="C24" s="20">
        <v>68.784959999999998</v>
      </c>
      <c r="D24" s="21">
        <v>68784.960000000006</v>
      </c>
      <c r="E24" s="22">
        <v>90001</v>
      </c>
      <c r="F24" s="29">
        <v>4113</v>
      </c>
    </row>
    <row r="25" spans="1:7" s="2" customFormat="1" x14ac:dyDescent="0.25">
      <c r="A25" s="12">
        <v>41984</v>
      </c>
      <c r="B25" s="24" t="s">
        <v>293</v>
      </c>
      <c r="C25" s="20">
        <v>12.22039</v>
      </c>
      <c r="D25" s="21">
        <v>12220.39</v>
      </c>
      <c r="E25" s="22">
        <v>90001</v>
      </c>
      <c r="F25" s="29">
        <v>4113</v>
      </c>
    </row>
    <row r="26" spans="1:7" s="2" customFormat="1" x14ac:dyDescent="0.25">
      <c r="A26" s="12">
        <v>41984</v>
      </c>
      <c r="B26" s="24" t="s">
        <v>295</v>
      </c>
      <c r="C26" s="20">
        <v>52.724510000000002</v>
      </c>
      <c r="D26" s="21">
        <v>52724.51</v>
      </c>
      <c r="E26" s="22">
        <v>90001</v>
      </c>
      <c r="F26" s="29">
        <v>4113</v>
      </c>
    </row>
    <row r="27" spans="1:7" s="2" customFormat="1" x14ac:dyDescent="0.25">
      <c r="A27" s="12">
        <v>41984</v>
      </c>
      <c r="B27" s="24" t="s">
        <v>296</v>
      </c>
      <c r="C27" s="20">
        <v>94.154309999999995</v>
      </c>
      <c r="D27" s="21">
        <v>94154.31</v>
      </c>
      <c r="E27" s="22">
        <v>90001</v>
      </c>
      <c r="F27" s="29">
        <v>4113</v>
      </c>
    </row>
    <row r="28" spans="1:7" s="2" customFormat="1" x14ac:dyDescent="0.25">
      <c r="A28" s="12">
        <v>41983</v>
      </c>
      <c r="B28" s="24" t="s">
        <v>297</v>
      </c>
      <c r="C28" s="20">
        <v>174.69442000000001</v>
      </c>
      <c r="D28" s="21">
        <v>174694.42</v>
      </c>
      <c r="E28" s="22">
        <v>90001</v>
      </c>
      <c r="F28" s="29">
        <v>4113</v>
      </c>
    </row>
    <row r="29" spans="1:7" s="2" customFormat="1" x14ac:dyDescent="0.25">
      <c r="A29" s="12"/>
      <c r="B29" s="24" t="s">
        <v>108</v>
      </c>
      <c r="C29" s="20">
        <v>3.0779999999999998</v>
      </c>
      <c r="D29" s="21">
        <v>3078</v>
      </c>
      <c r="E29" s="22">
        <v>90001</v>
      </c>
      <c r="F29" s="29">
        <v>4113</v>
      </c>
    </row>
    <row r="30" spans="1:7" s="2" customFormat="1" x14ac:dyDescent="0.25">
      <c r="A30" s="12"/>
      <c r="B30" s="24" t="s">
        <v>239</v>
      </c>
      <c r="C30" s="20">
        <v>15.867050000000001</v>
      </c>
      <c r="D30" s="21">
        <v>15867.05</v>
      </c>
      <c r="E30" s="22">
        <v>90001</v>
      </c>
      <c r="F30" s="29">
        <v>4113</v>
      </c>
    </row>
    <row r="31" spans="1:7" s="2" customFormat="1" x14ac:dyDescent="0.25">
      <c r="A31" s="12"/>
      <c r="B31" s="24" t="s">
        <v>331</v>
      </c>
      <c r="C31" s="20">
        <v>46.763240000000003</v>
      </c>
      <c r="D31" s="21">
        <v>46763.24</v>
      </c>
      <c r="E31" s="22">
        <v>90001</v>
      </c>
      <c r="F31" s="29">
        <v>4113</v>
      </c>
    </row>
    <row r="32" spans="1:7" s="2" customFormat="1" x14ac:dyDescent="0.25">
      <c r="A32" s="12"/>
      <c r="B32" s="24" t="s">
        <v>279</v>
      </c>
      <c r="C32" s="20">
        <v>0.90749999999999997</v>
      </c>
      <c r="D32" s="21">
        <v>907.5</v>
      </c>
      <c r="E32" s="22">
        <v>90001</v>
      </c>
      <c r="F32" s="29">
        <v>4113</v>
      </c>
      <c r="G32" s="146"/>
    </row>
    <row r="33" spans="1:11" s="2" customFormat="1" x14ac:dyDescent="0.25">
      <c r="A33" s="12"/>
      <c r="B33" s="19"/>
      <c r="C33" s="20"/>
      <c r="D33" s="21"/>
      <c r="E33" s="22"/>
      <c r="F33" s="29"/>
    </row>
    <row r="34" spans="1:11" s="2" customFormat="1" x14ac:dyDescent="0.25">
      <c r="A34" s="12"/>
      <c r="B34" s="13" t="s">
        <v>17</v>
      </c>
      <c r="C34" s="30">
        <f>+C35+C36</f>
        <v>149.66088000000002</v>
      </c>
      <c r="D34" s="31">
        <f>+D35+D36</f>
        <v>149660.87999999998</v>
      </c>
      <c r="E34" s="22"/>
      <c r="F34" s="29"/>
    </row>
    <row r="35" spans="1:11" s="2" customFormat="1" x14ac:dyDescent="0.25">
      <c r="A35" s="12"/>
      <c r="B35" s="19" t="s">
        <v>18</v>
      </c>
      <c r="C35" s="20">
        <v>3.8667099999999999</v>
      </c>
      <c r="D35" s="21">
        <v>3866.71</v>
      </c>
      <c r="E35" s="22">
        <v>89450</v>
      </c>
      <c r="F35" s="29">
        <v>4113</v>
      </c>
    </row>
    <row r="36" spans="1:11" s="2" customFormat="1" x14ac:dyDescent="0.25">
      <c r="A36" s="12"/>
      <c r="B36" s="19" t="s">
        <v>18</v>
      </c>
      <c r="C36" s="20">
        <f>73.49605+72.29812</f>
        <v>145.79417000000001</v>
      </c>
      <c r="D36" s="21">
        <f>73496.05+72298.12</f>
        <v>145794.16999999998</v>
      </c>
      <c r="E36" s="22">
        <v>89023</v>
      </c>
      <c r="F36" s="29">
        <v>4113</v>
      </c>
    </row>
    <row r="37" spans="1:11" s="2" customFormat="1" x14ac:dyDescent="0.25">
      <c r="A37" s="12"/>
      <c r="B37" s="32"/>
      <c r="C37" s="20"/>
      <c r="D37" s="150"/>
      <c r="E37" s="147"/>
      <c r="F37" s="22"/>
    </row>
    <row r="38" spans="1:11" s="18" customFormat="1" x14ac:dyDescent="0.25">
      <c r="A38" s="12"/>
      <c r="B38" s="13" t="s">
        <v>19</v>
      </c>
      <c r="C38" s="13">
        <f>SUM(C39:C62)</f>
        <v>18005.657000000003</v>
      </c>
      <c r="D38" s="31">
        <f>SUM(D39:D62)</f>
        <v>19307221</v>
      </c>
      <c r="E38" s="33"/>
      <c r="F38" s="16"/>
      <c r="G38" s="2"/>
      <c r="H38" s="2"/>
      <c r="I38" s="2"/>
      <c r="J38" s="2"/>
    </row>
    <row r="39" spans="1:11" s="2" customFormat="1" x14ac:dyDescent="0.25">
      <c r="A39" s="25">
        <v>41689</v>
      </c>
      <c r="B39" s="19" t="s">
        <v>40</v>
      </c>
      <c r="C39" s="37">
        <v>4544</v>
      </c>
      <c r="D39" s="151">
        <v>4544000</v>
      </c>
      <c r="E39" s="34">
        <v>13010</v>
      </c>
      <c r="F39" s="29">
        <v>4116</v>
      </c>
    </row>
    <row r="40" spans="1:11" s="2" customFormat="1" x14ac:dyDescent="0.25">
      <c r="A40" s="25">
        <v>41766</v>
      </c>
      <c r="B40" s="19" t="s">
        <v>40</v>
      </c>
      <c r="C40" s="37">
        <v>36</v>
      </c>
      <c r="D40" s="152">
        <v>36000</v>
      </c>
      <c r="E40" s="34">
        <v>13010</v>
      </c>
      <c r="F40" s="29">
        <v>4116</v>
      </c>
    </row>
    <row r="41" spans="1:11" s="2" customFormat="1" x14ac:dyDescent="0.25">
      <c r="A41" s="25">
        <v>41970</v>
      </c>
      <c r="B41" s="19" t="s">
        <v>285</v>
      </c>
      <c r="C41" s="20">
        <v>-28</v>
      </c>
      <c r="D41" s="53">
        <v>-28000</v>
      </c>
      <c r="E41" s="149">
        <v>13010</v>
      </c>
      <c r="F41" s="29">
        <v>4116</v>
      </c>
    </row>
    <row r="42" spans="1:11" s="2" customFormat="1" x14ac:dyDescent="0.25">
      <c r="A42" s="12">
        <v>41992</v>
      </c>
      <c r="B42" s="19" t="s">
        <v>40</v>
      </c>
      <c r="C42" s="20">
        <v>12</v>
      </c>
      <c r="D42" s="53">
        <v>12000</v>
      </c>
      <c r="E42" s="147">
        <v>13010</v>
      </c>
      <c r="F42" s="29">
        <v>4116</v>
      </c>
    </row>
    <row r="43" spans="1:11" s="18" customFormat="1" x14ac:dyDescent="0.25">
      <c r="A43" s="12"/>
      <c r="B43" s="19" t="s">
        <v>262</v>
      </c>
      <c r="C43" s="21">
        <v>149</v>
      </c>
      <c r="D43" s="21">
        <v>116387</v>
      </c>
      <c r="E43" s="34">
        <v>13101</v>
      </c>
      <c r="F43" s="29">
        <v>4116</v>
      </c>
      <c r="G43" s="2"/>
      <c r="H43" s="2"/>
      <c r="I43" s="2"/>
      <c r="J43" s="2"/>
      <c r="K43" s="2"/>
    </row>
    <row r="44" spans="1:11" s="2" customFormat="1" x14ac:dyDescent="0.25">
      <c r="A44" s="25"/>
      <c r="B44" s="19" t="s">
        <v>98</v>
      </c>
      <c r="C44" s="20">
        <v>187</v>
      </c>
      <c r="D44" s="21">
        <v>143530</v>
      </c>
      <c r="E44" s="34">
        <v>13101</v>
      </c>
      <c r="F44" s="29" t="s">
        <v>20</v>
      </c>
    </row>
    <row r="45" spans="1:11" s="2" customFormat="1" x14ac:dyDescent="0.25">
      <c r="A45" s="25"/>
      <c r="B45" s="107" t="s">
        <v>263</v>
      </c>
      <c r="C45" s="21">
        <v>258</v>
      </c>
      <c r="D45" s="21">
        <v>257817</v>
      </c>
      <c r="E45" s="35">
        <v>13101</v>
      </c>
      <c r="F45" s="36">
        <v>4116</v>
      </c>
    </row>
    <row r="46" spans="1:11" s="2" customFormat="1" x14ac:dyDescent="0.25">
      <c r="A46" s="25"/>
      <c r="B46" s="107" t="s">
        <v>264</v>
      </c>
      <c r="C46" s="21">
        <v>93</v>
      </c>
      <c r="D46" s="21">
        <v>92384</v>
      </c>
      <c r="E46" s="35">
        <v>13101</v>
      </c>
      <c r="F46" s="36">
        <v>4116</v>
      </c>
    </row>
    <row r="47" spans="1:11" s="18" customFormat="1" x14ac:dyDescent="0.25">
      <c r="A47" s="12"/>
      <c r="B47" s="19" t="s">
        <v>21</v>
      </c>
      <c r="C47" s="21">
        <v>176</v>
      </c>
      <c r="D47" s="21">
        <f>44000+44000+22000+22000+22000+22000</f>
        <v>176000</v>
      </c>
      <c r="E47" s="34">
        <v>13234</v>
      </c>
      <c r="F47" s="29">
        <v>4116</v>
      </c>
      <c r="G47" s="2"/>
      <c r="H47" s="2"/>
      <c r="I47" s="2"/>
      <c r="J47" s="2"/>
      <c r="K47" s="2"/>
    </row>
    <row r="48" spans="1:11" s="18" customFormat="1" x14ac:dyDescent="0.25">
      <c r="A48" s="12"/>
      <c r="B48" s="19" t="s">
        <v>22</v>
      </c>
      <c r="C48" s="21">
        <f>66+187+130</f>
        <v>383</v>
      </c>
      <c r="D48" s="21">
        <v>312284</v>
      </c>
      <c r="E48" s="34">
        <v>13234</v>
      </c>
      <c r="F48" s="29">
        <v>4116</v>
      </c>
      <c r="G48" s="2"/>
      <c r="H48" s="2"/>
      <c r="I48" s="2"/>
      <c r="J48" s="2"/>
      <c r="K48" s="2"/>
    </row>
    <row r="49" spans="1:11" s="18" customFormat="1" x14ac:dyDescent="0.25">
      <c r="A49" s="12"/>
      <c r="B49" s="19" t="s">
        <v>23</v>
      </c>
      <c r="C49" s="21">
        <v>198.88</v>
      </c>
      <c r="D49" s="21">
        <v>198881</v>
      </c>
      <c r="E49" s="34">
        <v>13234</v>
      </c>
      <c r="F49" s="29">
        <v>4116</v>
      </c>
      <c r="G49" s="2"/>
      <c r="H49" s="2"/>
      <c r="I49" s="2"/>
      <c r="J49" s="2"/>
      <c r="K49" s="2"/>
    </row>
    <row r="50" spans="1:11" s="18" customFormat="1" x14ac:dyDescent="0.25">
      <c r="A50" s="12"/>
      <c r="B50" s="19" t="s">
        <v>24</v>
      </c>
      <c r="C50" s="21">
        <v>265</v>
      </c>
      <c r="D50" s="21">
        <v>255484</v>
      </c>
      <c r="E50" s="34">
        <v>13234</v>
      </c>
      <c r="F50" s="29">
        <v>4116</v>
      </c>
      <c r="G50" s="2"/>
      <c r="H50" s="2"/>
      <c r="I50" s="2"/>
      <c r="J50" s="2"/>
      <c r="K50" s="2"/>
    </row>
    <row r="51" spans="1:11" s="18" customFormat="1" x14ac:dyDescent="0.25">
      <c r="A51" s="12"/>
      <c r="B51" s="107" t="s">
        <v>25</v>
      </c>
      <c r="C51" s="21">
        <v>184.25</v>
      </c>
      <c r="D51" s="21">
        <v>184248</v>
      </c>
      <c r="E51" s="108">
        <v>13234</v>
      </c>
      <c r="F51" s="29">
        <v>4116</v>
      </c>
      <c r="G51" s="2"/>
      <c r="H51" s="2"/>
      <c r="I51" s="2"/>
      <c r="J51" s="2"/>
      <c r="K51" s="2"/>
    </row>
    <row r="52" spans="1:11" s="18" customFormat="1" x14ac:dyDescent="0.25">
      <c r="A52" s="12"/>
      <c r="B52" s="107" t="s">
        <v>156</v>
      </c>
      <c r="C52" s="21">
        <v>528</v>
      </c>
      <c r="D52" s="21">
        <v>350314</v>
      </c>
      <c r="E52" s="108">
        <v>13234</v>
      </c>
      <c r="F52" s="29">
        <v>4116</v>
      </c>
      <c r="G52" s="2"/>
      <c r="H52" s="2"/>
      <c r="I52" s="2"/>
      <c r="J52" s="2"/>
      <c r="K52" s="2"/>
    </row>
    <row r="53" spans="1:11" s="18" customFormat="1" x14ac:dyDescent="0.25">
      <c r="A53" s="12"/>
      <c r="B53" s="107" t="s">
        <v>27</v>
      </c>
      <c r="C53" s="21">
        <v>884.64</v>
      </c>
      <c r="D53" s="21">
        <v>929367</v>
      </c>
      <c r="E53" s="34">
        <v>13234</v>
      </c>
      <c r="F53" s="29">
        <v>4116</v>
      </c>
      <c r="G53" s="2"/>
      <c r="H53" s="2"/>
      <c r="I53" s="2"/>
      <c r="J53" s="2"/>
      <c r="K53" s="2"/>
    </row>
    <row r="54" spans="1:11" s="18" customFormat="1" x14ac:dyDescent="0.25">
      <c r="A54" s="12"/>
      <c r="B54" s="107" t="s">
        <v>28</v>
      </c>
      <c r="C54" s="21">
        <f>307.2+108.63</f>
        <v>415.83</v>
      </c>
      <c r="D54" s="21">
        <v>448829</v>
      </c>
      <c r="E54" s="34">
        <v>13234</v>
      </c>
      <c r="F54" s="29">
        <v>4116</v>
      </c>
      <c r="G54" s="2"/>
      <c r="H54" s="2"/>
      <c r="I54" s="2"/>
      <c r="J54" s="2"/>
      <c r="K54" s="2"/>
    </row>
    <row r="55" spans="1:11" s="18" customFormat="1" x14ac:dyDescent="0.25">
      <c r="A55" s="12"/>
      <c r="B55" s="107" t="s">
        <v>29</v>
      </c>
      <c r="C55" s="21">
        <f>1.93+10.91</f>
        <v>12.84</v>
      </c>
      <c r="D55" s="21">
        <f>1275.45+7227.55+4342</f>
        <v>12845</v>
      </c>
      <c r="E55" s="34">
        <v>13234</v>
      </c>
      <c r="F55" s="29">
        <v>4116</v>
      </c>
      <c r="G55" s="2"/>
      <c r="H55" s="2"/>
      <c r="I55" s="2"/>
      <c r="J55" s="2"/>
      <c r="K55" s="2"/>
    </row>
    <row r="56" spans="1:11" s="2" customFormat="1" x14ac:dyDescent="0.25">
      <c r="A56" s="25"/>
      <c r="B56" s="107" t="s">
        <v>30</v>
      </c>
      <c r="C56" s="21">
        <f>417+2363</f>
        <v>2780</v>
      </c>
      <c r="D56" s="21">
        <v>2586233</v>
      </c>
      <c r="E56" s="35">
        <v>13234</v>
      </c>
      <c r="F56" s="29">
        <v>4116</v>
      </c>
    </row>
    <row r="57" spans="1:11" s="18" customFormat="1" x14ac:dyDescent="0.25">
      <c r="A57" s="12"/>
      <c r="B57" s="107" t="s">
        <v>26</v>
      </c>
      <c r="C57" s="21">
        <f>1564+2234+2432.64</f>
        <v>6230.6399999999994</v>
      </c>
      <c r="D57" s="21">
        <v>7967642</v>
      </c>
      <c r="E57" s="34">
        <v>13234</v>
      </c>
      <c r="F57" s="29">
        <v>4116</v>
      </c>
      <c r="G57" s="2"/>
      <c r="H57" s="2"/>
      <c r="I57" s="2"/>
      <c r="J57" s="2"/>
      <c r="K57" s="2"/>
    </row>
    <row r="58" spans="1:11" s="2" customFormat="1" x14ac:dyDescent="0.25">
      <c r="A58" s="25"/>
      <c r="B58" s="107" t="s">
        <v>31</v>
      </c>
      <c r="C58" s="21">
        <v>9</v>
      </c>
      <c r="D58" s="21">
        <v>8844</v>
      </c>
      <c r="E58" s="35" t="s">
        <v>32</v>
      </c>
      <c r="F58" s="29" t="s">
        <v>20</v>
      </c>
    </row>
    <row r="59" spans="1:11" s="2" customFormat="1" x14ac:dyDescent="0.25">
      <c r="A59" s="25"/>
      <c r="B59" s="107" t="s">
        <v>115</v>
      </c>
      <c r="C59" s="21">
        <f>14.85+84.15</f>
        <v>99</v>
      </c>
      <c r="D59" s="21">
        <v>77000</v>
      </c>
      <c r="E59" s="35">
        <v>13234</v>
      </c>
      <c r="F59" s="36">
        <v>4116</v>
      </c>
    </row>
    <row r="60" spans="1:11" s="2" customFormat="1" x14ac:dyDescent="0.25">
      <c r="A60" s="25"/>
      <c r="B60" s="107" t="s">
        <v>33</v>
      </c>
      <c r="C60" s="21">
        <v>375.577</v>
      </c>
      <c r="D60" s="21">
        <f>19741.65+111869.35+117930+61337+64699</f>
        <v>375577</v>
      </c>
      <c r="E60" s="35">
        <v>13234</v>
      </c>
      <c r="F60" s="36">
        <v>4116</v>
      </c>
    </row>
    <row r="61" spans="1:11" s="2" customFormat="1" x14ac:dyDescent="0.25">
      <c r="A61" s="25"/>
      <c r="B61" s="107" t="s">
        <v>34</v>
      </c>
      <c r="C61" s="21">
        <v>102</v>
      </c>
      <c r="D61" s="21">
        <f>1761.3+9980.7+19049+11000+15882+22000+22000</f>
        <v>101673</v>
      </c>
      <c r="E61" s="35">
        <v>13234</v>
      </c>
      <c r="F61" s="36">
        <v>4116</v>
      </c>
    </row>
    <row r="62" spans="1:11" s="2" customFormat="1" x14ac:dyDescent="0.25">
      <c r="A62" s="25"/>
      <c r="B62" s="107" t="s">
        <v>35</v>
      </c>
      <c r="C62" s="21">
        <f>66+44</f>
        <v>110</v>
      </c>
      <c r="D62" s="21">
        <v>147882</v>
      </c>
      <c r="E62" s="35">
        <v>13234</v>
      </c>
      <c r="F62" s="36">
        <v>4116</v>
      </c>
    </row>
    <row r="63" spans="1:11" s="2" customFormat="1" x14ac:dyDescent="0.25">
      <c r="A63" s="25"/>
      <c r="B63" s="23"/>
      <c r="C63" s="37"/>
      <c r="D63" s="21"/>
      <c r="E63" s="35"/>
      <c r="F63" s="36"/>
    </row>
    <row r="64" spans="1:11" s="2" customFormat="1" x14ac:dyDescent="0.25">
      <c r="A64" s="25"/>
      <c r="B64" s="38" t="s">
        <v>36</v>
      </c>
      <c r="C64" s="39">
        <f>+SUM(C65:C105)</f>
        <v>23263</v>
      </c>
      <c r="D64" s="40">
        <f>+SUM(D65:D105)</f>
        <v>23263000</v>
      </c>
      <c r="E64" s="29"/>
      <c r="F64" s="36"/>
    </row>
    <row r="65" spans="1:6" s="2" customFormat="1" x14ac:dyDescent="0.25">
      <c r="A65" s="25">
        <v>41737</v>
      </c>
      <c r="B65" s="107" t="s">
        <v>158</v>
      </c>
      <c r="C65" s="20">
        <v>400</v>
      </c>
      <c r="D65" s="21">
        <v>400000</v>
      </c>
      <c r="E65" s="41">
        <v>34070</v>
      </c>
      <c r="F65" s="36">
        <v>4116</v>
      </c>
    </row>
    <row r="66" spans="1:6" s="2" customFormat="1" x14ac:dyDescent="0.25">
      <c r="A66" s="49">
        <v>41737</v>
      </c>
      <c r="B66" s="107" t="s">
        <v>157</v>
      </c>
      <c r="C66" s="20">
        <v>40</v>
      </c>
      <c r="D66" s="21">
        <v>40000</v>
      </c>
      <c r="E66" s="36">
        <v>34070</v>
      </c>
      <c r="F66" s="36">
        <v>4116</v>
      </c>
    </row>
    <row r="67" spans="1:6" s="2" customFormat="1" x14ac:dyDescent="0.25">
      <c r="A67" s="49">
        <v>41746</v>
      </c>
      <c r="B67" s="107" t="s">
        <v>99</v>
      </c>
      <c r="C67" s="20">
        <v>120</v>
      </c>
      <c r="D67" s="21">
        <v>120000</v>
      </c>
      <c r="E67" s="36">
        <v>34070</v>
      </c>
      <c r="F67" s="36">
        <v>4116</v>
      </c>
    </row>
    <row r="68" spans="1:6" s="2" customFormat="1" x14ac:dyDescent="0.25">
      <c r="A68" s="49">
        <v>41746</v>
      </c>
      <c r="B68" s="107" t="s">
        <v>97</v>
      </c>
      <c r="C68" s="20">
        <v>220</v>
      </c>
      <c r="D68" s="21">
        <v>220000</v>
      </c>
      <c r="E68" s="36">
        <v>34070</v>
      </c>
      <c r="F68" s="36">
        <v>4116</v>
      </c>
    </row>
    <row r="69" spans="1:6" s="2" customFormat="1" x14ac:dyDescent="0.25">
      <c r="A69" s="25">
        <v>41751</v>
      </c>
      <c r="B69" s="107" t="s">
        <v>95</v>
      </c>
      <c r="C69" s="20">
        <v>600</v>
      </c>
      <c r="D69" s="21">
        <v>600000</v>
      </c>
      <c r="E69" s="29">
        <v>34070</v>
      </c>
      <c r="F69" s="29">
        <v>4116</v>
      </c>
    </row>
    <row r="70" spans="1:6" s="2" customFormat="1" x14ac:dyDescent="0.25">
      <c r="A70" s="25">
        <v>41764</v>
      </c>
      <c r="B70" s="107" t="s">
        <v>100</v>
      </c>
      <c r="C70" s="20">
        <v>80</v>
      </c>
      <c r="D70" s="21">
        <v>80000</v>
      </c>
      <c r="E70" s="29">
        <v>34070</v>
      </c>
      <c r="F70" s="29">
        <v>4116</v>
      </c>
    </row>
    <row r="71" spans="1:6" s="2" customFormat="1" x14ac:dyDescent="0.25">
      <c r="A71" s="25">
        <v>41766</v>
      </c>
      <c r="B71" s="107" t="s">
        <v>135</v>
      </c>
      <c r="C71" s="20">
        <v>45</v>
      </c>
      <c r="D71" s="21">
        <v>45000</v>
      </c>
      <c r="E71" s="29">
        <v>34053</v>
      </c>
      <c r="F71" s="29">
        <v>4116</v>
      </c>
    </row>
    <row r="72" spans="1:6" s="2" customFormat="1" x14ac:dyDescent="0.25">
      <c r="A72" s="25">
        <v>41775</v>
      </c>
      <c r="B72" s="107" t="s">
        <v>136</v>
      </c>
      <c r="C72" s="20">
        <v>25</v>
      </c>
      <c r="D72" s="21">
        <v>25000</v>
      </c>
      <c r="E72" s="29">
        <v>34070</v>
      </c>
      <c r="F72" s="29">
        <v>4116</v>
      </c>
    </row>
    <row r="73" spans="1:6" s="2" customFormat="1" x14ac:dyDescent="0.25">
      <c r="A73" s="25">
        <v>41775</v>
      </c>
      <c r="B73" s="107" t="s">
        <v>113</v>
      </c>
      <c r="C73" s="20">
        <v>90</v>
      </c>
      <c r="D73" s="21">
        <v>90000</v>
      </c>
      <c r="E73" s="29">
        <v>34070</v>
      </c>
      <c r="F73" s="29">
        <v>4116</v>
      </c>
    </row>
    <row r="74" spans="1:6" s="2" customFormat="1" x14ac:dyDescent="0.25">
      <c r="A74" s="25">
        <v>41781</v>
      </c>
      <c r="B74" s="107" t="s">
        <v>137</v>
      </c>
      <c r="C74" s="20">
        <v>15</v>
      </c>
      <c r="D74" s="21">
        <v>15000</v>
      </c>
      <c r="E74" s="29">
        <v>34070</v>
      </c>
      <c r="F74" s="29">
        <v>4116</v>
      </c>
    </row>
    <row r="75" spans="1:6" s="2" customFormat="1" x14ac:dyDescent="0.25">
      <c r="A75" s="25">
        <v>41781</v>
      </c>
      <c r="B75" s="107" t="s">
        <v>112</v>
      </c>
      <c r="C75" s="20">
        <v>18</v>
      </c>
      <c r="D75" s="21">
        <v>18000</v>
      </c>
      <c r="E75" s="29">
        <v>34070</v>
      </c>
      <c r="F75" s="29">
        <v>4116</v>
      </c>
    </row>
    <row r="76" spans="1:6" s="2" customFormat="1" x14ac:dyDescent="0.25">
      <c r="A76" s="25">
        <v>41781</v>
      </c>
      <c r="B76" s="107" t="s">
        <v>138</v>
      </c>
      <c r="C76" s="20">
        <v>19</v>
      </c>
      <c r="D76" s="21">
        <v>19000</v>
      </c>
      <c r="E76" s="29">
        <v>34070</v>
      </c>
      <c r="F76" s="29">
        <v>4116</v>
      </c>
    </row>
    <row r="77" spans="1:6" s="2" customFormat="1" x14ac:dyDescent="0.25">
      <c r="A77" s="25">
        <v>41787</v>
      </c>
      <c r="B77" s="107" t="s">
        <v>105</v>
      </c>
      <c r="C77" s="20">
        <v>90</v>
      </c>
      <c r="D77" s="21">
        <v>90000</v>
      </c>
      <c r="E77" s="29">
        <v>34053</v>
      </c>
      <c r="F77" s="29">
        <v>4116</v>
      </c>
    </row>
    <row r="78" spans="1:6" s="2" customFormat="1" x14ac:dyDescent="0.25">
      <c r="A78" s="25">
        <v>41788</v>
      </c>
      <c r="B78" s="107" t="s">
        <v>139</v>
      </c>
      <c r="C78" s="20">
        <v>100</v>
      </c>
      <c r="D78" s="21">
        <v>100000</v>
      </c>
      <c r="E78" s="29">
        <v>34070</v>
      </c>
      <c r="F78" s="29">
        <v>4116</v>
      </c>
    </row>
    <row r="79" spans="1:6" s="2" customFormat="1" x14ac:dyDescent="0.25">
      <c r="A79" s="25">
        <v>41788</v>
      </c>
      <c r="B79" s="107" t="s">
        <v>140</v>
      </c>
      <c r="C79" s="20">
        <v>100</v>
      </c>
      <c r="D79" s="21">
        <v>100000</v>
      </c>
      <c r="E79" s="29">
        <v>34070</v>
      </c>
      <c r="F79" s="29">
        <v>4116</v>
      </c>
    </row>
    <row r="80" spans="1:6" s="2" customFormat="1" x14ac:dyDescent="0.25">
      <c r="A80" s="25">
        <v>41788</v>
      </c>
      <c r="B80" s="107" t="s">
        <v>141</v>
      </c>
      <c r="C80" s="20">
        <v>100</v>
      </c>
      <c r="D80" s="21">
        <v>100000</v>
      </c>
      <c r="E80" s="29">
        <v>34070</v>
      </c>
      <c r="F80" s="29">
        <v>4116</v>
      </c>
    </row>
    <row r="81" spans="1:6" s="2" customFormat="1" x14ac:dyDescent="0.25">
      <c r="A81" s="25">
        <v>41801</v>
      </c>
      <c r="B81" s="107" t="s">
        <v>124</v>
      </c>
      <c r="C81" s="20">
        <v>30</v>
      </c>
      <c r="D81" s="21">
        <v>30000</v>
      </c>
      <c r="E81" s="29">
        <v>34194</v>
      </c>
      <c r="F81" s="29">
        <v>4116</v>
      </c>
    </row>
    <row r="82" spans="1:6" s="2" customFormat="1" x14ac:dyDescent="0.25">
      <c r="A82" s="25">
        <v>41815</v>
      </c>
      <c r="B82" s="107" t="s">
        <v>142</v>
      </c>
      <c r="C82" s="20">
        <v>1100</v>
      </c>
      <c r="D82" s="21">
        <v>1100000</v>
      </c>
      <c r="E82" s="29">
        <v>34352</v>
      </c>
      <c r="F82" s="29">
        <v>4116</v>
      </c>
    </row>
    <row r="83" spans="1:6" s="2" customFormat="1" x14ac:dyDescent="0.25">
      <c r="A83" s="25">
        <v>41820</v>
      </c>
      <c r="B83" s="107" t="s">
        <v>133</v>
      </c>
      <c r="C83" s="20">
        <v>114</v>
      </c>
      <c r="D83" s="21">
        <v>114000</v>
      </c>
      <c r="E83" s="29">
        <v>34001</v>
      </c>
      <c r="F83" s="29">
        <v>4116</v>
      </c>
    </row>
    <row r="84" spans="1:6" s="2" customFormat="1" x14ac:dyDescent="0.25">
      <c r="A84" s="25">
        <v>41822</v>
      </c>
      <c r="B84" s="107" t="s">
        <v>164</v>
      </c>
      <c r="C84" s="20">
        <v>5920</v>
      </c>
      <c r="D84" s="21">
        <v>5920000</v>
      </c>
      <c r="E84" s="29">
        <v>34352</v>
      </c>
      <c r="F84" s="29">
        <v>4116</v>
      </c>
    </row>
    <row r="85" spans="1:6" s="2" customFormat="1" x14ac:dyDescent="0.25">
      <c r="A85" s="25">
        <v>41822</v>
      </c>
      <c r="B85" s="107" t="s">
        <v>165</v>
      </c>
      <c r="C85" s="20">
        <v>2340</v>
      </c>
      <c r="D85" s="21">
        <v>2340000</v>
      </c>
      <c r="E85" s="29">
        <v>34352</v>
      </c>
      <c r="F85" s="29">
        <v>4116</v>
      </c>
    </row>
    <row r="86" spans="1:6" s="2" customFormat="1" x14ac:dyDescent="0.25">
      <c r="A86" s="25">
        <v>41822</v>
      </c>
      <c r="B86" s="107" t="s">
        <v>166</v>
      </c>
      <c r="C86" s="20">
        <v>2330</v>
      </c>
      <c r="D86" s="21">
        <v>2330000</v>
      </c>
      <c r="E86" s="29">
        <v>34352</v>
      </c>
      <c r="F86" s="29">
        <v>4116</v>
      </c>
    </row>
    <row r="87" spans="1:6" s="2" customFormat="1" x14ac:dyDescent="0.25">
      <c r="A87" s="25">
        <v>41824</v>
      </c>
      <c r="B87" s="107" t="s">
        <v>174</v>
      </c>
      <c r="C87" s="20">
        <v>140</v>
      </c>
      <c r="D87" s="21">
        <v>140000</v>
      </c>
      <c r="E87" s="29">
        <v>34001</v>
      </c>
      <c r="F87" s="29">
        <v>4116</v>
      </c>
    </row>
    <row r="88" spans="1:6" s="2" customFormat="1" x14ac:dyDescent="0.25">
      <c r="A88" s="25">
        <v>41828</v>
      </c>
      <c r="B88" s="107" t="s">
        <v>176</v>
      </c>
      <c r="C88" s="20">
        <v>650</v>
      </c>
      <c r="D88" s="21">
        <v>650000</v>
      </c>
      <c r="E88" s="29">
        <v>34352</v>
      </c>
      <c r="F88" s="29">
        <v>4116</v>
      </c>
    </row>
    <row r="89" spans="1:6" s="2" customFormat="1" x14ac:dyDescent="0.25">
      <c r="A89" s="25">
        <v>41835</v>
      </c>
      <c r="B89" s="107" t="s">
        <v>178</v>
      </c>
      <c r="C89" s="20">
        <v>340</v>
      </c>
      <c r="D89" s="21">
        <v>340000</v>
      </c>
      <c r="E89" s="29">
        <v>34070</v>
      </c>
      <c r="F89" s="29">
        <v>4116</v>
      </c>
    </row>
    <row r="90" spans="1:6" s="2" customFormat="1" x14ac:dyDescent="0.25">
      <c r="A90" s="25">
        <v>41835</v>
      </c>
      <c r="B90" s="107" t="s">
        <v>179</v>
      </c>
      <c r="C90" s="20">
        <v>450</v>
      </c>
      <c r="D90" s="21">
        <v>450000</v>
      </c>
      <c r="E90" s="29">
        <v>34070</v>
      </c>
      <c r="F90" s="29">
        <v>4116</v>
      </c>
    </row>
    <row r="91" spans="1:6" s="2" customFormat="1" x14ac:dyDescent="0.25">
      <c r="A91" s="25">
        <v>41835</v>
      </c>
      <c r="B91" s="107" t="s">
        <v>180</v>
      </c>
      <c r="C91" s="20">
        <v>80</v>
      </c>
      <c r="D91" s="21">
        <v>80000</v>
      </c>
      <c r="E91" s="29">
        <v>34070</v>
      </c>
      <c r="F91" s="29">
        <v>4116</v>
      </c>
    </row>
    <row r="92" spans="1:6" s="2" customFormat="1" x14ac:dyDescent="0.25">
      <c r="A92" s="25">
        <v>41850</v>
      </c>
      <c r="B92" s="107" t="s">
        <v>170</v>
      </c>
      <c r="C92" s="20">
        <v>150</v>
      </c>
      <c r="D92" s="21">
        <v>150000</v>
      </c>
      <c r="E92" s="29">
        <v>34070</v>
      </c>
      <c r="F92" s="29">
        <v>4116</v>
      </c>
    </row>
    <row r="93" spans="1:6" s="2" customFormat="1" x14ac:dyDescent="0.25">
      <c r="A93" s="25">
        <v>41912</v>
      </c>
      <c r="B93" s="107" t="s">
        <v>211</v>
      </c>
      <c r="C93" s="20">
        <v>456</v>
      </c>
      <c r="D93" s="21">
        <v>456000</v>
      </c>
      <c r="E93" s="29">
        <v>34002</v>
      </c>
      <c r="F93" s="29">
        <v>4116</v>
      </c>
    </row>
    <row r="94" spans="1:6" s="2" customFormat="1" x14ac:dyDescent="0.25">
      <c r="A94" s="25">
        <v>41915</v>
      </c>
      <c r="B94" s="107" t="s">
        <v>232</v>
      </c>
      <c r="C94" s="20">
        <v>1880</v>
      </c>
      <c r="D94" s="21">
        <v>1880000</v>
      </c>
      <c r="E94" s="29">
        <v>34054</v>
      </c>
      <c r="F94" s="29">
        <v>4116</v>
      </c>
    </row>
    <row r="95" spans="1:6" s="2" customFormat="1" x14ac:dyDescent="0.25">
      <c r="A95" s="25">
        <v>41915</v>
      </c>
      <c r="B95" s="107" t="s">
        <v>233</v>
      </c>
      <c r="C95" s="20">
        <v>1446</v>
      </c>
      <c r="D95" s="21">
        <v>1446000</v>
      </c>
      <c r="E95" s="29">
        <v>34002</v>
      </c>
      <c r="F95" s="29">
        <v>4116</v>
      </c>
    </row>
    <row r="96" spans="1:6" s="2" customFormat="1" x14ac:dyDescent="0.25">
      <c r="A96" s="25">
        <v>41928</v>
      </c>
      <c r="B96" s="107" t="s">
        <v>231</v>
      </c>
      <c r="C96" s="20">
        <v>350</v>
      </c>
      <c r="D96" s="21">
        <v>350000</v>
      </c>
      <c r="E96" s="29">
        <v>34070</v>
      </c>
      <c r="F96" s="29">
        <v>4116</v>
      </c>
    </row>
    <row r="97" spans="1:8" s="2" customFormat="1" x14ac:dyDescent="0.25">
      <c r="A97" s="25">
        <v>41942</v>
      </c>
      <c r="B97" s="107" t="s">
        <v>249</v>
      </c>
      <c r="C97" s="20">
        <v>80</v>
      </c>
      <c r="D97" s="21">
        <v>80000</v>
      </c>
      <c r="E97" s="29">
        <v>34070</v>
      </c>
      <c r="F97" s="29">
        <v>4116</v>
      </c>
    </row>
    <row r="98" spans="1:8" s="2" customFormat="1" x14ac:dyDescent="0.25">
      <c r="A98" s="25">
        <v>41955</v>
      </c>
      <c r="B98" s="107" t="s">
        <v>176</v>
      </c>
      <c r="C98" s="20">
        <v>90</v>
      </c>
      <c r="D98" s="21">
        <v>90000</v>
      </c>
      <c r="E98" s="29">
        <v>34352</v>
      </c>
      <c r="F98" s="29">
        <v>4116</v>
      </c>
    </row>
    <row r="99" spans="1:8" s="2" customFormat="1" x14ac:dyDescent="0.25">
      <c r="A99" s="25">
        <v>41955</v>
      </c>
      <c r="B99" s="107" t="s">
        <v>164</v>
      </c>
      <c r="C99" s="20">
        <v>845</v>
      </c>
      <c r="D99" s="21">
        <v>845000</v>
      </c>
      <c r="E99" s="29">
        <v>34352</v>
      </c>
      <c r="F99" s="29">
        <v>4116</v>
      </c>
    </row>
    <row r="100" spans="1:8" s="2" customFormat="1" x14ac:dyDescent="0.25">
      <c r="A100" s="25">
        <v>41955</v>
      </c>
      <c r="B100" s="107" t="s">
        <v>165</v>
      </c>
      <c r="C100" s="20">
        <v>330</v>
      </c>
      <c r="D100" s="20">
        <v>330000</v>
      </c>
      <c r="E100" s="29">
        <v>34352</v>
      </c>
      <c r="F100" s="29">
        <v>4116</v>
      </c>
    </row>
    <row r="101" spans="1:8" s="2" customFormat="1" x14ac:dyDescent="0.25">
      <c r="A101" s="25">
        <v>41964</v>
      </c>
      <c r="B101" s="107" t="s">
        <v>271</v>
      </c>
      <c r="C101" s="20">
        <v>160</v>
      </c>
      <c r="D101" s="20">
        <v>160000</v>
      </c>
      <c r="E101" s="29">
        <v>34352</v>
      </c>
      <c r="F101" s="29">
        <v>4116</v>
      </c>
    </row>
    <row r="102" spans="1:8" s="2" customFormat="1" x14ac:dyDescent="0.25">
      <c r="A102" s="25">
        <v>41964</v>
      </c>
      <c r="B102" s="107" t="s">
        <v>270</v>
      </c>
      <c r="C102" s="20">
        <v>1050</v>
      </c>
      <c r="D102" s="20">
        <v>1050000</v>
      </c>
      <c r="E102" s="29">
        <v>34070</v>
      </c>
      <c r="F102" s="29">
        <v>4116</v>
      </c>
    </row>
    <row r="103" spans="1:8" s="2" customFormat="1" x14ac:dyDescent="0.25">
      <c r="A103" s="25">
        <v>41977</v>
      </c>
      <c r="B103" s="107" t="s">
        <v>288</v>
      </c>
      <c r="C103" s="20">
        <v>330</v>
      </c>
      <c r="D103" s="20">
        <v>330000</v>
      </c>
      <c r="E103" s="29">
        <v>34352</v>
      </c>
      <c r="F103" s="29">
        <v>4116</v>
      </c>
    </row>
    <row r="104" spans="1:8" s="2" customFormat="1" x14ac:dyDescent="0.25">
      <c r="A104" s="25"/>
      <c r="B104" s="107" t="s">
        <v>177</v>
      </c>
      <c r="C104" s="20">
        <f>470+70</f>
        <v>540</v>
      </c>
      <c r="D104" s="21">
        <f>470000+70000</f>
        <v>540000</v>
      </c>
      <c r="E104" s="29">
        <v>34352</v>
      </c>
      <c r="F104" s="29">
        <v>4116</v>
      </c>
    </row>
    <row r="105" spans="1:8" x14ac:dyDescent="0.25">
      <c r="A105" s="50"/>
      <c r="B105" s="107"/>
      <c r="C105" s="115"/>
      <c r="D105" s="21"/>
      <c r="E105" s="51"/>
      <c r="F105" s="51"/>
      <c r="G105" s="2"/>
      <c r="H105" s="2"/>
    </row>
    <row r="106" spans="1:8" s="2" customFormat="1" x14ac:dyDescent="0.25">
      <c r="A106" s="25"/>
      <c r="B106" s="38" t="s">
        <v>37</v>
      </c>
      <c r="C106" s="39">
        <f>SUM(C107:C118)</f>
        <v>25963.518090000001</v>
      </c>
      <c r="D106" s="40">
        <f>SUM(D107:D118)</f>
        <v>25963518.090000004</v>
      </c>
      <c r="E106" s="29"/>
      <c r="F106" s="36"/>
    </row>
    <row r="107" spans="1:8" s="2" customFormat="1" x14ac:dyDescent="0.25">
      <c r="A107" s="25">
        <v>41696</v>
      </c>
      <c r="B107" s="107" t="s">
        <v>73</v>
      </c>
      <c r="C107" s="52">
        <v>477.3768</v>
      </c>
      <c r="D107" s="53">
        <v>477376.8</v>
      </c>
      <c r="E107" s="29">
        <v>33123</v>
      </c>
      <c r="F107" s="36" t="s">
        <v>20</v>
      </c>
    </row>
    <row r="108" spans="1:8" s="2" customFormat="1" x14ac:dyDescent="0.25">
      <c r="A108" s="25">
        <v>41697</v>
      </c>
      <c r="B108" s="107" t="s">
        <v>74</v>
      </c>
      <c r="C108" s="52">
        <v>67.2</v>
      </c>
      <c r="D108" s="55">
        <v>67200</v>
      </c>
      <c r="E108" s="29">
        <v>33122</v>
      </c>
      <c r="F108" s="36">
        <v>4116</v>
      </c>
    </row>
    <row r="109" spans="1:8" s="2" customFormat="1" x14ac:dyDescent="0.25">
      <c r="A109" s="25">
        <v>41716</v>
      </c>
      <c r="B109" s="107" t="s">
        <v>79</v>
      </c>
      <c r="C109" s="52">
        <v>108.288</v>
      </c>
      <c r="D109" s="55">
        <v>108288</v>
      </c>
      <c r="E109" s="29">
        <v>33019</v>
      </c>
      <c r="F109" s="36">
        <v>4116</v>
      </c>
    </row>
    <row r="110" spans="1:8" s="2" customFormat="1" x14ac:dyDescent="0.25">
      <c r="A110" s="25">
        <v>41773</v>
      </c>
      <c r="B110" s="107" t="s">
        <v>159</v>
      </c>
      <c r="C110" s="52">
        <v>30</v>
      </c>
      <c r="D110" s="114">
        <v>30000</v>
      </c>
      <c r="E110" s="29">
        <v>33246</v>
      </c>
      <c r="F110" s="36">
        <v>4116</v>
      </c>
    </row>
    <row r="111" spans="1:8" s="2" customFormat="1" x14ac:dyDescent="0.25">
      <c r="A111" s="25">
        <v>41792</v>
      </c>
      <c r="B111" s="24" t="s">
        <v>118</v>
      </c>
      <c r="C111" s="52">
        <v>700.51199999999994</v>
      </c>
      <c r="D111" s="55">
        <v>700512</v>
      </c>
      <c r="E111" s="28">
        <v>33123</v>
      </c>
      <c r="F111" s="36">
        <v>4116</v>
      </c>
    </row>
    <row r="112" spans="1:8" s="2" customFormat="1" x14ac:dyDescent="0.25">
      <c r="A112" s="25">
        <v>41858</v>
      </c>
      <c r="B112" s="24" t="s">
        <v>188</v>
      </c>
      <c r="C112" s="53">
        <v>11999.833000000001</v>
      </c>
      <c r="D112" s="55">
        <f>10199858.05+1799974.95</f>
        <v>11999833</v>
      </c>
      <c r="E112" s="28">
        <v>33019</v>
      </c>
      <c r="F112" s="36">
        <v>4116</v>
      </c>
    </row>
    <row r="113" spans="1:6" s="2" customFormat="1" x14ac:dyDescent="0.25">
      <c r="A113" s="25">
        <v>41871</v>
      </c>
      <c r="B113" s="24" t="s">
        <v>196</v>
      </c>
      <c r="C113" s="53">
        <v>2673.1238199999998</v>
      </c>
      <c r="D113" s="55">
        <f>2272155.24+400968.58</f>
        <v>2673123.8200000003</v>
      </c>
      <c r="E113" s="28">
        <v>33019</v>
      </c>
      <c r="F113" s="36">
        <v>4116</v>
      </c>
    </row>
    <row r="114" spans="1:6" s="2" customFormat="1" x14ac:dyDescent="0.25">
      <c r="A114" s="25">
        <v>41877</v>
      </c>
      <c r="B114" s="24" t="s">
        <v>197</v>
      </c>
      <c r="C114" s="53">
        <v>1863.2159999999999</v>
      </c>
      <c r="D114" s="55">
        <v>1863216</v>
      </c>
      <c r="E114" s="28">
        <v>33019</v>
      </c>
      <c r="F114" s="36">
        <v>4116</v>
      </c>
    </row>
    <row r="115" spans="1:6" s="2" customFormat="1" x14ac:dyDescent="0.25">
      <c r="A115" s="25">
        <v>41964</v>
      </c>
      <c r="B115" s="24" t="s">
        <v>272</v>
      </c>
      <c r="C115" s="53">
        <v>2042.6949999999999</v>
      </c>
      <c r="D115" s="55">
        <f>1736290.74+306404.26</f>
        <v>2042695</v>
      </c>
      <c r="E115" s="28">
        <v>33019</v>
      </c>
      <c r="F115" s="36">
        <v>4116</v>
      </c>
    </row>
    <row r="116" spans="1:6" s="2" customFormat="1" x14ac:dyDescent="0.25">
      <c r="A116" s="25">
        <v>41981</v>
      </c>
      <c r="B116" s="24" t="s">
        <v>196</v>
      </c>
      <c r="C116" s="53">
        <v>1857.6276399999999</v>
      </c>
      <c r="D116" s="55">
        <v>1857627.64</v>
      </c>
      <c r="E116" s="28">
        <v>33019</v>
      </c>
      <c r="F116" s="36">
        <v>4116</v>
      </c>
    </row>
    <row r="117" spans="1:6" s="2" customFormat="1" x14ac:dyDescent="0.25">
      <c r="A117" s="25">
        <v>41990</v>
      </c>
      <c r="B117" s="24" t="s">
        <v>188</v>
      </c>
      <c r="C117" s="53">
        <v>4143.6458300000004</v>
      </c>
      <c r="D117" s="55">
        <v>4143645.83</v>
      </c>
      <c r="E117" s="28">
        <v>33019</v>
      </c>
      <c r="F117" s="36">
        <v>4116</v>
      </c>
    </row>
    <row r="118" spans="1:6" s="2" customFormat="1" x14ac:dyDescent="0.25">
      <c r="A118" s="25"/>
      <c r="B118" s="54"/>
      <c r="C118" s="47"/>
      <c r="D118" s="55"/>
      <c r="E118" s="28"/>
      <c r="F118" s="36"/>
    </row>
    <row r="119" spans="1:6" s="2" customFormat="1" x14ac:dyDescent="0.25">
      <c r="A119" s="25"/>
      <c r="B119" s="13" t="s">
        <v>38</v>
      </c>
      <c r="C119" s="30">
        <f>+SUM(C120:C123)</f>
        <v>5126.6240000000007</v>
      </c>
      <c r="D119" s="31">
        <f>+SUM(D120:D123)</f>
        <v>5126624</v>
      </c>
      <c r="E119" s="28"/>
      <c r="F119" s="29"/>
    </row>
    <row r="120" spans="1:6" s="2" customFormat="1" x14ac:dyDescent="0.25">
      <c r="A120" s="25">
        <v>41705</v>
      </c>
      <c r="B120" s="107" t="s">
        <v>78</v>
      </c>
      <c r="C120" s="52">
        <v>626.42600000000004</v>
      </c>
      <c r="D120" s="53">
        <v>626426</v>
      </c>
      <c r="E120" s="28">
        <v>17003</v>
      </c>
      <c r="F120" s="29" t="s">
        <v>20</v>
      </c>
    </row>
    <row r="121" spans="1:6" s="2" customFormat="1" x14ac:dyDescent="0.25">
      <c r="A121" s="25"/>
      <c r="B121" s="107" t="s">
        <v>332</v>
      </c>
      <c r="C121" s="52">
        <v>3500</v>
      </c>
      <c r="D121" s="53">
        <v>3500000</v>
      </c>
      <c r="E121" s="28">
        <v>17005</v>
      </c>
      <c r="F121" s="29">
        <v>4116</v>
      </c>
    </row>
    <row r="122" spans="1:6" s="2" customFormat="1" x14ac:dyDescent="0.25">
      <c r="A122" s="25"/>
      <c r="B122" s="107" t="s">
        <v>237</v>
      </c>
      <c r="C122" s="52">
        <v>1000.198</v>
      </c>
      <c r="D122" s="53">
        <v>1000198</v>
      </c>
      <c r="E122" s="28">
        <v>17005</v>
      </c>
      <c r="F122" s="29">
        <v>4116</v>
      </c>
    </row>
    <row r="123" spans="1:6" s="2" customFormat="1" x14ac:dyDescent="0.25">
      <c r="A123" s="25"/>
      <c r="B123" s="57"/>
      <c r="C123" s="52"/>
      <c r="D123" s="53"/>
      <c r="E123" s="28"/>
      <c r="F123" s="29"/>
    </row>
    <row r="124" spans="1:6" s="2" customFormat="1" x14ac:dyDescent="0.25">
      <c r="A124" s="25"/>
      <c r="B124" s="30" t="s">
        <v>39</v>
      </c>
      <c r="C124" s="30">
        <f>+SUM(C125:C138)</f>
        <v>88569.185320000019</v>
      </c>
      <c r="D124" s="31">
        <f>+SUM(D125:D138)</f>
        <v>88569181.11999999</v>
      </c>
      <c r="E124" s="28"/>
      <c r="F124" s="29"/>
    </row>
    <row r="125" spans="1:6" s="2" customFormat="1" x14ac:dyDescent="0.25">
      <c r="A125" s="25">
        <v>41722</v>
      </c>
      <c r="B125" s="19" t="s">
        <v>86</v>
      </c>
      <c r="C125" s="20">
        <v>16575.733</v>
      </c>
      <c r="D125" s="53">
        <v>16575733</v>
      </c>
      <c r="E125" s="28">
        <v>13011</v>
      </c>
      <c r="F125" s="29">
        <v>4116</v>
      </c>
    </row>
    <row r="126" spans="1:6" s="2" customFormat="1" x14ac:dyDescent="0.25">
      <c r="A126" s="25">
        <v>41737</v>
      </c>
      <c r="B126" s="19" t="s">
        <v>93</v>
      </c>
      <c r="C126" s="20">
        <v>5266</v>
      </c>
      <c r="D126" s="53">
        <v>5266000</v>
      </c>
      <c r="E126" s="28">
        <v>13305</v>
      </c>
      <c r="F126" s="29">
        <v>4116</v>
      </c>
    </row>
    <row r="127" spans="1:6" s="2" customFormat="1" x14ac:dyDescent="0.25">
      <c r="A127" s="25">
        <v>41813</v>
      </c>
      <c r="B127" s="19" t="s">
        <v>93</v>
      </c>
      <c r="C127" s="20">
        <v>3949.5</v>
      </c>
      <c r="D127" s="53">
        <v>3949500</v>
      </c>
      <c r="E127" s="28">
        <v>13305</v>
      </c>
      <c r="F127" s="29">
        <v>4116</v>
      </c>
    </row>
    <row r="128" spans="1:6" s="2" customFormat="1" x14ac:dyDescent="0.25">
      <c r="A128" s="25">
        <v>41834</v>
      </c>
      <c r="B128" s="19" t="s">
        <v>86</v>
      </c>
      <c r="C128" s="20">
        <v>19604.287</v>
      </c>
      <c r="D128" s="53">
        <v>19604287</v>
      </c>
      <c r="E128" s="28">
        <v>13011</v>
      </c>
      <c r="F128" s="29">
        <v>4116</v>
      </c>
    </row>
    <row r="129" spans="1:8" s="2" customFormat="1" x14ac:dyDescent="0.25">
      <c r="A129" s="25">
        <v>41857</v>
      </c>
      <c r="B129" s="19" t="s">
        <v>191</v>
      </c>
      <c r="C129" s="20">
        <v>5207.2613099999999</v>
      </c>
      <c r="D129" s="53">
        <v>5207261.3099999996</v>
      </c>
      <c r="E129" s="28">
        <v>13011</v>
      </c>
      <c r="F129" s="29">
        <v>4116</v>
      </c>
    </row>
    <row r="130" spans="1:8" s="2" customFormat="1" x14ac:dyDescent="0.25">
      <c r="A130" s="25">
        <v>41914</v>
      </c>
      <c r="B130" s="19" t="s">
        <v>93</v>
      </c>
      <c r="C130" s="20">
        <v>3949.5</v>
      </c>
      <c r="D130" s="53">
        <v>3949500</v>
      </c>
      <c r="E130" s="28">
        <v>13305</v>
      </c>
      <c r="F130" s="29">
        <v>4116</v>
      </c>
    </row>
    <row r="131" spans="1:8" s="2" customFormat="1" x14ac:dyDescent="0.25">
      <c r="A131" s="25">
        <v>41914</v>
      </c>
      <c r="B131" s="19" t="s">
        <v>230</v>
      </c>
      <c r="C131" s="20">
        <v>22777.8</v>
      </c>
      <c r="D131" s="53">
        <v>22777800</v>
      </c>
      <c r="E131" s="28">
        <v>13305</v>
      </c>
      <c r="F131" s="29">
        <v>4116</v>
      </c>
    </row>
    <row r="132" spans="1:8" s="2" customFormat="1" x14ac:dyDescent="0.25">
      <c r="A132" s="25">
        <v>41989</v>
      </c>
      <c r="B132" s="19" t="s">
        <v>93</v>
      </c>
      <c r="C132" s="20">
        <v>115.7</v>
      </c>
      <c r="D132" s="53">
        <v>115700</v>
      </c>
      <c r="E132" s="28">
        <v>13305</v>
      </c>
      <c r="F132" s="29">
        <v>4116</v>
      </c>
    </row>
    <row r="133" spans="1:8" s="2" customFormat="1" x14ac:dyDescent="0.25">
      <c r="A133" s="25">
        <v>41989</v>
      </c>
      <c r="B133" s="19" t="s">
        <v>230</v>
      </c>
      <c r="C133" s="20">
        <v>4767</v>
      </c>
      <c r="D133" s="53">
        <v>4767000</v>
      </c>
      <c r="E133" s="28">
        <v>13305</v>
      </c>
      <c r="F133" s="29">
        <v>4116</v>
      </c>
    </row>
    <row r="134" spans="1:8" s="2" customFormat="1" x14ac:dyDescent="0.25">
      <c r="A134" s="25"/>
      <c r="B134" s="19" t="s">
        <v>225</v>
      </c>
      <c r="C134" s="20">
        <f>1293.3+263.8</f>
        <v>1557.1</v>
      </c>
      <c r="D134" s="53">
        <f>1293300+263800</f>
        <v>1557100</v>
      </c>
      <c r="E134" s="28">
        <v>13305</v>
      </c>
      <c r="F134" s="29">
        <v>4116</v>
      </c>
    </row>
    <row r="135" spans="1:8" s="2" customFormat="1" x14ac:dyDescent="0.25">
      <c r="A135" s="25"/>
      <c r="B135" s="19" t="s">
        <v>41</v>
      </c>
      <c r="C135" s="20">
        <v>2572.98</v>
      </c>
      <c r="D135" s="53">
        <f>1203617.34+63348.29+1240709.66+65300.51</f>
        <v>2572975.7999999998</v>
      </c>
      <c r="E135" s="28">
        <v>13233</v>
      </c>
      <c r="F135" s="29">
        <v>4116</v>
      </c>
    </row>
    <row r="136" spans="1:8" s="2" customFormat="1" x14ac:dyDescent="0.25">
      <c r="A136" s="25"/>
      <c r="B136" s="19" t="s">
        <v>42</v>
      </c>
      <c r="C136" s="20">
        <v>330.40613999999999</v>
      </c>
      <c r="D136" s="53">
        <f>84165.53+92536.49+130648.5+23055.62</f>
        <v>330406.14</v>
      </c>
      <c r="E136" s="28">
        <v>13233</v>
      </c>
      <c r="F136" s="29">
        <v>4116</v>
      </c>
    </row>
    <row r="137" spans="1:8" s="2" customFormat="1" x14ac:dyDescent="0.25">
      <c r="A137" s="25"/>
      <c r="B137" s="19" t="s">
        <v>160</v>
      </c>
      <c r="C137" s="52">
        <f>1163.76986-62.01137</f>
        <v>1101.7584900000002</v>
      </c>
      <c r="D137" s="53">
        <f>1163769.86-62011.37</f>
        <v>1101758.49</v>
      </c>
      <c r="E137" s="28">
        <v>13233</v>
      </c>
      <c r="F137" s="29">
        <v>4116</v>
      </c>
    </row>
    <row r="138" spans="1:8" s="2" customFormat="1" x14ac:dyDescent="0.25">
      <c r="A138" s="25"/>
      <c r="B138" s="23" t="s">
        <v>190</v>
      </c>
      <c r="C138" s="52">
        <f>473.776+320.38338</f>
        <v>794.15938000000006</v>
      </c>
      <c r="D138" s="53">
        <f>473776+320383.38</f>
        <v>794159.38</v>
      </c>
      <c r="E138" s="28">
        <v>13233</v>
      </c>
      <c r="F138" s="29">
        <v>4116</v>
      </c>
    </row>
    <row r="139" spans="1:8" x14ac:dyDescent="0.25">
      <c r="A139" s="50"/>
      <c r="B139" s="58"/>
      <c r="C139" s="46"/>
      <c r="D139" s="56"/>
      <c r="E139" s="60"/>
      <c r="F139" s="51"/>
      <c r="G139" s="2"/>
      <c r="H139" s="2"/>
    </row>
    <row r="140" spans="1:8" s="2" customFormat="1" x14ac:dyDescent="0.25">
      <c r="A140" s="25"/>
      <c r="B140" s="13" t="s">
        <v>43</v>
      </c>
      <c r="C140" s="30">
        <f>+C141</f>
        <v>600</v>
      </c>
      <c r="D140" s="31">
        <f>+D141</f>
        <v>600000</v>
      </c>
      <c r="E140" s="28"/>
      <c r="F140" s="29"/>
    </row>
    <row r="141" spans="1:8" s="2" customFormat="1" x14ac:dyDescent="0.25">
      <c r="A141" s="25">
        <v>41675</v>
      </c>
      <c r="B141" s="19" t="s">
        <v>44</v>
      </c>
      <c r="C141" s="46">
        <v>600</v>
      </c>
      <c r="D141" s="47">
        <v>600000</v>
      </c>
      <c r="E141" s="28">
        <v>22005</v>
      </c>
      <c r="F141" s="29" t="s">
        <v>20</v>
      </c>
    </row>
    <row r="142" spans="1:8" x14ac:dyDescent="0.25">
      <c r="A142" s="50"/>
      <c r="B142" s="61"/>
      <c r="C142" s="46"/>
      <c r="D142" s="56"/>
      <c r="E142" s="60"/>
      <c r="F142" s="51"/>
      <c r="G142" s="2"/>
      <c r="H142" s="2"/>
    </row>
    <row r="143" spans="1:8" s="2" customFormat="1" x14ac:dyDescent="0.25">
      <c r="A143" s="25"/>
      <c r="B143" s="13" t="s">
        <v>45</v>
      </c>
      <c r="C143" s="30">
        <f>SUM(C144:C156)</f>
        <v>3833.8881000000006</v>
      </c>
      <c r="D143" s="31">
        <f>SUM(D144:D156)</f>
        <v>3833888.1</v>
      </c>
      <c r="E143" s="28"/>
      <c r="F143" s="29"/>
    </row>
    <row r="144" spans="1:8" s="2" customFormat="1" x14ac:dyDescent="0.25">
      <c r="A144" s="25">
        <v>41737</v>
      </c>
      <c r="B144" s="24" t="s">
        <v>131</v>
      </c>
      <c r="C144" s="46">
        <v>72</v>
      </c>
      <c r="D144" s="47">
        <v>72000</v>
      </c>
      <c r="E144" s="28">
        <v>14336</v>
      </c>
      <c r="F144" s="29">
        <v>4116</v>
      </c>
    </row>
    <row r="145" spans="1:6" s="2" customFormat="1" x14ac:dyDescent="0.25">
      <c r="A145" s="25">
        <v>41745</v>
      </c>
      <c r="B145" s="24" t="s">
        <v>143</v>
      </c>
      <c r="C145" s="46">
        <v>1972.26846</v>
      </c>
      <c r="D145" s="47">
        <v>1972268.46</v>
      </c>
      <c r="E145" s="28">
        <v>14013</v>
      </c>
      <c r="F145" s="29">
        <v>4116</v>
      </c>
    </row>
    <row r="146" spans="1:6" s="2" customFormat="1" x14ac:dyDescent="0.25">
      <c r="A146" s="25">
        <v>41766</v>
      </c>
      <c r="B146" s="24" t="s">
        <v>106</v>
      </c>
      <c r="C146" s="46">
        <v>66</v>
      </c>
      <c r="D146" s="47">
        <v>66000</v>
      </c>
      <c r="E146" s="28">
        <v>14336</v>
      </c>
      <c r="F146" s="29">
        <v>4116</v>
      </c>
    </row>
    <row r="147" spans="1:6" s="2" customFormat="1" x14ac:dyDescent="0.25">
      <c r="A147" s="25">
        <v>41788</v>
      </c>
      <c r="B147" s="24" t="s">
        <v>144</v>
      </c>
      <c r="C147" s="46">
        <v>523</v>
      </c>
      <c r="D147" s="47">
        <v>523000</v>
      </c>
      <c r="E147" s="28">
        <v>14018</v>
      </c>
      <c r="F147" s="29">
        <v>4116</v>
      </c>
    </row>
    <row r="148" spans="1:6" s="2" customFormat="1" x14ac:dyDescent="0.25">
      <c r="A148" s="25">
        <v>41814</v>
      </c>
      <c r="B148" s="24" t="s">
        <v>130</v>
      </c>
      <c r="C148" s="46">
        <v>54</v>
      </c>
      <c r="D148" s="47">
        <v>54000</v>
      </c>
      <c r="E148" s="28">
        <v>14336</v>
      </c>
      <c r="F148" s="29">
        <v>4116</v>
      </c>
    </row>
    <row r="149" spans="1:6" s="2" customFormat="1" x14ac:dyDescent="0.25">
      <c r="A149" s="25">
        <v>41821</v>
      </c>
      <c r="B149" s="24" t="s">
        <v>163</v>
      </c>
      <c r="C149" s="46">
        <v>701.08527000000004</v>
      </c>
      <c r="D149" s="47">
        <v>701085.27</v>
      </c>
      <c r="E149" s="28">
        <v>14013</v>
      </c>
      <c r="F149" s="29">
        <v>4116</v>
      </c>
    </row>
    <row r="150" spans="1:6" s="2" customFormat="1" x14ac:dyDescent="0.25">
      <c r="A150" s="25">
        <v>41927</v>
      </c>
      <c r="B150" s="24" t="s">
        <v>163</v>
      </c>
      <c r="C150" s="46">
        <v>270.87736999999998</v>
      </c>
      <c r="D150" s="47">
        <v>270877.37</v>
      </c>
      <c r="E150" s="28">
        <v>14013</v>
      </c>
      <c r="F150" s="29">
        <v>4116</v>
      </c>
    </row>
    <row r="151" spans="1:6" s="2" customFormat="1" x14ac:dyDescent="0.25">
      <c r="A151" s="25">
        <v>41921</v>
      </c>
      <c r="B151" s="24" t="s">
        <v>234</v>
      </c>
      <c r="C151" s="46">
        <v>36</v>
      </c>
      <c r="D151" s="47">
        <v>36000</v>
      </c>
      <c r="E151" s="28">
        <v>14336</v>
      </c>
      <c r="F151" s="29">
        <v>4116</v>
      </c>
    </row>
    <row r="152" spans="1:6" s="2" customFormat="1" x14ac:dyDescent="0.25">
      <c r="A152" s="25">
        <v>41975</v>
      </c>
      <c r="B152" s="24" t="s">
        <v>286</v>
      </c>
      <c r="C152" s="46">
        <v>58.351999999999997</v>
      </c>
      <c r="D152" s="47">
        <v>58352</v>
      </c>
      <c r="E152" s="28">
        <v>14023</v>
      </c>
      <c r="F152" s="29">
        <v>4116</v>
      </c>
    </row>
    <row r="153" spans="1:6" s="2" customFormat="1" x14ac:dyDescent="0.25">
      <c r="A153" s="25">
        <v>41985</v>
      </c>
      <c r="B153" s="24" t="s">
        <v>289</v>
      </c>
      <c r="C153" s="46">
        <v>-5.4960000000000004</v>
      </c>
      <c r="D153" s="47">
        <v>-5496</v>
      </c>
      <c r="E153" s="28">
        <v>14018</v>
      </c>
      <c r="F153" s="29">
        <v>4116</v>
      </c>
    </row>
    <row r="154" spans="1:6" s="2" customFormat="1" x14ac:dyDescent="0.25">
      <c r="A154" s="25">
        <v>41995</v>
      </c>
      <c r="B154" s="24" t="s">
        <v>286</v>
      </c>
      <c r="C154" s="46">
        <v>63.673000000000002</v>
      </c>
      <c r="D154" s="47">
        <v>63673</v>
      </c>
      <c r="E154" s="28">
        <v>14023</v>
      </c>
      <c r="F154" s="29">
        <v>4116</v>
      </c>
    </row>
    <row r="155" spans="1:6" s="2" customFormat="1" x14ac:dyDescent="0.25">
      <c r="A155" s="25"/>
      <c r="B155" s="24" t="s">
        <v>183</v>
      </c>
      <c r="C155" s="46">
        <f>5.328+4.216+5.976+6.608</f>
        <v>22.128</v>
      </c>
      <c r="D155" s="47">
        <f>5328+4216+5976+6608</f>
        <v>22128</v>
      </c>
      <c r="E155" s="28">
        <v>14137</v>
      </c>
      <c r="F155" s="29">
        <v>4116</v>
      </c>
    </row>
    <row r="156" spans="1:6" s="2" customFormat="1" x14ac:dyDescent="0.25">
      <c r="A156" s="25"/>
      <c r="B156" s="24"/>
      <c r="C156" s="116"/>
      <c r="D156" s="47"/>
      <c r="E156" s="28"/>
      <c r="F156" s="29"/>
    </row>
    <row r="157" spans="1:6" s="2" customFormat="1" x14ac:dyDescent="0.25">
      <c r="A157" s="25"/>
      <c r="B157" s="19"/>
      <c r="C157" s="116"/>
      <c r="D157" s="47"/>
      <c r="E157" s="28"/>
      <c r="F157" s="48"/>
    </row>
    <row r="158" spans="1:6" s="2" customFormat="1" x14ac:dyDescent="0.25">
      <c r="A158" s="25"/>
      <c r="B158" s="13" t="s">
        <v>46</v>
      </c>
      <c r="C158" s="30">
        <f>+SUM(C159:C173)</f>
        <v>591.61800000000005</v>
      </c>
      <c r="D158" s="30">
        <f>+SUM(D159:D173)</f>
        <v>591618</v>
      </c>
      <c r="E158" s="28"/>
      <c r="F158" s="48"/>
    </row>
    <row r="159" spans="1:6" s="2" customFormat="1" x14ac:dyDescent="0.25">
      <c r="A159" s="25">
        <v>41788</v>
      </c>
      <c r="B159" s="24" t="s">
        <v>241</v>
      </c>
      <c r="C159" s="46">
        <v>11.6875</v>
      </c>
      <c r="D159" s="47">
        <v>11687.5</v>
      </c>
      <c r="E159" s="28">
        <v>35019</v>
      </c>
      <c r="F159" s="48">
        <v>4116</v>
      </c>
    </row>
    <row r="160" spans="1:6" s="2" customFormat="1" x14ac:dyDescent="0.25">
      <c r="A160" s="25">
        <v>41788</v>
      </c>
      <c r="B160" s="24" t="s">
        <v>242</v>
      </c>
      <c r="C160" s="46">
        <v>19.325500000000002</v>
      </c>
      <c r="D160" s="47">
        <f>38651/2</f>
        <v>19325.5</v>
      </c>
      <c r="E160" s="28">
        <v>35019</v>
      </c>
      <c r="F160" s="48">
        <v>4116</v>
      </c>
    </row>
    <row r="161" spans="1:6" s="2" customFormat="1" x14ac:dyDescent="0.25">
      <c r="A161" s="25">
        <v>41788</v>
      </c>
      <c r="B161" s="24" t="s">
        <v>243</v>
      </c>
      <c r="C161" s="46">
        <v>185.5215</v>
      </c>
      <c r="D161" s="47">
        <f>371043/2</f>
        <v>185521.5</v>
      </c>
      <c r="E161" s="28">
        <v>35019</v>
      </c>
      <c r="F161" s="48">
        <v>4116</v>
      </c>
    </row>
    <row r="162" spans="1:6" s="2" customFormat="1" x14ac:dyDescent="0.25">
      <c r="A162" s="25">
        <v>41794</v>
      </c>
      <c r="B162" s="24" t="s">
        <v>244</v>
      </c>
      <c r="C162" s="46">
        <v>5</v>
      </c>
      <c r="D162" s="47">
        <v>5000</v>
      </c>
      <c r="E162" s="28">
        <v>35019</v>
      </c>
      <c r="F162" s="48">
        <v>4116</v>
      </c>
    </row>
    <row r="163" spans="1:6" s="2" customFormat="1" x14ac:dyDescent="0.25">
      <c r="A163" s="25">
        <v>41794</v>
      </c>
      <c r="B163" s="24" t="s">
        <v>241</v>
      </c>
      <c r="C163" s="46">
        <v>8.5719999999999992</v>
      </c>
      <c r="D163" s="47">
        <v>8572</v>
      </c>
      <c r="E163" s="28">
        <v>35019</v>
      </c>
      <c r="F163" s="48">
        <v>4116</v>
      </c>
    </row>
    <row r="164" spans="1:6" s="2" customFormat="1" x14ac:dyDescent="0.25">
      <c r="A164" s="25">
        <v>41794</v>
      </c>
      <c r="B164" s="24" t="s">
        <v>243</v>
      </c>
      <c r="C164" s="46">
        <v>14.285500000000001</v>
      </c>
      <c r="D164" s="47">
        <v>14285.5</v>
      </c>
      <c r="E164" s="28">
        <v>35019</v>
      </c>
      <c r="F164" s="48">
        <v>4116</v>
      </c>
    </row>
    <row r="165" spans="1:6" s="2" customFormat="1" x14ac:dyDescent="0.25">
      <c r="A165" s="25">
        <v>41913</v>
      </c>
      <c r="B165" s="24" t="s">
        <v>241</v>
      </c>
      <c r="C165" s="46">
        <v>11.6875</v>
      </c>
      <c r="D165" s="47">
        <v>11687.5</v>
      </c>
      <c r="E165" s="28">
        <v>35019</v>
      </c>
      <c r="F165" s="48">
        <v>4116</v>
      </c>
    </row>
    <row r="166" spans="1:6" s="2" customFormat="1" x14ac:dyDescent="0.25">
      <c r="A166" s="25">
        <v>41913</v>
      </c>
      <c r="B166" s="24" t="s">
        <v>242</v>
      </c>
      <c r="C166" s="46">
        <v>19.325500000000002</v>
      </c>
      <c r="D166" s="47">
        <f>38651/2</f>
        <v>19325.5</v>
      </c>
      <c r="E166" s="28">
        <v>35019</v>
      </c>
      <c r="F166" s="48">
        <v>4116</v>
      </c>
    </row>
    <row r="167" spans="1:6" s="2" customFormat="1" x14ac:dyDescent="0.25">
      <c r="A167" s="25">
        <v>41913</v>
      </c>
      <c r="B167" s="24" t="s">
        <v>243</v>
      </c>
      <c r="C167" s="46">
        <v>185.5215</v>
      </c>
      <c r="D167" s="47">
        <f>371043/2</f>
        <v>185521.5</v>
      </c>
      <c r="E167" s="28">
        <v>35019</v>
      </c>
      <c r="F167" s="48">
        <v>4116</v>
      </c>
    </row>
    <row r="168" spans="1:6" s="2" customFormat="1" x14ac:dyDescent="0.25">
      <c r="A168" s="25">
        <v>41914</v>
      </c>
      <c r="B168" s="24" t="s">
        <v>244</v>
      </c>
      <c r="C168" s="46">
        <v>5</v>
      </c>
      <c r="D168" s="47">
        <v>5000</v>
      </c>
      <c r="E168" s="28">
        <v>35019</v>
      </c>
      <c r="F168" s="48">
        <v>4116</v>
      </c>
    </row>
    <row r="169" spans="1:6" s="2" customFormat="1" x14ac:dyDescent="0.25">
      <c r="A169" s="25">
        <v>41914</v>
      </c>
      <c r="B169" s="24" t="s">
        <v>241</v>
      </c>
      <c r="C169" s="46">
        <v>8.5719999999999992</v>
      </c>
      <c r="D169" s="47">
        <v>8572</v>
      </c>
      <c r="E169" s="28">
        <v>35019</v>
      </c>
      <c r="F169" s="48">
        <v>4116</v>
      </c>
    </row>
    <row r="170" spans="1:6" s="2" customFormat="1" x14ac:dyDescent="0.25">
      <c r="A170" s="25">
        <v>41914</v>
      </c>
      <c r="B170" s="24" t="s">
        <v>243</v>
      </c>
      <c r="C170" s="46">
        <v>14.285500000000001</v>
      </c>
      <c r="D170" s="47">
        <v>14285.5</v>
      </c>
      <c r="E170" s="28">
        <v>35019</v>
      </c>
      <c r="F170" s="48">
        <v>4116</v>
      </c>
    </row>
    <row r="171" spans="1:6" s="2" customFormat="1" x14ac:dyDescent="0.25">
      <c r="A171" s="25">
        <v>41935</v>
      </c>
      <c r="B171" s="24" t="s">
        <v>243</v>
      </c>
      <c r="C171" s="46">
        <v>1</v>
      </c>
      <c r="D171" s="47">
        <v>1000</v>
      </c>
      <c r="E171" s="28">
        <v>35019</v>
      </c>
      <c r="F171" s="48">
        <v>4116</v>
      </c>
    </row>
    <row r="172" spans="1:6" s="2" customFormat="1" x14ac:dyDescent="0.25">
      <c r="A172" s="25">
        <v>41935</v>
      </c>
      <c r="B172" s="24" t="s">
        <v>240</v>
      </c>
      <c r="C172" s="46">
        <v>8.5</v>
      </c>
      <c r="D172" s="47">
        <v>8500</v>
      </c>
      <c r="E172" s="28">
        <v>35019</v>
      </c>
      <c r="F172" s="48">
        <v>4116</v>
      </c>
    </row>
    <row r="173" spans="1:6" s="2" customFormat="1" x14ac:dyDescent="0.25">
      <c r="A173" s="25">
        <v>41976</v>
      </c>
      <c r="B173" s="24" t="s">
        <v>312</v>
      </c>
      <c r="C173" s="46">
        <v>93.334000000000003</v>
      </c>
      <c r="D173" s="47">
        <v>93334</v>
      </c>
      <c r="E173" s="28">
        <v>35015</v>
      </c>
      <c r="F173" s="48">
        <v>4116</v>
      </c>
    </row>
    <row r="174" spans="1:6" s="2" customFormat="1" x14ac:dyDescent="0.25">
      <c r="A174" s="25"/>
      <c r="B174" s="24"/>
      <c r="C174" s="116"/>
      <c r="D174" s="47"/>
      <c r="E174" s="28"/>
      <c r="F174" s="48"/>
    </row>
    <row r="175" spans="1:6" s="2" customFormat="1" x14ac:dyDescent="0.25">
      <c r="A175" s="25"/>
      <c r="B175" s="13" t="s">
        <v>47</v>
      </c>
      <c r="C175" s="30">
        <f>+SUM(C176:C182)</f>
        <v>386.07499999999999</v>
      </c>
      <c r="D175" s="30">
        <f>+SUM(D176:D182)</f>
        <v>386075</v>
      </c>
      <c r="E175" s="28"/>
      <c r="F175" s="48"/>
    </row>
    <row r="176" spans="1:6" s="2" customFormat="1" x14ac:dyDescent="0.25">
      <c r="A176" s="25">
        <v>41751</v>
      </c>
      <c r="B176" s="24" t="s">
        <v>48</v>
      </c>
      <c r="C176" s="46">
        <v>86.159000000000006</v>
      </c>
      <c r="D176" s="47">
        <v>86159</v>
      </c>
      <c r="E176" s="28">
        <v>29008</v>
      </c>
      <c r="F176" s="48">
        <v>4116</v>
      </c>
    </row>
    <row r="177" spans="1:6" s="2" customFormat="1" x14ac:dyDescent="0.25">
      <c r="A177" s="25">
        <v>41815</v>
      </c>
      <c r="B177" s="24" t="s">
        <v>48</v>
      </c>
      <c r="C177" s="46">
        <v>84.284999999999997</v>
      </c>
      <c r="D177" s="47">
        <v>84285</v>
      </c>
      <c r="E177" s="28">
        <v>29008</v>
      </c>
      <c r="F177" s="48">
        <v>4116</v>
      </c>
    </row>
    <row r="178" spans="1:6" s="2" customFormat="1" x14ac:dyDescent="0.25">
      <c r="A178" s="25">
        <v>41822</v>
      </c>
      <c r="B178" s="24" t="s">
        <v>49</v>
      </c>
      <c r="C178" s="46">
        <v>9.85</v>
      </c>
      <c r="D178" s="47">
        <v>9850</v>
      </c>
      <c r="E178" s="28">
        <v>29004</v>
      </c>
      <c r="F178" s="48">
        <v>4116</v>
      </c>
    </row>
    <row r="179" spans="1:6" s="2" customFormat="1" x14ac:dyDescent="0.25">
      <c r="A179" s="25">
        <v>41886</v>
      </c>
      <c r="B179" s="24" t="s">
        <v>48</v>
      </c>
      <c r="C179" s="46">
        <v>85.221999999999994</v>
      </c>
      <c r="D179" s="47">
        <v>85222</v>
      </c>
      <c r="E179" s="28">
        <v>29008</v>
      </c>
      <c r="F179" s="48">
        <v>4116</v>
      </c>
    </row>
    <row r="180" spans="1:6" s="2" customFormat="1" x14ac:dyDescent="0.25">
      <c r="A180" s="25">
        <v>41955</v>
      </c>
      <c r="B180" s="24" t="s">
        <v>49</v>
      </c>
      <c r="C180" s="46">
        <v>34.4</v>
      </c>
      <c r="D180" s="47">
        <v>34400</v>
      </c>
      <c r="E180" s="28">
        <v>29004</v>
      </c>
      <c r="F180" s="48">
        <v>4116</v>
      </c>
    </row>
    <row r="181" spans="1:6" s="2" customFormat="1" x14ac:dyDescent="0.25">
      <c r="A181" s="25">
        <v>41962</v>
      </c>
      <c r="B181" s="24" t="s">
        <v>48</v>
      </c>
      <c r="C181" s="46">
        <v>86.159000000000006</v>
      </c>
      <c r="D181" s="47">
        <v>86159</v>
      </c>
      <c r="E181" s="28">
        <v>29008</v>
      </c>
      <c r="F181" s="48">
        <v>4116</v>
      </c>
    </row>
    <row r="182" spans="1:6" s="2" customFormat="1" x14ac:dyDescent="0.25">
      <c r="A182" s="25"/>
      <c r="B182" s="24"/>
      <c r="C182" s="116"/>
      <c r="D182" s="47"/>
      <c r="E182" s="28"/>
      <c r="F182" s="48"/>
    </row>
    <row r="183" spans="1:6" s="2" customFormat="1" x14ac:dyDescent="0.25">
      <c r="A183" s="25"/>
      <c r="B183" s="13" t="s">
        <v>50</v>
      </c>
      <c r="C183" s="30">
        <f>+SUM(C184:C209)</f>
        <v>13178.616349999998</v>
      </c>
      <c r="D183" s="31">
        <f>+SUM(D184:D209)</f>
        <v>13178621.15</v>
      </c>
      <c r="E183" s="28"/>
      <c r="F183" s="48"/>
    </row>
    <row r="184" spans="1:6" s="2" customFormat="1" x14ac:dyDescent="0.25">
      <c r="A184" s="25">
        <v>41904</v>
      </c>
      <c r="B184" s="24" t="s">
        <v>208</v>
      </c>
      <c r="C184" s="46">
        <v>821.68700000000001</v>
      </c>
      <c r="D184" s="47">
        <v>821687</v>
      </c>
      <c r="E184" s="28">
        <v>15065</v>
      </c>
      <c r="F184" s="48">
        <v>4116</v>
      </c>
    </row>
    <row r="185" spans="1:6" s="2" customFormat="1" x14ac:dyDescent="0.25">
      <c r="A185" s="25">
        <v>41954</v>
      </c>
      <c r="B185" s="24" t="s">
        <v>267</v>
      </c>
      <c r="C185" s="46">
        <v>44.099850000000004</v>
      </c>
      <c r="D185" s="47">
        <v>44099.85</v>
      </c>
      <c r="E185" s="28">
        <v>15320</v>
      </c>
      <c r="F185" s="48">
        <v>4116</v>
      </c>
    </row>
    <row r="186" spans="1:6" s="2" customFormat="1" x14ac:dyDescent="0.25">
      <c r="A186" s="25">
        <v>41954</v>
      </c>
      <c r="B186" s="24" t="s">
        <v>267</v>
      </c>
      <c r="C186" s="46">
        <v>749.69753000000003</v>
      </c>
      <c r="D186" s="47">
        <v>749697.53</v>
      </c>
      <c r="E186" s="28">
        <v>15321</v>
      </c>
      <c r="F186" s="48">
        <v>4116</v>
      </c>
    </row>
    <row r="187" spans="1:6" s="2" customFormat="1" x14ac:dyDescent="0.25">
      <c r="A187" s="25">
        <v>41984</v>
      </c>
      <c r="B187" s="24" t="s">
        <v>337</v>
      </c>
      <c r="C187" s="46">
        <v>1660.23615</v>
      </c>
      <c r="D187" s="47">
        <v>1660236.15</v>
      </c>
      <c r="E187" s="28">
        <v>15325</v>
      </c>
      <c r="F187" s="48">
        <v>4116</v>
      </c>
    </row>
    <row r="188" spans="1:6" s="2" customFormat="1" x14ac:dyDescent="0.25">
      <c r="A188" s="25">
        <v>41983</v>
      </c>
      <c r="B188" s="24" t="s">
        <v>290</v>
      </c>
      <c r="C188" s="46">
        <v>907.99109999999996</v>
      </c>
      <c r="D188" s="47">
        <v>907991.1</v>
      </c>
      <c r="E188" s="28">
        <v>15319</v>
      </c>
      <c r="F188" s="48">
        <v>4116</v>
      </c>
    </row>
    <row r="189" spans="1:6" s="2" customFormat="1" x14ac:dyDescent="0.25">
      <c r="A189" s="25">
        <v>41984</v>
      </c>
      <c r="B189" s="24" t="s">
        <v>291</v>
      </c>
      <c r="C189" s="46">
        <v>554.22495000000004</v>
      </c>
      <c r="D189" s="47">
        <v>554224.94999999995</v>
      </c>
      <c r="E189" s="28">
        <v>15319</v>
      </c>
      <c r="F189" s="48">
        <v>4116</v>
      </c>
    </row>
    <row r="190" spans="1:6" s="2" customFormat="1" x14ac:dyDescent="0.25">
      <c r="A190" s="12">
        <v>41984</v>
      </c>
      <c r="B190" s="24" t="s">
        <v>292</v>
      </c>
      <c r="C190" s="46">
        <v>1306.9070400000001</v>
      </c>
      <c r="D190" s="47">
        <v>1306907.04</v>
      </c>
      <c r="E190" s="28">
        <v>15319</v>
      </c>
      <c r="F190" s="48">
        <v>4116</v>
      </c>
    </row>
    <row r="191" spans="1:6" s="2" customFormat="1" x14ac:dyDescent="0.25">
      <c r="A191" s="12">
        <v>41984</v>
      </c>
      <c r="B191" s="24" t="s">
        <v>293</v>
      </c>
      <c r="C191" s="46">
        <v>207.74680000000001</v>
      </c>
      <c r="D191" s="47">
        <v>207746.8</v>
      </c>
      <c r="E191" s="28">
        <v>15319</v>
      </c>
      <c r="F191" s="48">
        <v>4116</v>
      </c>
    </row>
    <row r="192" spans="1:6" s="2" customFormat="1" x14ac:dyDescent="0.25">
      <c r="A192" s="12">
        <v>41984</v>
      </c>
      <c r="B192" s="24" t="s">
        <v>295</v>
      </c>
      <c r="C192" s="46">
        <v>1001.76549</v>
      </c>
      <c r="D192" s="47">
        <v>1001765.49</v>
      </c>
      <c r="E192" s="28">
        <v>15319</v>
      </c>
      <c r="F192" s="48">
        <v>4116</v>
      </c>
    </row>
    <row r="193" spans="1:6" s="2" customFormat="1" x14ac:dyDescent="0.25">
      <c r="A193" s="12">
        <v>41985</v>
      </c>
      <c r="B193" s="24" t="s">
        <v>296</v>
      </c>
      <c r="C193" s="46">
        <v>1788.92409</v>
      </c>
      <c r="D193" s="47">
        <v>1788924.09</v>
      </c>
      <c r="E193" s="28">
        <v>15319</v>
      </c>
      <c r="F193" s="48">
        <v>4116</v>
      </c>
    </row>
    <row r="194" spans="1:6" s="2" customFormat="1" x14ac:dyDescent="0.25">
      <c r="A194" s="12">
        <v>41983</v>
      </c>
      <c r="B194" s="24" t="s">
        <v>297</v>
      </c>
      <c r="C194" s="46">
        <v>2969.8052400000001</v>
      </c>
      <c r="D194" s="47">
        <v>2969805.24</v>
      </c>
      <c r="E194" s="28">
        <v>15319</v>
      </c>
      <c r="F194" s="48">
        <v>4116</v>
      </c>
    </row>
    <row r="195" spans="1:6" s="2" customFormat="1" x14ac:dyDescent="0.25">
      <c r="A195" s="25"/>
      <c r="B195" s="24" t="s">
        <v>108</v>
      </c>
      <c r="C195" s="46">
        <v>52.326000000000001</v>
      </c>
      <c r="D195" s="47">
        <v>52326</v>
      </c>
      <c r="E195" s="28">
        <v>15370</v>
      </c>
      <c r="F195" s="48">
        <v>4116</v>
      </c>
    </row>
    <row r="196" spans="1:6" s="2" customFormat="1" x14ac:dyDescent="0.25">
      <c r="A196" s="25"/>
      <c r="B196" s="24" t="s">
        <v>238</v>
      </c>
      <c r="C196" s="46">
        <v>301.47395</v>
      </c>
      <c r="D196" s="47">
        <v>301473.95</v>
      </c>
      <c r="E196" s="28">
        <v>15319</v>
      </c>
      <c r="F196" s="48">
        <v>4116</v>
      </c>
    </row>
    <row r="197" spans="1:6" s="2" customFormat="1" x14ac:dyDescent="0.25">
      <c r="A197" s="25"/>
      <c r="B197" s="24" t="s">
        <v>338</v>
      </c>
      <c r="C197" s="46">
        <v>1.5</v>
      </c>
      <c r="D197" s="47">
        <v>1500</v>
      </c>
      <c r="E197" s="28">
        <v>15320</v>
      </c>
      <c r="F197" s="48">
        <v>4116</v>
      </c>
    </row>
    <row r="198" spans="1:6" s="2" customFormat="1" x14ac:dyDescent="0.25">
      <c r="A198" s="25"/>
      <c r="B198" s="24" t="s">
        <v>338</v>
      </c>
      <c r="C198" s="46">
        <v>25.5</v>
      </c>
      <c r="D198" s="47">
        <v>25500</v>
      </c>
      <c r="E198" s="28">
        <v>15321</v>
      </c>
      <c r="F198" s="48">
        <v>4116</v>
      </c>
    </row>
    <row r="199" spans="1:6" s="2" customFormat="1" x14ac:dyDescent="0.25">
      <c r="A199" s="25"/>
      <c r="B199" s="24" t="s">
        <v>223</v>
      </c>
      <c r="C199" s="47">
        <v>1.4999899999999999</v>
      </c>
      <c r="D199" s="47">
        <v>1499.99</v>
      </c>
      <c r="E199" s="28">
        <v>15320</v>
      </c>
      <c r="F199" s="48">
        <v>4116</v>
      </c>
    </row>
    <row r="200" spans="1:6" s="2" customFormat="1" x14ac:dyDescent="0.25">
      <c r="A200" s="25"/>
      <c r="B200" s="24" t="s">
        <v>223</v>
      </c>
      <c r="C200" s="47">
        <v>25.49999</v>
      </c>
      <c r="D200" s="47">
        <v>25499.99</v>
      </c>
      <c r="E200" s="28">
        <v>15321</v>
      </c>
      <c r="F200" s="48">
        <v>4116</v>
      </c>
    </row>
    <row r="201" spans="1:6" s="2" customFormat="1" x14ac:dyDescent="0.25">
      <c r="A201" s="25"/>
      <c r="B201" s="24" t="s">
        <v>224</v>
      </c>
      <c r="C201" s="47">
        <v>1.5</v>
      </c>
      <c r="D201" s="47">
        <v>1500</v>
      </c>
      <c r="E201" s="28">
        <v>15320</v>
      </c>
      <c r="F201" s="48">
        <v>4116</v>
      </c>
    </row>
    <row r="202" spans="1:6" s="2" customFormat="1" x14ac:dyDescent="0.25">
      <c r="A202" s="25"/>
      <c r="B202" s="24" t="s">
        <v>224</v>
      </c>
      <c r="C202" s="47">
        <v>25.5</v>
      </c>
      <c r="D202" s="47">
        <v>25500</v>
      </c>
      <c r="E202" s="28">
        <v>15321</v>
      </c>
      <c r="F202" s="48">
        <v>4116</v>
      </c>
    </row>
    <row r="203" spans="1:6" s="2" customFormat="1" x14ac:dyDescent="0.25">
      <c r="A203" s="25"/>
      <c r="B203" s="24" t="s">
        <v>258</v>
      </c>
      <c r="C203" s="47">
        <v>1.4999899999999999</v>
      </c>
      <c r="D203" s="47">
        <v>1499.99</v>
      </c>
      <c r="E203" s="28">
        <v>15320</v>
      </c>
      <c r="F203" s="48">
        <v>4116</v>
      </c>
    </row>
    <row r="204" spans="1:6" s="2" customFormat="1" x14ac:dyDescent="0.25">
      <c r="A204" s="25"/>
      <c r="B204" s="24" t="s">
        <v>258</v>
      </c>
      <c r="C204" s="47">
        <v>25.49999</v>
      </c>
      <c r="D204" s="47">
        <v>25499.99</v>
      </c>
      <c r="E204" s="28">
        <v>15321</v>
      </c>
      <c r="F204" s="48">
        <v>4116</v>
      </c>
    </row>
    <row r="205" spans="1:6" s="2" customFormat="1" x14ac:dyDescent="0.25">
      <c r="A205" s="25"/>
      <c r="B205" s="24" t="s">
        <v>331</v>
      </c>
      <c r="C205" s="47">
        <v>654.68543</v>
      </c>
      <c r="D205" s="47">
        <v>654685.43000000005</v>
      </c>
      <c r="E205" s="28">
        <v>15319</v>
      </c>
      <c r="F205" s="48">
        <v>4116</v>
      </c>
    </row>
    <row r="206" spans="1:6" s="2" customFormat="1" x14ac:dyDescent="0.25">
      <c r="A206" s="25"/>
      <c r="B206" s="24" t="s">
        <v>279</v>
      </c>
      <c r="C206" s="47">
        <v>15.4275</v>
      </c>
      <c r="D206" s="47">
        <v>15427.5</v>
      </c>
      <c r="E206" s="28">
        <v>15370</v>
      </c>
      <c r="F206" s="48">
        <v>4116</v>
      </c>
    </row>
    <row r="207" spans="1:6" s="2" customFormat="1" x14ac:dyDescent="0.25">
      <c r="A207" s="25"/>
      <c r="B207" s="24" t="s">
        <v>111</v>
      </c>
      <c r="C207" s="46">
        <v>1.8679399999999999</v>
      </c>
      <c r="D207" s="47">
        <v>1867.94</v>
      </c>
      <c r="E207" s="28">
        <v>15324</v>
      </c>
      <c r="F207" s="48">
        <v>4116</v>
      </c>
    </row>
    <row r="208" spans="1:6" s="2" customFormat="1" x14ac:dyDescent="0.25">
      <c r="A208" s="12"/>
      <c r="B208" s="24" t="s">
        <v>111</v>
      </c>
      <c r="C208" s="46">
        <f>31.75513-0.0048</f>
        <v>31.750330000000002</v>
      </c>
      <c r="D208" s="47">
        <v>31755.13</v>
      </c>
      <c r="E208" s="28">
        <v>15325</v>
      </c>
      <c r="F208" s="48">
        <v>4116</v>
      </c>
    </row>
    <row r="209" spans="1:8" s="2" customFormat="1" x14ac:dyDescent="0.25">
      <c r="A209" s="12"/>
      <c r="B209" s="23"/>
      <c r="C209" s="47"/>
      <c r="D209" s="47"/>
      <c r="E209" s="28"/>
      <c r="F209" s="48"/>
    </row>
    <row r="210" spans="1:8" s="2" customFormat="1" x14ac:dyDescent="0.25">
      <c r="A210" s="25"/>
      <c r="B210" s="30" t="s">
        <v>51</v>
      </c>
      <c r="C210" s="30">
        <f>+SUM(C211:C212)</f>
        <v>163.22820999999999</v>
      </c>
      <c r="D210" s="31">
        <f>+SUM(D211:D212)</f>
        <v>163228.21</v>
      </c>
      <c r="E210" s="28"/>
      <c r="F210" s="48"/>
    </row>
    <row r="211" spans="1:8" x14ac:dyDescent="0.25">
      <c r="A211" s="25">
        <v>41696</v>
      </c>
      <c r="B211" s="24" t="s">
        <v>75</v>
      </c>
      <c r="C211" s="46">
        <v>163.22820999999999</v>
      </c>
      <c r="D211" s="47">
        <v>163228.21</v>
      </c>
      <c r="E211" s="60"/>
      <c r="F211" s="48" t="s">
        <v>52</v>
      </c>
      <c r="G211" s="2"/>
      <c r="H211" s="2"/>
    </row>
    <row r="212" spans="1:8" x14ac:dyDescent="0.25">
      <c r="A212" s="25"/>
      <c r="B212" s="24"/>
      <c r="C212" s="46"/>
      <c r="D212" s="47"/>
      <c r="E212" s="60"/>
      <c r="F212" s="48"/>
      <c r="G212" s="2"/>
      <c r="H212" s="2"/>
    </row>
    <row r="213" spans="1:8" x14ac:dyDescent="0.25">
      <c r="A213" s="25"/>
      <c r="B213" s="44"/>
      <c r="C213" s="46"/>
      <c r="D213" s="47"/>
      <c r="E213" s="60"/>
      <c r="F213" s="48"/>
      <c r="G213" s="2"/>
      <c r="H213" s="2"/>
    </row>
    <row r="214" spans="1:8" s="2" customFormat="1" x14ac:dyDescent="0.25">
      <c r="A214" s="25"/>
      <c r="B214" s="13" t="s">
        <v>53</v>
      </c>
      <c r="C214" s="27">
        <f>SUM(C215:C325)</f>
        <v>45867.940510000008</v>
      </c>
      <c r="D214" s="27">
        <f>SUM(D215:D325)</f>
        <v>45867940.510000005</v>
      </c>
      <c r="E214" s="28"/>
      <c r="F214" s="22"/>
    </row>
    <row r="215" spans="1:8" s="2" customFormat="1" x14ac:dyDescent="0.25">
      <c r="A215" s="25">
        <v>41674</v>
      </c>
      <c r="B215" s="24" t="s">
        <v>151</v>
      </c>
      <c r="C215" s="53">
        <v>190.81503000000001</v>
      </c>
      <c r="D215" s="55">
        <f>162192.77+28622.26</f>
        <v>190815.03</v>
      </c>
      <c r="E215" s="28">
        <v>33030</v>
      </c>
      <c r="F215" s="48" t="s">
        <v>54</v>
      </c>
    </row>
    <row r="216" spans="1:8" s="2" customFormat="1" x14ac:dyDescent="0.25">
      <c r="A216" s="25">
        <v>41674</v>
      </c>
      <c r="B216" s="24" t="s">
        <v>148</v>
      </c>
      <c r="C216" s="53">
        <v>323.42325</v>
      </c>
      <c r="D216" s="55">
        <f>274909.76+48513.49</f>
        <v>323423.25</v>
      </c>
      <c r="E216" s="28">
        <v>33030</v>
      </c>
      <c r="F216" s="48" t="s">
        <v>54</v>
      </c>
    </row>
    <row r="217" spans="1:8" s="2" customFormat="1" x14ac:dyDescent="0.25">
      <c r="A217" s="25">
        <v>41674</v>
      </c>
      <c r="B217" s="24" t="s">
        <v>145</v>
      </c>
      <c r="C217" s="53">
        <v>386.86772000000002</v>
      </c>
      <c r="D217" s="55">
        <f>328837.56+58030.16</f>
        <v>386867.72</v>
      </c>
      <c r="E217" s="28">
        <v>33030</v>
      </c>
      <c r="F217" s="48">
        <v>4122</v>
      </c>
    </row>
    <row r="218" spans="1:8" s="2" customFormat="1" x14ac:dyDescent="0.25">
      <c r="A218" s="25">
        <v>41681</v>
      </c>
      <c r="B218" s="24" t="s">
        <v>92</v>
      </c>
      <c r="C218" s="55">
        <v>291.00630000000001</v>
      </c>
      <c r="D218" s="55">
        <f>247355.35+43650.95</f>
        <v>291006.3</v>
      </c>
      <c r="E218" s="28">
        <v>33030</v>
      </c>
      <c r="F218" s="48">
        <v>4122</v>
      </c>
    </row>
    <row r="219" spans="1:8" s="2" customFormat="1" x14ac:dyDescent="0.25">
      <c r="A219" s="25">
        <v>41690</v>
      </c>
      <c r="B219" s="24" t="s">
        <v>72</v>
      </c>
      <c r="C219" s="55">
        <v>371.75425000000001</v>
      </c>
      <c r="D219" s="55">
        <f>315991.11+55763.14</f>
        <v>371754.25</v>
      </c>
      <c r="E219" s="28">
        <v>33030</v>
      </c>
      <c r="F219" s="48">
        <v>4122</v>
      </c>
    </row>
    <row r="220" spans="1:8" s="2" customFormat="1" x14ac:dyDescent="0.25">
      <c r="A220" s="25">
        <v>41702</v>
      </c>
      <c r="B220" s="24" t="s">
        <v>77</v>
      </c>
      <c r="C220" s="52">
        <v>17.375</v>
      </c>
      <c r="D220" s="55">
        <v>17375</v>
      </c>
      <c r="E220" s="28">
        <v>14011</v>
      </c>
      <c r="F220" s="48">
        <v>4122</v>
      </c>
    </row>
    <row r="221" spans="1:8" s="2" customFormat="1" x14ac:dyDescent="0.25">
      <c r="A221" s="25">
        <v>41717</v>
      </c>
      <c r="B221" s="24" t="s">
        <v>80</v>
      </c>
      <c r="C221" s="52">
        <v>451.86489999999998</v>
      </c>
      <c r="D221" s="55">
        <f>384085.16+67779.74</f>
        <v>451864.89999999997</v>
      </c>
      <c r="E221" s="28">
        <v>33030</v>
      </c>
      <c r="F221" s="48">
        <v>4122</v>
      </c>
    </row>
    <row r="222" spans="1:8" s="2" customFormat="1" x14ac:dyDescent="0.25">
      <c r="A222" s="25">
        <v>41717</v>
      </c>
      <c r="B222" s="24" t="s">
        <v>81</v>
      </c>
      <c r="C222" s="52">
        <v>555.22578999999996</v>
      </c>
      <c r="D222" s="55">
        <f>471941.92+83283.87</f>
        <v>555225.79</v>
      </c>
      <c r="E222" s="28">
        <v>33030</v>
      </c>
      <c r="F222" s="48">
        <v>4122</v>
      </c>
    </row>
    <row r="223" spans="1:8" s="2" customFormat="1" x14ac:dyDescent="0.25">
      <c r="A223" s="25">
        <v>41724</v>
      </c>
      <c r="B223" s="24" t="s">
        <v>87</v>
      </c>
      <c r="C223" s="52">
        <v>362.62306999999998</v>
      </c>
      <c r="D223" s="55">
        <v>362623.07</v>
      </c>
      <c r="E223" s="28">
        <v>33030</v>
      </c>
      <c r="F223" s="48">
        <v>4122</v>
      </c>
    </row>
    <row r="224" spans="1:8" s="2" customFormat="1" x14ac:dyDescent="0.25">
      <c r="A224" s="25">
        <v>41731</v>
      </c>
      <c r="B224" s="24" t="s">
        <v>146</v>
      </c>
      <c r="C224" s="52">
        <v>4220.5246800000004</v>
      </c>
      <c r="D224" s="55">
        <f>3587445.97+633078.71</f>
        <v>4220524.68</v>
      </c>
      <c r="E224" s="28">
        <v>33030</v>
      </c>
      <c r="F224" s="48">
        <v>4122</v>
      </c>
    </row>
    <row r="225" spans="1:6" s="2" customFormat="1" x14ac:dyDescent="0.25">
      <c r="A225" s="25">
        <v>41740</v>
      </c>
      <c r="B225" s="24" t="s">
        <v>94</v>
      </c>
      <c r="C225" s="52">
        <v>200</v>
      </c>
      <c r="D225" s="55">
        <v>200000</v>
      </c>
      <c r="E225" s="28">
        <v>539</v>
      </c>
      <c r="F225" s="48">
        <v>4122</v>
      </c>
    </row>
    <row r="226" spans="1:6" s="2" customFormat="1" x14ac:dyDescent="0.25">
      <c r="A226" s="25">
        <v>41753</v>
      </c>
      <c r="B226" s="24" t="s">
        <v>162</v>
      </c>
      <c r="C226" s="52">
        <v>473.07794000000001</v>
      </c>
      <c r="D226" s="55">
        <v>473077.94</v>
      </c>
      <c r="E226" s="28">
        <v>33030</v>
      </c>
      <c r="F226" s="48">
        <v>4122</v>
      </c>
    </row>
    <row r="227" spans="1:6" s="2" customFormat="1" x14ac:dyDescent="0.25">
      <c r="A227" s="25">
        <v>41753</v>
      </c>
      <c r="B227" s="24" t="s">
        <v>96</v>
      </c>
      <c r="C227" s="52">
        <v>136.73121</v>
      </c>
      <c r="D227" s="55">
        <v>136731.21</v>
      </c>
      <c r="E227" s="28">
        <v>33030</v>
      </c>
      <c r="F227" s="48">
        <v>4122</v>
      </c>
    </row>
    <row r="228" spans="1:6" s="2" customFormat="1" x14ac:dyDescent="0.25">
      <c r="A228" s="25">
        <v>41765</v>
      </c>
      <c r="B228" s="24" t="s">
        <v>147</v>
      </c>
      <c r="C228" s="52">
        <v>534.51513</v>
      </c>
      <c r="D228" s="55">
        <f>454337.86+80177.27</f>
        <v>534515.13</v>
      </c>
      <c r="E228" s="28">
        <v>33030</v>
      </c>
      <c r="F228" s="48">
        <v>4122</v>
      </c>
    </row>
    <row r="229" spans="1:6" s="2" customFormat="1" x14ac:dyDescent="0.25">
      <c r="A229" s="25">
        <v>41765</v>
      </c>
      <c r="B229" s="24" t="s">
        <v>149</v>
      </c>
      <c r="C229" s="52">
        <v>1377.5491</v>
      </c>
      <c r="D229" s="55">
        <f>1170916.73+206632.37</f>
        <v>1377549.1</v>
      </c>
      <c r="E229" s="28">
        <v>33030</v>
      </c>
      <c r="F229" s="48">
        <v>4122</v>
      </c>
    </row>
    <row r="230" spans="1:6" s="2" customFormat="1" x14ac:dyDescent="0.25">
      <c r="A230" s="25">
        <v>41765</v>
      </c>
      <c r="B230" s="24" t="s">
        <v>150</v>
      </c>
      <c r="C230" s="52">
        <v>326.74684999999999</v>
      </c>
      <c r="D230" s="55">
        <f>277734.82+49012.03</f>
        <v>326746.84999999998</v>
      </c>
      <c r="E230" s="28">
        <v>33030</v>
      </c>
      <c r="F230" s="48">
        <v>4122</v>
      </c>
    </row>
    <row r="231" spans="1:6" s="2" customFormat="1" x14ac:dyDescent="0.25">
      <c r="A231" s="25">
        <v>41771</v>
      </c>
      <c r="B231" s="24" t="s">
        <v>145</v>
      </c>
      <c r="C231" s="52">
        <v>452.33542</v>
      </c>
      <c r="D231" s="55">
        <f>384485.1+67850.32</f>
        <v>452335.42</v>
      </c>
      <c r="E231" s="28">
        <v>33030</v>
      </c>
      <c r="F231" s="48">
        <v>4122</v>
      </c>
    </row>
    <row r="232" spans="1:6" s="2" customFormat="1" x14ac:dyDescent="0.25">
      <c r="A232" s="25">
        <v>41775</v>
      </c>
      <c r="B232" s="24" t="s">
        <v>71</v>
      </c>
      <c r="C232" s="52">
        <v>641.55130999999994</v>
      </c>
      <c r="D232" s="55">
        <v>641551.31000000006</v>
      </c>
      <c r="E232" s="28">
        <v>33030</v>
      </c>
      <c r="F232" s="48">
        <v>4122</v>
      </c>
    </row>
    <row r="233" spans="1:6" s="2" customFormat="1" x14ac:dyDescent="0.25">
      <c r="A233" s="25">
        <v>41787</v>
      </c>
      <c r="B233" s="24" t="s">
        <v>152</v>
      </c>
      <c r="C233" s="52">
        <v>950</v>
      </c>
      <c r="D233" s="55">
        <v>950000</v>
      </c>
      <c r="E233" s="28">
        <v>331</v>
      </c>
      <c r="F233" s="48">
        <v>4122</v>
      </c>
    </row>
    <row r="234" spans="1:6" s="2" customFormat="1" x14ac:dyDescent="0.25">
      <c r="A234" s="25">
        <v>41787</v>
      </c>
      <c r="B234" s="24" t="s">
        <v>153</v>
      </c>
      <c r="C234" s="52">
        <v>200</v>
      </c>
      <c r="D234" s="55">
        <v>200000</v>
      </c>
      <c r="E234" s="28">
        <v>331</v>
      </c>
      <c r="F234" s="48">
        <v>4122</v>
      </c>
    </row>
    <row r="235" spans="1:6" s="2" customFormat="1" x14ac:dyDescent="0.25">
      <c r="A235" s="25">
        <v>41787</v>
      </c>
      <c r="B235" s="24" t="s">
        <v>154</v>
      </c>
      <c r="C235" s="52">
        <v>80</v>
      </c>
      <c r="D235" s="55">
        <v>80000</v>
      </c>
      <c r="E235" s="28">
        <v>331</v>
      </c>
      <c r="F235" s="48">
        <v>4122</v>
      </c>
    </row>
    <row r="236" spans="1:6" s="2" customFormat="1" x14ac:dyDescent="0.25">
      <c r="A236" s="25">
        <v>41787</v>
      </c>
      <c r="B236" s="24" t="s">
        <v>155</v>
      </c>
      <c r="C236" s="52">
        <v>600</v>
      </c>
      <c r="D236" s="55">
        <v>600000</v>
      </c>
      <c r="E236" s="28">
        <v>331</v>
      </c>
      <c r="F236" s="48">
        <v>4122</v>
      </c>
    </row>
    <row r="237" spans="1:6" s="2" customFormat="1" x14ac:dyDescent="0.25">
      <c r="A237" s="25">
        <v>41787</v>
      </c>
      <c r="B237" s="24" t="s">
        <v>104</v>
      </c>
      <c r="C237" s="52">
        <v>120</v>
      </c>
      <c r="D237" s="55">
        <v>120000</v>
      </c>
      <c r="E237" s="28">
        <v>331</v>
      </c>
      <c r="F237" s="48">
        <v>4122</v>
      </c>
    </row>
    <row r="238" spans="1:6" s="2" customFormat="1" x14ac:dyDescent="0.25">
      <c r="A238" s="25">
        <v>41793</v>
      </c>
      <c r="B238" s="24" t="s">
        <v>116</v>
      </c>
      <c r="C238" s="52">
        <v>372.29502000000002</v>
      </c>
      <c r="D238" s="55">
        <v>372295.02</v>
      </c>
      <c r="E238" s="28">
        <v>33030</v>
      </c>
      <c r="F238" s="48">
        <v>4122</v>
      </c>
    </row>
    <row r="239" spans="1:6" s="2" customFormat="1" x14ac:dyDescent="0.25">
      <c r="A239" s="25">
        <v>41793</v>
      </c>
      <c r="B239" s="24" t="s">
        <v>117</v>
      </c>
      <c r="C239" s="52">
        <v>752.71591999999998</v>
      </c>
      <c r="D239" s="55">
        <v>752715.92</v>
      </c>
      <c r="E239" s="28">
        <v>33030</v>
      </c>
      <c r="F239" s="48">
        <v>4122</v>
      </c>
    </row>
    <row r="240" spans="1:6" s="2" customFormat="1" x14ac:dyDescent="0.25">
      <c r="A240" s="25">
        <v>41799</v>
      </c>
      <c r="B240" s="24" t="s">
        <v>121</v>
      </c>
      <c r="C240" s="52">
        <v>50</v>
      </c>
      <c r="D240" s="55">
        <v>50000</v>
      </c>
      <c r="E240" s="28">
        <v>311</v>
      </c>
      <c r="F240" s="48">
        <v>4122</v>
      </c>
    </row>
    <row r="241" spans="1:6" s="2" customFormat="1" x14ac:dyDescent="0.25">
      <c r="A241" s="25">
        <v>41799</v>
      </c>
      <c r="B241" s="24" t="s">
        <v>122</v>
      </c>
      <c r="C241" s="52">
        <v>50</v>
      </c>
      <c r="D241" s="55">
        <v>50000</v>
      </c>
      <c r="E241" s="28">
        <v>311</v>
      </c>
      <c r="F241" s="48">
        <v>4122</v>
      </c>
    </row>
    <row r="242" spans="1:6" s="2" customFormat="1" x14ac:dyDescent="0.25">
      <c r="A242" s="25">
        <v>41799</v>
      </c>
      <c r="B242" s="24" t="s">
        <v>123</v>
      </c>
      <c r="C242" s="52">
        <v>55</v>
      </c>
      <c r="D242" s="55">
        <v>55000</v>
      </c>
      <c r="E242" s="28">
        <v>311</v>
      </c>
      <c r="F242" s="48">
        <v>4122</v>
      </c>
    </row>
    <row r="243" spans="1:6" s="2" customFormat="1" x14ac:dyDescent="0.25">
      <c r="A243" s="25">
        <v>41801</v>
      </c>
      <c r="B243" s="24" t="s">
        <v>125</v>
      </c>
      <c r="C243" s="52">
        <v>80</v>
      </c>
      <c r="D243" s="55">
        <v>80000</v>
      </c>
      <c r="E243" s="28">
        <v>331</v>
      </c>
      <c r="F243" s="48">
        <v>4122</v>
      </c>
    </row>
    <row r="244" spans="1:6" s="2" customFormat="1" x14ac:dyDescent="0.25">
      <c r="A244" s="25">
        <v>41806</v>
      </c>
      <c r="B244" s="24" t="s">
        <v>119</v>
      </c>
      <c r="C244" s="52">
        <v>379.5077</v>
      </c>
      <c r="D244" s="55">
        <v>379507.7</v>
      </c>
      <c r="E244" s="28">
        <v>33030</v>
      </c>
      <c r="F244" s="48">
        <v>4122</v>
      </c>
    </row>
    <row r="245" spans="1:6" s="2" customFormat="1" x14ac:dyDescent="0.25">
      <c r="A245" s="25">
        <v>41806</v>
      </c>
      <c r="B245" s="24" t="s">
        <v>120</v>
      </c>
      <c r="C245" s="52">
        <v>371.00876</v>
      </c>
      <c r="D245" s="55">
        <v>371008.76</v>
      </c>
      <c r="E245" s="28">
        <v>33030</v>
      </c>
      <c r="F245" s="48">
        <v>4122</v>
      </c>
    </row>
    <row r="246" spans="1:6" s="2" customFormat="1" x14ac:dyDescent="0.25">
      <c r="A246" s="25">
        <v>41807</v>
      </c>
      <c r="B246" s="24" t="s">
        <v>126</v>
      </c>
      <c r="C246" s="52">
        <v>145.38300000000001</v>
      </c>
      <c r="D246" s="55">
        <v>145383</v>
      </c>
      <c r="E246" s="28">
        <v>33030</v>
      </c>
      <c r="F246" s="48">
        <v>4122</v>
      </c>
    </row>
    <row r="247" spans="1:6" s="2" customFormat="1" x14ac:dyDescent="0.25">
      <c r="A247" s="25">
        <v>41809</v>
      </c>
      <c r="B247" s="24" t="s">
        <v>77</v>
      </c>
      <c r="C247" s="52">
        <v>49.92</v>
      </c>
      <c r="D247" s="55">
        <v>49920</v>
      </c>
      <c r="E247" s="28">
        <v>14011</v>
      </c>
      <c r="F247" s="48">
        <v>4122</v>
      </c>
    </row>
    <row r="248" spans="1:6" s="2" customFormat="1" x14ac:dyDescent="0.25">
      <c r="A248" s="25">
        <v>41814</v>
      </c>
      <c r="B248" s="24" t="s">
        <v>128</v>
      </c>
      <c r="C248" s="52">
        <v>180</v>
      </c>
      <c r="D248" s="55">
        <v>180000</v>
      </c>
      <c r="E248" s="28">
        <v>435</v>
      </c>
      <c r="F248" s="48">
        <v>4122</v>
      </c>
    </row>
    <row r="249" spans="1:6" s="2" customFormat="1" x14ac:dyDescent="0.25">
      <c r="A249" s="25">
        <v>41814</v>
      </c>
      <c r="B249" s="24" t="s">
        <v>129</v>
      </c>
      <c r="C249" s="52">
        <v>60</v>
      </c>
      <c r="D249" s="55">
        <v>60000</v>
      </c>
      <c r="E249" s="28">
        <v>331</v>
      </c>
      <c r="F249" s="48">
        <v>4122</v>
      </c>
    </row>
    <row r="250" spans="1:6" s="2" customFormat="1" x14ac:dyDescent="0.25">
      <c r="A250" s="25">
        <v>41816</v>
      </c>
      <c r="B250" s="24" t="s">
        <v>80</v>
      </c>
      <c r="C250" s="52">
        <v>436.70456000000001</v>
      </c>
      <c r="D250" s="55">
        <v>436704.56</v>
      </c>
      <c r="E250" s="28">
        <v>33030</v>
      </c>
      <c r="F250" s="48">
        <v>4122</v>
      </c>
    </row>
    <row r="251" spans="1:6" s="2" customFormat="1" x14ac:dyDescent="0.25">
      <c r="A251" s="25">
        <v>41817</v>
      </c>
      <c r="B251" s="24" t="s">
        <v>132</v>
      </c>
      <c r="C251" s="52">
        <v>3128.0374700000002</v>
      </c>
      <c r="D251" s="55">
        <v>3128037.47</v>
      </c>
      <c r="E251" s="28">
        <v>33030</v>
      </c>
      <c r="F251" s="48">
        <v>4122</v>
      </c>
    </row>
    <row r="252" spans="1:6" s="2" customFormat="1" x14ac:dyDescent="0.25">
      <c r="A252" s="25">
        <v>41822</v>
      </c>
      <c r="B252" s="24" t="s">
        <v>167</v>
      </c>
      <c r="C252" s="52">
        <v>1000</v>
      </c>
      <c r="D252" s="55">
        <v>1000000</v>
      </c>
      <c r="E252" s="28">
        <v>331</v>
      </c>
      <c r="F252" s="48">
        <v>4122</v>
      </c>
    </row>
    <row r="253" spans="1:6" s="2" customFormat="1" x14ac:dyDescent="0.25">
      <c r="A253" s="25">
        <v>41823</v>
      </c>
      <c r="B253" s="24" t="s">
        <v>87</v>
      </c>
      <c r="C253" s="52">
        <v>211.45779999999999</v>
      </c>
      <c r="D253" s="55">
        <f>179739.13+31718.67</f>
        <v>211457.8</v>
      </c>
      <c r="E253" s="28">
        <v>33030</v>
      </c>
      <c r="F253" s="48">
        <v>4122</v>
      </c>
    </row>
    <row r="254" spans="1:6" s="2" customFormat="1" x14ac:dyDescent="0.25">
      <c r="A254" s="25">
        <v>41823</v>
      </c>
      <c r="B254" s="24" t="s">
        <v>162</v>
      </c>
      <c r="C254" s="52">
        <v>325.18011000000001</v>
      </c>
      <c r="D254" s="55">
        <v>325180.11</v>
      </c>
      <c r="E254" s="28">
        <v>33030</v>
      </c>
      <c r="F254" s="48">
        <v>4122</v>
      </c>
    </row>
    <row r="255" spans="1:6" s="2" customFormat="1" x14ac:dyDescent="0.25">
      <c r="A255" s="25">
        <v>41824</v>
      </c>
      <c r="B255" s="24" t="s">
        <v>145</v>
      </c>
      <c r="C255" s="52">
        <v>392.42531000000002</v>
      </c>
      <c r="D255" s="55">
        <v>392425.31</v>
      </c>
      <c r="E255" s="28">
        <v>33030</v>
      </c>
      <c r="F255" s="48">
        <v>4122</v>
      </c>
    </row>
    <row r="256" spans="1:6" s="2" customFormat="1" x14ac:dyDescent="0.25">
      <c r="A256" s="25">
        <v>41824</v>
      </c>
      <c r="B256" s="24" t="s">
        <v>173</v>
      </c>
      <c r="C256" s="52">
        <v>304.06526000000002</v>
      </c>
      <c r="D256" s="55">
        <f>258455.47+45609.79</f>
        <v>304065.26</v>
      </c>
      <c r="E256" s="28">
        <v>33030</v>
      </c>
      <c r="F256" s="48">
        <v>4122</v>
      </c>
    </row>
    <row r="257" spans="1:6" s="2" customFormat="1" x14ac:dyDescent="0.25">
      <c r="A257" s="25">
        <v>41824</v>
      </c>
      <c r="B257" s="24" t="s">
        <v>168</v>
      </c>
      <c r="C257" s="52">
        <v>44</v>
      </c>
      <c r="D257" s="55">
        <v>44000</v>
      </c>
      <c r="E257" s="28">
        <v>331</v>
      </c>
      <c r="F257" s="48">
        <v>4122</v>
      </c>
    </row>
    <row r="258" spans="1:6" s="2" customFormat="1" x14ac:dyDescent="0.25">
      <c r="A258" s="25">
        <v>41824</v>
      </c>
      <c r="B258" s="24" t="s">
        <v>169</v>
      </c>
      <c r="C258" s="52">
        <v>68</v>
      </c>
      <c r="D258" s="55">
        <v>68000</v>
      </c>
      <c r="E258" s="28">
        <v>331</v>
      </c>
      <c r="F258" s="48">
        <v>4122</v>
      </c>
    </row>
    <row r="259" spans="1:6" s="2" customFormat="1" x14ac:dyDescent="0.25">
      <c r="A259" s="25">
        <v>41824</v>
      </c>
      <c r="B259" s="24" t="s">
        <v>170</v>
      </c>
      <c r="C259" s="52">
        <v>55</v>
      </c>
      <c r="D259" s="55">
        <v>55000</v>
      </c>
      <c r="E259" s="28">
        <v>331</v>
      </c>
      <c r="F259" s="48">
        <v>4122</v>
      </c>
    </row>
    <row r="260" spans="1:6" s="2" customFormat="1" x14ac:dyDescent="0.25">
      <c r="A260" s="25">
        <v>41824</v>
      </c>
      <c r="B260" s="24" t="s">
        <v>171</v>
      </c>
      <c r="C260" s="52">
        <v>25</v>
      </c>
      <c r="D260" s="55">
        <v>25000</v>
      </c>
      <c r="E260" s="28">
        <v>331</v>
      </c>
      <c r="F260" s="48">
        <v>4122</v>
      </c>
    </row>
    <row r="261" spans="1:6" s="2" customFormat="1" x14ac:dyDescent="0.25">
      <c r="A261" s="25">
        <v>41824</v>
      </c>
      <c r="B261" s="24" t="s">
        <v>172</v>
      </c>
      <c r="C261" s="52">
        <v>48</v>
      </c>
      <c r="D261" s="55">
        <v>48000</v>
      </c>
      <c r="E261" s="28">
        <v>331</v>
      </c>
      <c r="F261" s="48">
        <v>4122</v>
      </c>
    </row>
    <row r="262" spans="1:6" s="2" customFormat="1" x14ac:dyDescent="0.25">
      <c r="A262" s="25">
        <v>41844</v>
      </c>
      <c r="B262" s="24" t="s">
        <v>187</v>
      </c>
      <c r="C262" s="55">
        <v>19.8</v>
      </c>
      <c r="D262" s="55">
        <v>19800</v>
      </c>
      <c r="E262" s="28">
        <v>359</v>
      </c>
      <c r="F262" s="48">
        <v>4122</v>
      </c>
    </row>
    <row r="263" spans="1:6" s="2" customFormat="1" x14ac:dyDescent="0.25">
      <c r="A263" s="25">
        <v>41845</v>
      </c>
      <c r="B263" s="24" t="s">
        <v>92</v>
      </c>
      <c r="C263" s="55">
        <v>556.37405999999999</v>
      </c>
      <c r="D263" s="55">
        <f>472917.95+83456.11</f>
        <v>556374.06000000006</v>
      </c>
      <c r="E263" s="28">
        <v>33030</v>
      </c>
      <c r="F263" s="48">
        <v>4122</v>
      </c>
    </row>
    <row r="264" spans="1:6" s="2" customFormat="1" x14ac:dyDescent="0.25">
      <c r="A264" s="25">
        <v>41849</v>
      </c>
      <c r="B264" s="24" t="s">
        <v>184</v>
      </c>
      <c r="C264" s="55">
        <v>100</v>
      </c>
      <c r="D264" s="55">
        <v>100000</v>
      </c>
      <c r="E264" s="28">
        <v>539</v>
      </c>
      <c r="F264" s="48">
        <v>4122</v>
      </c>
    </row>
    <row r="265" spans="1:6" s="2" customFormat="1" x14ac:dyDescent="0.25">
      <c r="A265" s="25">
        <v>41849</v>
      </c>
      <c r="B265" s="24" t="s">
        <v>185</v>
      </c>
      <c r="C265" s="55">
        <v>73</v>
      </c>
      <c r="D265" s="55">
        <v>73000</v>
      </c>
      <c r="E265" s="28">
        <v>539</v>
      </c>
      <c r="F265" s="48">
        <v>4122</v>
      </c>
    </row>
    <row r="266" spans="1:6" s="2" customFormat="1" x14ac:dyDescent="0.25">
      <c r="A266" s="25">
        <v>41849</v>
      </c>
      <c r="B266" s="24" t="s">
        <v>186</v>
      </c>
      <c r="C266" s="55">
        <v>66</v>
      </c>
      <c r="D266" s="55">
        <v>66000</v>
      </c>
      <c r="E266" s="28">
        <v>539</v>
      </c>
      <c r="F266" s="48">
        <v>4122</v>
      </c>
    </row>
    <row r="267" spans="1:6" s="2" customFormat="1" x14ac:dyDescent="0.25">
      <c r="A267" s="25">
        <v>41857</v>
      </c>
      <c r="B267" s="24" t="s">
        <v>149</v>
      </c>
      <c r="C267" s="55">
        <v>1062.93398</v>
      </c>
      <c r="D267" s="55">
        <f>903493.88+159440.1</f>
        <v>1062933.98</v>
      </c>
      <c r="E267" s="28">
        <v>33030</v>
      </c>
      <c r="F267" s="48">
        <v>4122</v>
      </c>
    </row>
    <row r="268" spans="1:6" s="2" customFormat="1" x14ac:dyDescent="0.25">
      <c r="A268" s="25">
        <v>41862</v>
      </c>
      <c r="B268" s="24" t="s">
        <v>189</v>
      </c>
      <c r="C268" s="55">
        <v>876.99243999999999</v>
      </c>
      <c r="D268" s="55">
        <f>745443.57+131548.87</f>
        <v>876992.44</v>
      </c>
      <c r="E268" s="28">
        <v>33030</v>
      </c>
      <c r="F268" s="48">
        <v>4122</v>
      </c>
    </row>
    <row r="269" spans="1:6" s="2" customFormat="1" x14ac:dyDescent="0.25">
      <c r="A269" s="25">
        <v>41865</v>
      </c>
      <c r="B269" s="24" t="s">
        <v>195</v>
      </c>
      <c r="C269" s="55">
        <v>100</v>
      </c>
      <c r="D269" s="55">
        <v>100000</v>
      </c>
      <c r="E269" s="28">
        <v>539</v>
      </c>
      <c r="F269" s="48">
        <v>4122</v>
      </c>
    </row>
    <row r="270" spans="1:6" s="2" customFormat="1" x14ac:dyDescent="0.25">
      <c r="A270" s="25">
        <v>41876</v>
      </c>
      <c r="B270" s="24" t="s">
        <v>162</v>
      </c>
      <c r="C270" s="52">
        <v>40.484209999999997</v>
      </c>
      <c r="D270" s="55">
        <f>34411.57+6072.64</f>
        <v>40484.21</v>
      </c>
      <c r="E270" s="28">
        <v>33030</v>
      </c>
      <c r="F270" s="48">
        <v>4122</v>
      </c>
    </row>
    <row r="271" spans="1:6" s="2" customFormat="1" x14ac:dyDescent="0.25">
      <c r="A271" s="25">
        <v>41877</v>
      </c>
      <c r="B271" s="24" t="s">
        <v>77</v>
      </c>
      <c r="C271" s="52">
        <v>81.12</v>
      </c>
      <c r="D271" s="55">
        <v>81120</v>
      </c>
      <c r="E271" s="28">
        <v>14011</v>
      </c>
      <c r="F271" s="48">
        <v>4122</v>
      </c>
    </row>
    <row r="272" spans="1:6" s="2" customFormat="1" x14ac:dyDescent="0.25">
      <c r="A272" s="25">
        <v>41885</v>
      </c>
      <c r="B272" s="24" t="s">
        <v>200</v>
      </c>
      <c r="C272" s="52">
        <v>60</v>
      </c>
      <c r="D272" s="55">
        <v>60000</v>
      </c>
      <c r="E272" s="28">
        <v>214</v>
      </c>
      <c r="F272" s="48">
        <v>4122</v>
      </c>
    </row>
    <row r="273" spans="1:8" s="2" customFormat="1" x14ac:dyDescent="0.25">
      <c r="A273" s="25">
        <v>41886</v>
      </c>
      <c r="B273" s="24" t="s">
        <v>209</v>
      </c>
      <c r="C273" s="52">
        <v>2000</v>
      </c>
      <c r="D273" s="55">
        <v>2000000</v>
      </c>
      <c r="E273" s="28">
        <v>331</v>
      </c>
      <c r="F273" s="48">
        <v>4122</v>
      </c>
    </row>
    <row r="274" spans="1:8" s="2" customFormat="1" x14ac:dyDescent="0.25">
      <c r="A274" s="25">
        <v>41908</v>
      </c>
      <c r="B274" s="24" t="s">
        <v>210</v>
      </c>
      <c r="C274" s="52">
        <v>120</v>
      </c>
      <c r="D274" s="55">
        <v>120000</v>
      </c>
      <c r="E274" s="22">
        <v>311</v>
      </c>
      <c r="F274" s="48">
        <v>4122</v>
      </c>
    </row>
    <row r="275" spans="1:8" s="2" customFormat="1" x14ac:dyDescent="0.25">
      <c r="A275" s="25">
        <v>41939</v>
      </c>
      <c r="B275" s="24" t="s">
        <v>248</v>
      </c>
      <c r="C275" s="52">
        <v>367.26477</v>
      </c>
      <c r="D275" s="55">
        <v>367264.77</v>
      </c>
      <c r="E275" s="22">
        <v>33030</v>
      </c>
      <c r="F275" s="48">
        <v>4122</v>
      </c>
    </row>
    <row r="276" spans="1:8" s="2" customFormat="1" x14ac:dyDescent="0.25">
      <c r="A276" s="25">
        <v>41948</v>
      </c>
      <c r="B276" s="24" t="s">
        <v>92</v>
      </c>
      <c r="C276" s="52">
        <v>59.492049999999999</v>
      </c>
      <c r="D276" s="55">
        <v>59492.05</v>
      </c>
      <c r="E276" s="22">
        <v>33030</v>
      </c>
      <c r="F276" s="48">
        <v>4122</v>
      </c>
    </row>
    <row r="277" spans="1:8" s="2" customFormat="1" x14ac:dyDescent="0.25">
      <c r="A277" s="25">
        <v>41948</v>
      </c>
      <c r="B277" s="24" t="s">
        <v>101</v>
      </c>
      <c r="C277" s="52">
        <v>479.05074000000002</v>
      </c>
      <c r="D277" s="55">
        <f>407193.12+71857.62</f>
        <v>479050.74</v>
      </c>
      <c r="E277" s="22">
        <v>33030</v>
      </c>
      <c r="F277" s="48">
        <v>4122</v>
      </c>
    </row>
    <row r="278" spans="1:8" s="2" customFormat="1" x14ac:dyDescent="0.25">
      <c r="A278" s="25">
        <v>41948</v>
      </c>
      <c r="B278" s="24" t="s">
        <v>146</v>
      </c>
      <c r="C278" s="52">
        <v>2226.5305499999999</v>
      </c>
      <c r="D278" s="55">
        <v>2226530.5499999998</v>
      </c>
      <c r="E278" s="22">
        <v>33030</v>
      </c>
      <c r="F278" s="48">
        <v>4122</v>
      </c>
    </row>
    <row r="279" spans="1:8" s="2" customFormat="1" x14ac:dyDescent="0.25">
      <c r="A279" s="25">
        <v>41948</v>
      </c>
      <c r="B279" s="24" t="s">
        <v>145</v>
      </c>
      <c r="C279" s="52">
        <v>350.97582999999997</v>
      </c>
      <c r="D279" s="55">
        <v>350975.83</v>
      </c>
      <c r="E279" s="22">
        <v>33030</v>
      </c>
      <c r="F279" s="48">
        <v>4122</v>
      </c>
    </row>
    <row r="280" spans="1:8" s="2" customFormat="1" x14ac:dyDescent="0.25">
      <c r="A280" s="25">
        <v>41957</v>
      </c>
      <c r="B280" s="24" t="s">
        <v>72</v>
      </c>
      <c r="C280" s="52">
        <v>148.68736999999999</v>
      </c>
      <c r="D280" s="55">
        <f>126384.25+22303.12</f>
        <v>148687.37</v>
      </c>
      <c r="E280" s="22">
        <v>33030</v>
      </c>
      <c r="F280" s="48">
        <v>4122</v>
      </c>
    </row>
    <row r="281" spans="1:8" s="2" customFormat="1" x14ac:dyDescent="0.25">
      <c r="A281" s="25">
        <v>41957</v>
      </c>
      <c r="B281" s="24" t="s">
        <v>81</v>
      </c>
      <c r="C281" s="52">
        <v>385.09258999999997</v>
      </c>
      <c r="D281" s="55">
        <v>385092.59</v>
      </c>
      <c r="E281" s="22">
        <v>33030</v>
      </c>
      <c r="F281" s="48">
        <v>4122</v>
      </c>
    </row>
    <row r="282" spans="1:8" s="2" customFormat="1" x14ac:dyDescent="0.25">
      <c r="A282" s="25">
        <v>41969</v>
      </c>
      <c r="B282" s="24" t="s">
        <v>276</v>
      </c>
      <c r="C282" s="52">
        <v>580</v>
      </c>
      <c r="D282" s="55">
        <v>580000</v>
      </c>
      <c r="E282" s="22">
        <v>331</v>
      </c>
      <c r="F282" s="48">
        <v>4122</v>
      </c>
    </row>
    <row r="283" spans="1:8" s="2" customFormat="1" x14ac:dyDescent="0.25">
      <c r="A283" s="25">
        <v>41969</v>
      </c>
      <c r="B283" s="24" t="s">
        <v>277</v>
      </c>
      <c r="C283" s="52">
        <v>20</v>
      </c>
      <c r="D283" s="55">
        <v>20000</v>
      </c>
      <c r="E283" s="22">
        <v>331</v>
      </c>
      <c r="F283" s="48">
        <v>4122</v>
      </c>
      <c r="H283" s="1"/>
    </row>
    <row r="284" spans="1:8" s="2" customFormat="1" x14ac:dyDescent="0.25">
      <c r="A284" s="25">
        <v>41969</v>
      </c>
      <c r="B284" s="24" t="s">
        <v>278</v>
      </c>
      <c r="C284" s="52">
        <v>240</v>
      </c>
      <c r="D284" s="55">
        <v>240000</v>
      </c>
      <c r="E284" s="22">
        <v>331</v>
      </c>
      <c r="F284" s="48">
        <v>4122</v>
      </c>
      <c r="H284" s="1"/>
    </row>
    <row r="285" spans="1:8" s="2" customFormat="1" x14ac:dyDescent="0.25">
      <c r="A285" s="25">
        <v>41969</v>
      </c>
      <c r="B285" s="24" t="s">
        <v>283</v>
      </c>
      <c r="C285" s="52">
        <v>1800</v>
      </c>
      <c r="D285" s="55">
        <v>1800000</v>
      </c>
      <c r="E285" s="22">
        <v>222</v>
      </c>
      <c r="F285" s="48">
        <v>4122</v>
      </c>
      <c r="H285" s="1"/>
    </row>
    <row r="286" spans="1:8" s="2" customFormat="1" x14ac:dyDescent="0.25">
      <c r="A286" s="25">
        <v>41976</v>
      </c>
      <c r="B286" s="24" t="s">
        <v>103</v>
      </c>
      <c r="C286" s="52">
        <v>306.74346000000003</v>
      </c>
      <c r="D286" s="55">
        <f>260731.94+46011.52</f>
        <v>306743.46000000002</v>
      </c>
      <c r="E286" s="22">
        <v>33030</v>
      </c>
      <c r="F286" s="48">
        <v>4122</v>
      </c>
      <c r="H286" s="1"/>
    </row>
    <row r="287" spans="1:8" s="2" customFormat="1" x14ac:dyDescent="0.25">
      <c r="A287" s="25">
        <v>41976</v>
      </c>
      <c r="B287" s="24" t="s">
        <v>119</v>
      </c>
      <c r="C287" s="52">
        <v>278.21814999999998</v>
      </c>
      <c r="D287" s="55">
        <f>236485.42+41732.73</f>
        <v>278218.15000000002</v>
      </c>
      <c r="E287" s="22">
        <v>33030</v>
      </c>
      <c r="F287" s="48">
        <v>4122</v>
      </c>
      <c r="H287" s="1"/>
    </row>
    <row r="288" spans="1:8" s="2" customFormat="1" x14ac:dyDescent="0.25">
      <c r="A288" s="25">
        <v>41984</v>
      </c>
      <c r="B288" s="24" t="s">
        <v>102</v>
      </c>
      <c r="C288" s="52">
        <v>785.92787999999996</v>
      </c>
      <c r="D288" s="55">
        <v>785927.88</v>
      </c>
      <c r="E288" s="22">
        <v>33030</v>
      </c>
      <c r="F288" s="48">
        <v>4122</v>
      </c>
      <c r="H288" s="1"/>
    </row>
    <row r="289" spans="1:8" s="2" customFormat="1" x14ac:dyDescent="0.25">
      <c r="A289" s="25">
        <v>41991</v>
      </c>
      <c r="B289" s="24" t="s">
        <v>77</v>
      </c>
      <c r="C289" s="52">
        <v>44.2</v>
      </c>
      <c r="D289" s="55">
        <v>44200</v>
      </c>
      <c r="E289" s="22">
        <v>14011</v>
      </c>
      <c r="F289" s="48">
        <v>4122</v>
      </c>
      <c r="H289" s="1"/>
    </row>
    <row r="290" spans="1:8" s="2" customFormat="1" x14ac:dyDescent="0.25">
      <c r="A290" s="25">
        <v>41992</v>
      </c>
      <c r="B290" s="24" t="s">
        <v>80</v>
      </c>
      <c r="C290" s="52">
        <v>93.969849999999994</v>
      </c>
      <c r="D290" s="55">
        <v>93969.85</v>
      </c>
      <c r="E290" s="22">
        <v>33030</v>
      </c>
      <c r="F290" s="48">
        <v>4122</v>
      </c>
      <c r="H290" s="1"/>
    </row>
    <row r="291" spans="1:8" s="2" customFormat="1" x14ac:dyDescent="0.25">
      <c r="A291" s="25">
        <v>41992</v>
      </c>
      <c r="B291" s="24" t="s">
        <v>306</v>
      </c>
      <c r="C291" s="52">
        <v>188.25846999999999</v>
      </c>
      <c r="D291" s="55">
        <f>160019.69+28238.78</f>
        <v>188258.47</v>
      </c>
      <c r="E291" s="22">
        <v>33030</v>
      </c>
      <c r="F291" s="48">
        <v>4122</v>
      </c>
      <c r="H291" s="1"/>
    </row>
    <row r="292" spans="1:8" s="2" customFormat="1" x14ac:dyDescent="0.25">
      <c r="A292" s="25">
        <v>41992</v>
      </c>
      <c r="B292" s="24" t="s">
        <v>69</v>
      </c>
      <c r="C292" s="52">
        <v>0.99221999999999999</v>
      </c>
      <c r="D292" s="55">
        <f>843.38+148.84</f>
        <v>992.22</v>
      </c>
      <c r="E292" s="22">
        <v>33030</v>
      </c>
      <c r="F292" s="48">
        <v>4122</v>
      </c>
      <c r="H292" s="1"/>
    </row>
    <row r="293" spans="1:8" s="2" customFormat="1" x14ac:dyDescent="0.25">
      <c r="A293" s="25">
        <v>41992</v>
      </c>
      <c r="B293" s="24" t="s">
        <v>117</v>
      </c>
      <c r="C293" s="52">
        <v>848.11527999999998</v>
      </c>
      <c r="D293" s="55">
        <f>720897.98+127217.3</f>
        <v>848115.28</v>
      </c>
      <c r="E293" s="22">
        <v>33030</v>
      </c>
      <c r="F293" s="48">
        <v>4122</v>
      </c>
      <c r="H293" s="1"/>
    </row>
    <row r="294" spans="1:8" s="2" customFormat="1" x14ac:dyDescent="0.25">
      <c r="A294" s="25">
        <v>41992</v>
      </c>
      <c r="B294" s="24" t="s">
        <v>116</v>
      </c>
      <c r="C294" s="52">
        <v>323.90965999999997</v>
      </c>
      <c r="D294" s="55">
        <f>275323.21+48586.45</f>
        <v>323909.66000000003</v>
      </c>
      <c r="E294" s="22">
        <v>33030</v>
      </c>
      <c r="F294" s="48">
        <v>4122</v>
      </c>
      <c r="H294" s="1"/>
    </row>
    <row r="295" spans="1:8" s="2" customFormat="1" x14ac:dyDescent="0.25">
      <c r="A295" s="25">
        <v>41992</v>
      </c>
      <c r="B295" s="24" t="s">
        <v>70</v>
      </c>
      <c r="C295" s="52">
        <v>636.83671000000004</v>
      </c>
      <c r="D295" s="55">
        <f>541311.2+95525.51</f>
        <v>636836.71</v>
      </c>
      <c r="E295" s="22">
        <v>33030</v>
      </c>
      <c r="F295" s="48">
        <v>4122</v>
      </c>
      <c r="H295" s="1"/>
    </row>
    <row r="296" spans="1:8" s="2" customFormat="1" x14ac:dyDescent="0.25">
      <c r="A296" s="25">
        <v>41992</v>
      </c>
      <c r="B296" s="24" t="s">
        <v>88</v>
      </c>
      <c r="C296" s="52">
        <v>2073.7684199999999</v>
      </c>
      <c r="D296" s="55">
        <f>1762703.15+311065.27</f>
        <v>2073768.42</v>
      </c>
      <c r="E296" s="22">
        <v>33030</v>
      </c>
      <c r="F296" s="48">
        <v>4122</v>
      </c>
      <c r="H296" s="1"/>
    </row>
    <row r="297" spans="1:8" s="2" customFormat="1" x14ac:dyDescent="0.25">
      <c r="A297" s="25"/>
      <c r="B297" s="24" t="s">
        <v>317</v>
      </c>
      <c r="C297" s="52">
        <v>6.976</v>
      </c>
      <c r="D297" s="55">
        <v>6976</v>
      </c>
      <c r="E297" s="22">
        <v>14004</v>
      </c>
      <c r="F297" s="48">
        <v>4122</v>
      </c>
      <c r="H297" s="1"/>
    </row>
    <row r="298" spans="1:8" s="2" customFormat="1" x14ac:dyDescent="0.25">
      <c r="A298" s="25"/>
      <c r="B298" s="24" t="s">
        <v>255</v>
      </c>
      <c r="C298" s="52">
        <v>64</v>
      </c>
      <c r="D298" s="55">
        <v>64000</v>
      </c>
      <c r="E298" s="22">
        <v>551</v>
      </c>
      <c r="F298" s="48">
        <v>4122</v>
      </c>
      <c r="H298" s="1"/>
    </row>
    <row r="299" spans="1:8" s="2" customFormat="1" x14ac:dyDescent="0.25">
      <c r="A299" s="25"/>
      <c r="B299" s="24" t="s">
        <v>324</v>
      </c>
      <c r="C299" s="52">
        <v>6.8</v>
      </c>
      <c r="D299" s="55">
        <v>6800</v>
      </c>
      <c r="E299" s="22">
        <v>14004</v>
      </c>
      <c r="F299" s="48">
        <v>4122</v>
      </c>
      <c r="H299" s="1"/>
    </row>
    <row r="300" spans="1:8" s="2" customFormat="1" x14ac:dyDescent="0.25">
      <c r="A300" s="25"/>
      <c r="B300" s="24" t="s">
        <v>274</v>
      </c>
      <c r="C300" s="52">
        <v>102.53</v>
      </c>
      <c r="D300" s="55">
        <v>102530</v>
      </c>
      <c r="E300" s="22">
        <v>14004</v>
      </c>
      <c r="F300" s="48">
        <v>4122</v>
      </c>
      <c r="H300" s="1"/>
    </row>
    <row r="301" spans="1:8" s="2" customFormat="1" x14ac:dyDescent="0.25">
      <c r="A301" s="25"/>
      <c r="B301" s="24" t="s">
        <v>321</v>
      </c>
      <c r="C301" s="52">
        <v>6.8</v>
      </c>
      <c r="D301" s="55">
        <v>6800</v>
      </c>
      <c r="E301" s="22">
        <v>14004</v>
      </c>
      <c r="F301" s="48">
        <v>4122</v>
      </c>
      <c r="H301" s="1"/>
    </row>
    <row r="302" spans="1:8" s="2" customFormat="1" x14ac:dyDescent="0.25">
      <c r="A302" s="25"/>
      <c r="B302" s="24" t="s">
        <v>316</v>
      </c>
      <c r="C302" s="52">
        <v>0.8</v>
      </c>
      <c r="D302" s="55">
        <v>800</v>
      </c>
      <c r="E302" s="22">
        <v>14004</v>
      </c>
      <c r="F302" s="48">
        <v>4122</v>
      </c>
      <c r="H302" s="1"/>
    </row>
    <row r="303" spans="1:8" s="2" customFormat="1" x14ac:dyDescent="0.25">
      <c r="A303" s="25"/>
      <c r="B303" s="24" t="s">
        <v>325</v>
      </c>
      <c r="C303" s="52">
        <v>3.6</v>
      </c>
      <c r="D303" s="55">
        <v>3600</v>
      </c>
      <c r="E303" s="22">
        <v>14004</v>
      </c>
      <c r="F303" s="48">
        <v>4122</v>
      </c>
      <c r="H303" s="1"/>
    </row>
    <row r="304" spans="1:8" s="2" customFormat="1" x14ac:dyDescent="0.25">
      <c r="A304" s="25"/>
      <c r="B304" s="24" t="s">
        <v>256</v>
      </c>
      <c r="C304" s="52">
        <v>140</v>
      </c>
      <c r="D304" s="55">
        <v>140000</v>
      </c>
      <c r="E304" s="22">
        <v>551</v>
      </c>
      <c r="F304" s="48">
        <v>4122</v>
      </c>
      <c r="H304" s="1"/>
    </row>
    <row r="305" spans="1:8" s="2" customFormat="1" x14ac:dyDescent="0.25">
      <c r="A305" s="25"/>
      <c r="B305" s="24" t="s">
        <v>322</v>
      </c>
      <c r="C305" s="52">
        <v>11.499000000000001</v>
      </c>
      <c r="D305" s="55">
        <v>11499</v>
      </c>
      <c r="E305" s="22">
        <v>14004</v>
      </c>
      <c r="F305" s="48">
        <v>4122</v>
      </c>
      <c r="H305" s="1"/>
    </row>
    <row r="306" spans="1:8" s="2" customFormat="1" x14ac:dyDescent="0.25">
      <c r="A306" s="25"/>
      <c r="B306" s="24" t="s">
        <v>226</v>
      </c>
      <c r="C306" s="52">
        <v>3000</v>
      </c>
      <c r="D306" s="55">
        <v>3000000</v>
      </c>
      <c r="E306" s="22">
        <v>311</v>
      </c>
      <c r="F306" s="48">
        <v>4122</v>
      </c>
      <c r="H306" s="1"/>
    </row>
    <row r="307" spans="1:8" s="2" customFormat="1" x14ac:dyDescent="0.25">
      <c r="A307" s="25"/>
      <c r="B307" s="24" t="s">
        <v>257</v>
      </c>
      <c r="C307" s="52">
        <v>70</v>
      </c>
      <c r="D307" s="55">
        <v>70000</v>
      </c>
      <c r="E307" s="22">
        <v>551</v>
      </c>
      <c r="F307" s="48">
        <v>4122</v>
      </c>
      <c r="H307" s="1"/>
    </row>
    <row r="308" spans="1:8" s="2" customFormat="1" x14ac:dyDescent="0.25">
      <c r="A308" s="25"/>
      <c r="B308" s="24" t="s">
        <v>318</v>
      </c>
      <c r="C308" s="52">
        <v>2.8</v>
      </c>
      <c r="D308" s="55">
        <v>2800</v>
      </c>
      <c r="E308" s="22">
        <v>14004</v>
      </c>
      <c r="F308" s="48">
        <v>4122</v>
      </c>
      <c r="H308" s="1"/>
    </row>
    <row r="309" spans="1:8" s="2" customFormat="1" x14ac:dyDescent="0.25">
      <c r="A309" s="25"/>
      <c r="B309" s="24" t="s">
        <v>246</v>
      </c>
      <c r="C309" s="52">
        <v>300</v>
      </c>
      <c r="D309" s="55">
        <v>300000</v>
      </c>
      <c r="E309" s="22">
        <v>342</v>
      </c>
      <c r="F309" s="48">
        <v>4122</v>
      </c>
      <c r="H309" s="1"/>
    </row>
    <row r="310" spans="1:8" s="2" customFormat="1" x14ac:dyDescent="0.25">
      <c r="A310" s="25"/>
      <c r="B310" s="24" t="s">
        <v>323</v>
      </c>
      <c r="C310" s="52">
        <v>1.494</v>
      </c>
      <c r="D310" s="55">
        <v>1494</v>
      </c>
      <c r="E310" s="22">
        <v>14004</v>
      </c>
      <c r="F310" s="48">
        <v>4122</v>
      </c>
      <c r="H310" s="1"/>
    </row>
    <row r="311" spans="1:8" s="2" customFormat="1" x14ac:dyDescent="0.25">
      <c r="A311" s="25"/>
      <c r="B311" s="24" t="s">
        <v>201</v>
      </c>
      <c r="C311" s="55">
        <f>827.37418+607.38541+107.18567+726.1137</f>
        <v>2268.0589600000003</v>
      </c>
      <c r="D311" s="55">
        <f>827374.18+714571.08+726113.7</f>
        <v>2268058.96</v>
      </c>
      <c r="E311" s="28">
        <v>33030</v>
      </c>
      <c r="F311" s="48">
        <v>4122</v>
      </c>
      <c r="H311" s="1"/>
    </row>
    <row r="312" spans="1:8" s="2" customFormat="1" x14ac:dyDescent="0.25">
      <c r="A312" s="25"/>
      <c r="B312" s="24" t="s">
        <v>253</v>
      </c>
      <c r="C312" s="55">
        <v>27</v>
      </c>
      <c r="D312" s="55">
        <v>27000</v>
      </c>
      <c r="E312" s="28">
        <v>551</v>
      </c>
      <c r="F312" s="48">
        <v>4122</v>
      </c>
      <c r="H312" s="1"/>
    </row>
    <row r="313" spans="1:8" s="2" customFormat="1" x14ac:dyDescent="0.25">
      <c r="A313" s="25"/>
      <c r="B313" s="24" t="s">
        <v>327</v>
      </c>
      <c r="C313" s="55">
        <v>42.597000000000001</v>
      </c>
      <c r="D313" s="55">
        <v>42597</v>
      </c>
      <c r="E313" s="28">
        <v>14004</v>
      </c>
      <c r="F313" s="48">
        <v>4122</v>
      </c>
      <c r="H313" s="1"/>
    </row>
    <row r="314" spans="1:8" s="2" customFormat="1" x14ac:dyDescent="0.25">
      <c r="A314" s="25"/>
      <c r="B314" s="24" t="s">
        <v>315</v>
      </c>
      <c r="C314" s="55">
        <v>33.359000000000002</v>
      </c>
      <c r="D314" s="55">
        <v>33359</v>
      </c>
      <c r="E314" s="28">
        <v>14004</v>
      </c>
      <c r="F314" s="48">
        <v>4122</v>
      </c>
      <c r="H314" s="1"/>
    </row>
    <row r="315" spans="1:8" s="2" customFormat="1" x14ac:dyDescent="0.25">
      <c r="A315" s="25"/>
      <c r="B315" s="24" t="s">
        <v>194</v>
      </c>
      <c r="C315" s="55">
        <v>30</v>
      </c>
      <c r="D315" s="55">
        <v>30000</v>
      </c>
      <c r="E315" s="28">
        <v>331</v>
      </c>
      <c r="F315" s="48">
        <v>4122</v>
      </c>
      <c r="H315" s="1"/>
    </row>
    <row r="316" spans="1:8" s="2" customFormat="1" x14ac:dyDescent="0.25">
      <c r="A316" s="25"/>
      <c r="B316" s="24" t="s">
        <v>314</v>
      </c>
      <c r="C316" s="55">
        <v>3.2</v>
      </c>
      <c r="D316" s="55">
        <v>3200</v>
      </c>
      <c r="E316" s="28">
        <v>14004</v>
      </c>
      <c r="F316" s="48">
        <v>4122</v>
      </c>
      <c r="H316" s="1"/>
    </row>
    <row r="317" spans="1:8" s="2" customFormat="1" x14ac:dyDescent="0.25">
      <c r="A317" s="25"/>
      <c r="B317" s="24" t="s">
        <v>227</v>
      </c>
      <c r="C317" s="55">
        <v>25</v>
      </c>
      <c r="D317" s="55">
        <v>25000</v>
      </c>
      <c r="E317" s="28">
        <v>331</v>
      </c>
      <c r="F317" s="48">
        <v>4122</v>
      </c>
      <c r="H317" s="1"/>
    </row>
    <row r="318" spans="1:8" s="2" customFormat="1" x14ac:dyDescent="0.25">
      <c r="A318" s="25"/>
      <c r="B318" s="24" t="s">
        <v>228</v>
      </c>
      <c r="C318" s="55">
        <v>50</v>
      </c>
      <c r="D318" s="55">
        <v>50000</v>
      </c>
      <c r="E318" s="28">
        <v>342</v>
      </c>
      <c r="F318" s="48">
        <v>4122</v>
      </c>
      <c r="H318" s="1"/>
    </row>
    <row r="319" spans="1:8" s="2" customFormat="1" x14ac:dyDescent="0.25">
      <c r="A319" s="25"/>
      <c r="B319" s="24" t="s">
        <v>229</v>
      </c>
      <c r="C319" s="55">
        <v>70</v>
      </c>
      <c r="D319" s="55">
        <v>70000</v>
      </c>
      <c r="E319" s="28">
        <v>101</v>
      </c>
      <c r="F319" s="48">
        <v>4122</v>
      </c>
      <c r="H319" s="1"/>
    </row>
    <row r="320" spans="1:8" s="2" customFormat="1" x14ac:dyDescent="0.25">
      <c r="A320" s="25"/>
      <c r="B320" s="24" t="s">
        <v>340</v>
      </c>
      <c r="C320" s="55">
        <v>70</v>
      </c>
      <c r="D320" s="55">
        <v>70000</v>
      </c>
      <c r="E320" s="28">
        <v>551</v>
      </c>
      <c r="F320" s="48">
        <v>4122</v>
      </c>
      <c r="H320" s="1"/>
    </row>
    <row r="321" spans="1:8" s="2" customFormat="1" x14ac:dyDescent="0.25">
      <c r="A321" s="25"/>
      <c r="B321" s="24" t="s">
        <v>328</v>
      </c>
      <c r="C321" s="55">
        <v>2</v>
      </c>
      <c r="D321" s="55">
        <v>2000</v>
      </c>
      <c r="E321" s="28">
        <v>14004</v>
      </c>
      <c r="F321" s="48">
        <v>4122</v>
      </c>
      <c r="H321" s="1"/>
    </row>
    <row r="322" spans="1:8" s="2" customFormat="1" x14ac:dyDescent="0.25">
      <c r="A322" s="25"/>
      <c r="B322" s="24" t="s">
        <v>199</v>
      </c>
      <c r="C322" s="55">
        <v>185</v>
      </c>
      <c r="D322" s="55">
        <v>185000</v>
      </c>
      <c r="E322" s="28">
        <v>435</v>
      </c>
      <c r="F322" s="48">
        <v>4122</v>
      </c>
      <c r="H322" s="1"/>
    </row>
    <row r="323" spans="1:8" s="2" customFormat="1" x14ac:dyDescent="0.25">
      <c r="A323" s="25"/>
      <c r="B323" s="24" t="s">
        <v>259</v>
      </c>
      <c r="C323" s="55">
        <v>90</v>
      </c>
      <c r="D323" s="55">
        <v>90000</v>
      </c>
      <c r="E323" s="28">
        <v>551</v>
      </c>
      <c r="F323" s="48">
        <v>4122</v>
      </c>
    </row>
    <row r="324" spans="1:8" s="2" customFormat="1" x14ac:dyDescent="0.25">
      <c r="A324" s="25"/>
      <c r="B324" s="24" t="s">
        <v>329</v>
      </c>
      <c r="C324" s="55">
        <v>11.2</v>
      </c>
      <c r="D324" s="55">
        <v>11200</v>
      </c>
      <c r="E324" s="28">
        <v>14004</v>
      </c>
      <c r="F324" s="48">
        <v>4122</v>
      </c>
    </row>
    <row r="325" spans="1:8" s="2" customFormat="1" x14ac:dyDescent="0.25">
      <c r="A325" s="25"/>
      <c r="B325" s="24" t="s">
        <v>326</v>
      </c>
      <c r="C325" s="55">
        <v>0.8</v>
      </c>
      <c r="D325" s="55">
        <v>800</v>
      </c>
      <c r="E325" s="28">
        <v>14004</v>
      </c>
      <c r="F325" s="48">
        <v>4122</v>
      </c>
    </row>
    <row r="326" spans="1:8" s="2" customFormat="1" x14ac:dyDescent="0.25">
      <c r="A326" s="25"/>
      <c r="B326" s="24"/>
      <c r="C326" s="55"/>
      <c r="D326" s="55"/>
      <c r="E326" s="28"/>
      <c r="F326" s="29"/>
    </row>
    <row r="327" spans="1:8" s="2" customFormat="1" x14ac:dyDescent="0.25">
      <c r="A327" s="25"/>
      <c r="B327" s="30" t="s">
        <v>55</v>
      </c>
      <c r="C327" s="26">
        <f>SUM(C328:C332)</f>
        <v>1855.9939900000002</v>
      </c>
      <c r="D327" s="27">
        <f>+SUM(D328:D332)</f>
        <v>1855993.99</v>
      </c>
      <c r="E327" s="28"/>
      <c r="F327" s="29"/>
    </row>
    <row r="328" spans="1:8" s="2" customFormat="1" x14ac:dyDescent="0.25">
      <c r="A328" s="12">
        <v>41768</v>
      </c>
      <c r="B328" s="24" t="s">
        <v>107</v>
      </c>
      <c r="C328" s="52">
        <v>1052.0603000000001</v>
      </c>
      <c r="D328" s="55">
        <v>1052060.3</v>
      </c>
      <c r="E328" s="22">
        <v>86005</v>
      </c>
      <c r="F328" s="48">
        <v>4123</v>
      </c>
    </row>
    <row r="329" spans="1:8" s="2" customFormat="1" x14ac:dyDescent="0.25">
      <c r="A329" s="49">
        <v>41768</v>
      </c>
      <c r="B329" s="24" t="s">
        <v>107</v>
      </c>
      <c r="C329" s="52">
        <v>92.828850000000003</v>
      </c>
      <c r="D329" s="55">
        <v>92828.85</v>
      </c>
      <c r="E329" s="62">
        <v>86001</v>
      </c>
      <c r="F329" s="48">
        <v>4123</v>
      </c>
    </row>
    <row r="330" spans="1:8" s="2" customFormat="1" x14ac:dyDescent="0.25">
      <c r="A330" s="49">
        <v>41835</v>
      </c>
      <c r="B330" s="24" t="s">
        <v>181</v>
      </c>
      <c r="C330" s="52">
        <v>653.44768999999997</v>
      </c>
      <c r="D330" s="55">
        <v>653447.68999999994</v>
      </c>
      <c r="E330" s="62">
        <v>86005</v>
      </c>
      <c r="F330" s="48">
        <v>4123</v>
      </c>
    </row>
    <row r="331" spans="1:8" s="2" customFormat="1" x14ac:dyDescent="0.25">
      <c r="A331" s="49">
        <v>41835</v>
      </c>
      <c r="B331" s="24" t="s">
        <v>181</v>
      </c>
      <c r="C331" s="52">
        <v>57.657150000000001</v>
      </c>
      <c r="D331" s="55">
        <v>57657.15</v>
      </c>
      <c r="E331" s="62">
        <v>86001</v>
      </c>
      <c r="F331" s="48">
        <v>4123</v>
      </c>
    </row>
    <row r="332" spans="1:8" x14ac:dyDescent="0.25">
      <c r="A332" s="50"/>
      <c r="B332" s="64"/>
      <c r="C332" s="65"/>
      <c r="D332" s="56"/>
      <c r="E332" s="60"/>
      <c r="F332" s="48"/>
      <c r="G332" s="2"/>
      <c r="H332" s="2"/>
    </row>
    <row r="333" spans="1:8" s="2" customFormat="1" x14ac:dyDescent="0.25">
      <c r="A333" s="25"/>
      <c r="B333" s="66" t="s">
        <v>56</v>
      </c>
      <c r="C333" s="30">
        <f>+C334</f>
        <v>328</v>
      </c>
      <c r="D333" s="31">
        <f>+D334</f>
        <v>327409.55</v>
      </c>
      <c r="E333" s="28"/>
      <c r="F333" s="29"/>
    </row>
    <row r="334" spans="1:8" s="45" customFormat="1" x14ac:dyDescent="0.25">
      <c r="A334" s="43">
        <v>41669</v>
      </c>
      <c r="B334" s="44" t="s">
        <v>57</v>
      </c>
      <c r="C334" s="47">
        <v>328</v>
      </c>
      <c r="D334" s="47">
        <v>327409.55</v>
      </c>
      <c r="E334" s="67"/>
      <c r="F334" s="68">
        <v>4151</v>
      </c>
      <c r="G334" s="2"/>
      <c r="H334" s="2"/>
    </row>
    <row r="335" spans="1:8" s="2" customFormat="1" x14ac:dyDescent="0.25">
      <c r="A335" s="25"/>
      <c r="B335" s="23"/>
      <c r="C335" s="46"/>
      <c r="D335" s="47"/>
      <c r="E335" s="28"/>
      <c r="F335" s="48"/>
    </row>
    <row r="336" spans="1:8" s="2" customFormat="1" x14ac:dyDescent="0.25">
      <c r="A336" s="25"/>
      <c r="B336" s="69" t="s">
        <v>58</v>
      </c>
      <c r="C336" s="30">
        <f>+SUM(C337:C340)</f>
        <v>5888</v>
      </c>
      <c r="D336" s="31">
        <f>+SUM(D337:D340)</f>
        <v>5886167.8700000001</v>
      </c>
      <c r="E336" s="28"/>
      <c r="F336" s="48"/>
    </row>
    <row r="337" spans="1:8" s="45" customFormat="1" x14ac:dyDescent="0.25">
      <c r="A337" s="43">
        <v>41661</v>
      </c>
      <c r="B337" s="24" t="s">
        <v>60</v>
      </c>
      <c r="C337" s="53">
        <v>448</v>
      </c>
      <c r="D337" s="55">
        <v>447498.68</v>
      </c>
      <c r="E337" s="67"/>
      <c r="F337" s="68">
        <v>4152</v>
      </c>
      <c r="G337" s="2"/>
      <c r="H337" s="2"/>
    </row>
    <row r="338" spans="1:8" s="45" customFormat="1" x14ac:dyDescent="0.25">
      <c r="A338" s="43">
        <v>41670</v>
      </c>
      <c r="B338" s="24" t="s">
        <v>59</v>
      </c>
      <c r="C338" s="53">
        <v>2852</v>
      </c>
      <c r="D338" s="55">
        <v>2851674.69</v>
      </c>
      <c r="E338" s="67"/>
      <c r="F338" s="68">
        <v>4152</v>
      </c>
      <c r="G338" s="2"/>
      <c r="H338" s="2"/>
    </row>
    <row r="339" spans="1:8" s="45" customFormat="1" x14ac:dyDescent="0.25">
      <c r="A339" s="43">
        <v>41773</v>
      </c>
      <c r="B339" s="24" t="s">
        <v>110</v>
      </c>
      <c r="C339" s="53">
        <v>2097</v>
      </c>
      <c r="D339" s="55">
        <v>2096090.44</v>
      </c>
      <c r="E339" s="67"/>
      <c r="F339" s="68">
        <v>4152</v>
      </c>
      <c r="G339" s="2"/>
      <c r="H339" s="2"/>
    </row>
    <row r="340" spans="1:8" s="45" customFormat="1" x14ac:dyDescent="0.25">
      <c r="A340" s="43">
        <v>41810</v>
      </c>
      <c r="B340" s="24" t="s">
        <v>127</v>
      </c>
      <c r="C340" s="53">
        <v>491</v>
      </c>
      <c r="D340" s="55">
        <v>490904.06</v>
      </c>
      <c r="E340" s="67"/>
      <c r="F340" s="68">
        <v>4152</v>
      </c>
      <c r="G340" s="2"/>
      <c r="H340" s="2"/>
    </row>
    <row r="341" spans="1:8" x14ac:dyDescent="0.25">
      <c r="A341" s="50"/>
      <c r="B341" s="24"/>
      <c r="C341" s="59"/>
      <c r="D341" s="55"/>
      <c r="E341" s="60"/>
      <c r="F341" s="63"/>
      <c r="G341" s="2"/>
      <c r="H341" s="2"/>
    </row>
    <row r="342" spans="1:8" s="2" customFormat="1" x14ac:dyDescent="0.25">
      <c r="A342" s="25"/>
      <c r="B342" s="70" t="s">
        <v>61</v>
      </c>
      <c r="C342" s="26">
        <f>+C336+C214+C143+C140+C119+C106+C38+C12+C7+C124+C333+C327+C210+C64+C158+C183+C20+C175+C34</f>
        <v>261773.67747000002</v>
      </c>
      <c r="D342" s="27">
        <f>+D336+D214+D143+D140+D119+D106+D38+D12+D7+D124+D333+D327+D210+D64+D158+D183+D20+D175+D34</f>
        <v>263072819.49000004</v>
      </c>
      <c r="E342" s="71"/>
      <c r="F342" s="22"/>
    </row>
    <row r="343" spans="1:8" s="2" customFormat="1" ht="16.5" thickBot="1" x14ac:dyDescent="0.3">
      <c r="A343" s="72"/>
      <c r="B343" s="73"/>
      <c r="C343" s="74"/>
      <c r="D343" s="75"/>
      <c r="E343" s="76"/>
      <c r="F343" s="77"/>
    </row>
    <row r="344" spans="1:8" s="2" customFormat="1" x14ac:dyDescent="0.25">
      <c r="A344" s="78"/>
      <c r="B344" s="7"/>
      <c r="C344" s="7"/>
      <c r="D344" s="79"/>
      <c r="E344" s="80"/>
      <c r="F344" s="80"/>
    </row>
    <row r="345" spans="1:8" s="2" customFormat="1" ht="16.5" thickBot="1" x14ac:dyDescent="0.3">
      <c r="A345" s="78"/>
      <c r="B345" s="7"/>
      <c r="C345" s="7"/>
      <c r="D345" s="79"/>
      <c r="E345" s="80"/>
      <c r="F345" s="80"/>
    </row>
    <row r="346" spans="1:8" s="2" customFormat="1" x14ac:dyDescent="0.25">
      <c r="A346" s="3"/>
      <c r="B346" s="4"/>
      <c r="C346" s="4"/>
      <c r="D346" s="5"/>
      <c r="E346" s="81"/>
      <c r="F346" s="81"/>
    </row>
    <row r="347" spans="1:8" s="2" customFormat="1" ht="16.5" thickBot="1" x14ac:dyDescent="0.3">
      <c r="A347" s="8" t="s">
        <v>1</v>
      </c>
      <c r="B347" s="9" t="s">
        <v>62</v>
      </c>
      <c r="C347" s="9" t="s">
        <v>3</v>
      </c>
      <c r="D347" s="10" t="s">
        <v>4</v>
      </c>
      <c r="E347" s="82" t="s">
        <v>5</v>
      </c>
      <c r="F347" s="82" t="s">
        <v>6</v>
      </c>
    </row>
    <row r="348" spans="1:8" s="2" customFormat="1" x14ac:dyDescent="0.25">
      <c r="A348" s="25"/>
      <c r="B348" s="13" t="s">
        <v>16</v>
      </c>
      <c r="C348" s="39">
        <f>+SUM(C349:C381)</f>
        <v>21565.72265</v>
      </c>
      <c r="D348" s="40">
        <f>+SUM(D349:D381)</f>
        <v>21424166.930000007</v>
      </c>
      <c r="E348" s="48"/>
      <c r="F348" s="48"/>
    </row>
    <row r="349" spans="1:8" s="2" customFormat="1" x14ac:dyDescent="0.25">
      <c r="A349" s="25">
        <v>41918</v>
      </c>
      <c r="B349" s="44" t="s">
        <v>76</v>
      </c>
      <c r="C349" s="53">
        <f>11668.6787+10153.37841-4196.97595</f>
        <v>17625.081160000002</v>
      </c>
      <c r="D349" s="47">
        <v>17625081.16</v>
      </c>
      <c r="E349" s="48">
        <v>90877</v>
      </c>
      <c r="F349" s="48">
        <v>4213</v>
      </c>
    </row>
    <row r="350" spans="1:8" s="2" customFormat="1" x14ac:dyDescent="0.25">
      <c r="A350" s="25">
        <v>41856</v>
      </c>
      <c r="B350" s="44" t="s">
        <v>193</v>
      </c>
      <c r="C350" s="53">
        <v>7.2996499999999997</v>
      </c>
      <c r="D350" s="21">
        <v>7299.65</v>
      </c>
      <c r="E350" s="48">
        <v>90877</v>
      </c>
      <c r="F350" s="48">
        <v>4213</v>
      </c>
    </row>
    <row r="351" spans="1:8" s="2" customFormat="1" x14ac:dyDescent="0.25">
      <c r="A351" s="25">
        <v>41894</v>
      </c>
      <c r="B351" s="44" t="s">
        <v>193</v>
      </c>
      <c r="C351" s="53">
        <v>20.533110000000001</v>
      </c>
      <c r="D351" s="21">
        <v>20533.11</v>
      </c>
      <c r="E351" s="48">
        <v>90877</v>
      </c>
      <c r="F351" s="48">
        <v>4213</v>
      </c>
    </row>
    <row r="352" spans="1:8" s="2" customFormat="1" x14ac:dyDescent="0.25">
      <c r="A352" s="25">
        <v>41964</v>
      </c>
      <c r="B352" s="44" t="s">
        <v>268</v>
      </c>
      <c r="C352" s="53">
        <v>5.4450000000000003</v>
      </c>
      <c r="D352" s="21">
        <v>5445</v>
      </c>
      <c r="E352" s="48">
        <v>90877</v>
      </c>
      <c r="F352" s="48">
        <v>4213</v>
      </c>
    </row>
    <row r="353" spans="1:6" s="2" customFormat="1" x14ac:dyDescent="0.25">
      <c r="A353" s="25">
        <v>41969</v>
      </c>
      <c r="B353" s="44" t="s">
        <v>269</v>
      </c>
      <c r="C353" s="53">
        <v>100.00698</v>
      </c>
      <c r="D353" s="21">
        <v>100006.98</v>
      </c>
      <c r="E353" s="48">
        <v>90877</v>
      </c>
      <c r="F353" s="48">
        <v>4213</v>
      </c>
    </row>
    <row r="354" spans="1:6" s="2" customFormat="1" x14ac:dyDescent="0.25">
      <c r="A354" s="25">
        <v>41971</v>
      </c>
      <c r="B354" s="44" t="s">
        <v>275</v>
      </c>
      <c r="C354" s="53">
        <v>100.88712</v>
      </c>
      <c r="D354" s="20">
        <v>100887.12</v>
      </c>
      <c r="E354" s="48">
        <v>90877</v>
      </c>
      <c r="F354" s="48">
        <v>4213</v>
      </c>
    </row>
    <row r="355" spans="1:6" s="2" customFormat="1" x14ac:dyDescent="0.25">
      <c r="A355" s="25">
        <v>41975</v>
      </c>
      <c r="B355" s="44" t="s">
        <v>280</v>
      </c>
      <c r="C355" s="53">
        <v>98.087739999999997</v>
      </c>
      <c r="D355" s="20">
        <v>98087.74</v>
      </c>
      <c r="E355" s="48">
        <v>90877</v>
      </c>
      <c r="F355" s="48">
        <v>4213</v>
      </c>
    </row>
    <row r="356" spans="1:6" s="2" customFormat="1" x14ac:dyDescent="0.25">
      <c r="A356" s="25">
        <v>41975</v>
      </c>
      <c r="B356" s="44" t="s">
        <v>281</v>
      </c>
      <c r="C356" s="53">
        <v>69.997870000000006</v>
      </c>
      <c r="D356" s="20">
        <v>69997.87</v>
      </c>
      <c r="E356" s="48">
        <v>90877</v>
      </c>
      <c r="F356" s="48">
        <v>4213</v>
      </c>
    </row>
    <row r="357" spans="1:6" s="2" customFormat="1" x14ac:dyDescent="0.25">
      <c r="A357" s="25">
        <v>41976</v>
      </c>
      <c r="B357" s="44" t="s">
        <v>309</v>
      </c>
      <c r="C357" s="53">
        <v>478.53451999999999</v>
      </c>
      <c r="D357" s="20">
        <v>478534.52</v>
      </c>
      <c r="E357" s="48">
        <v>90877</v>
      </c>
      <c r="F357" s="48">
        <v>4213</v>
      </c>
    </row>
    <row r="358" spans="1:6" s="2" customFormat="1" x14ac:dyDescent="0.25">
      <c r="A358" s="25">
        <v>41983</v>
      </c>
      <c r="B358" s="44" t="s">
        <v>294</v>
      </c>
      <c r="C358" s="53">
        <v>0.4</v>
      </c>
      <c r="D358" s="20">
        <v>400</v>
      </c>
      <c r="E358" s="48">
        <v>90877</v>
      </c>
      <c r="F358" s="48">
        <v>4213</v>
      </c>
    </row>
    <row r="359" spans="1:6" s="2" customFormat="1" x14ac:dyDescent="0.25">
      <c r="A359" s="25">
        <v>41983</v>
      </c>
      <c r="B359" s="44" t="s">
        <v>275</v>
      </c>
      <c r="C359" s="53">
        <v>0.30249999999999999</v>
      </c>
      <c r="D359" s="20">
        <v>302.5</v>
      </c>
      <c r="E359" s="48">
        <v>90877</v>
      </c>
      <c r="F359" s="48">
        <v>4213</v>
      </c>
    </row>
    <row r="360" spans="1:6" s="2" customFormat="1" x14ac:dyDescent="0.25">
      <c r="A360" s="25">
        <v>41984</v>
      </c>
      <c r="B360" s="44" t="s">
        <v>268</v>
      </c>
      <c r="C360" s="53">
        <v>100.69473000000001</v>
      </c>
      <c r="D360" s="20">
        <v>100694.73</v>
      </c>
      <c r="E360" s="48">
        <v>90877</v>
      </c>
      <c r="F360" s="48">
        <v>4213</v>
      </c>
    </row>
    <row r="361" spans="1:6" s="2" customFormat="1" x14ac:dyDescent="0.25">
      <c r="A361" s="25">
        <v>41989</v>
      </c>
      <c r="B361" s="44" t="s">
        <v>299</v>
      </c>
      <c r="C361" s="53">
        <v>546.33384999999998</v>
      </c>
      <c r="D361" s="20">
        <v>546333.85</v>
      </c>
      <c r="E361" s="48">
        <v>90877</v>
      </c>
      <c r="F361" s="48">
        <v>4213</v>
      </c>
    </row>
    <row r="362" spans="1:6" s="2" customFormat="1" x14ac:dyDescent="0.25">
      <c r="A362" s="25">
        <v>41984</v>
      </c>
      <c r="B362" s="44" t="s">
        <v>300</v>
      </c>
      <c r="C362" s="53">
        <v>5.2560900000000004</v>
      </c>
      <c r="D362" s="20">
        <v>5256.09</v>
      </c>
      <c r="E362" s="48">
        <v>90877</v>
      </c>
      <c r="F362" s="48">
        <v>4213</v>
      </c>
    </row>
    <row r="363" spans="1:6" s="2" customFormat="1" x14ac:dyDescent="0.25">
      <c r="A363" s="25">
        <v>41984</v>
      </c>
      <c r="B363" s="44" t="s">
        <v>302</v>
      </c>
      <c r="C363" s="53">
        <v>358.07350000000002</v>
      </c>
      <c r="D363" s="20">
        <v>358073.5</v>
      </c>
      <c r="E363" s="48">
        <v>90877</v>
      </c>
      <c r="F363" s="48">
        <v>4213</v>
      </c>
    </row>
    <row r="364" spans="1:6" s="2" customFormat="1" x14ac:dyDescent="0.25">
      <c r="A364" s="25">
        <v>41984</v>
      </c>
      <c r="B364" s="44" t="s">
        <v>303</v>
      </c>
      <c r="C364" s="53">
        <v>157.00241</v>
      </c>
      <c r="D364" s="20">
        <v>157002.41</v>
      </c>
      <c r="E364" s="48">
        <v>90877</v>
      </c>
      <c r="F364" s="48">
        <v>4213</v>
      </c>
    </row>
    <row r="365" spans="1:6" s="2" customFormat="1" x14ac:dyDescent="0.25">
      <c r="A365" s="25">
        <v>41989</v>
      </c>
      <c r="B365" s="44" t="s">
        <v>304</v>
      </c>
      <c r="C365" s="53">
        <v>406.53928000000002</v>
      </c>
      <c r="D365" s="20">
        <v>406539.28</v>
      </c>
      <c r="E365" s="48">
        <v>90877</v>
      </c>
      <c r="F365" s="48">
        <v>4213</v>
      </c>
    </row>
    <row r="366" spans="1:6" s="2" customFormat="1" x14ac:dyDescent="0.25">
      <c r="A366" s="25"/>
      <c r="B366" s="44" t="s">
        <v>301</v>
      </c>
      <c r="C366" s="53">
        <v>141.55572000000001</v>
      </c>
      <c r="D366" s="20">
        <v>0</v>
      </c>
      <c r="E366" s="48">
        <v>90877</v>
      </c>
      <c r="F366" s="48">
        <v>4213</v>
      </c>
    </row>
    <row r="367" spans="1:6" s="2" customFormat="1" x14ac:dyDescent="0.25">
      <c r="A367" s="25"/>
      <c r="B367" s="44" t="s">
        <v>108</v>
      </c>
      <c r="C367" s="20">
        <v>64.382350000000002</v>
      </c>
      <c r="D367" s="21">
        <v>64382.35</v>
      </c>
      <c r="E367" s="48">
        <v>90877</v>
      </c>
      <c r="F367" s="48">
        <v>4213</v>
      </c>
    </row>
    <row r="368" spans="1:6" s="2" customFormat="1" x14ac:dyDescent="0.25">
      <c r="A368" s="25"/>
      <c r="B368" s="24" t="s">
        <v>220</v>
      </c>
      <c r="C368" s="20">
        <v>11.04843</v>
      </c>
      <c r="D368" s="21">
        <v>11048.43</v>
      </c>
      <c r="E368" s="48">
        <v>90877</v>
      </c>
      <c r="F368" s="48">
        <v>4213</v>
      </c>
    </row>
    <row r="369" spans="1:6" s="2" customFormat="1" x14ac:dyDescent="0.25">
      <c r="A369" s="25"/>
      <c r="B369" s="44" t="s">
        <v>219</v>
      </c>
      <c r="C369" s="20">
        <v>10.3956</v>
      </c>
      <c r="D369" s="21">
        <v>10395.6</v>
      </c>
      <c r="E369" s="48">
        <v>90877</v>
      </c>
      <c r="F369" s="48">
        <v>4213</v>
      </c>
    </row>
    <row r="370" spans="1:6" s="2" customFormat="1" x14ac:dyDescent="0.25">
      <c r="A370" s="25"/>
      <c r="B370" s="44" t="s">
        <v>310</v>
      </c>
      <c r="C370" s="20">
        <f>94.51408+39.20247</f>
        <v>133.71655000000001</v>
      </c>
      <c r="D370" s="21">
        <f>94514.08+39202.47</f>
        <v>133716.54999999999</v>
      </c>
      <c r="E370" s="48">
        <v>90877</v>
      </c>
      <c r="F370" s="48">
        <v>4213</v>
      </c>
    </row>
    <row r="371" spans="1:6" s="2" customFormat="1" x14ac:dyDescent="0.25">
      <c r="A371" s="25"/>
      <c r="B371" s="44" t="s">
        <v>260</v>
      </c>
      <c r="C371" s="20">
        <f>103.50656+11.88548</f>
        <v>115.39203999999999</v>
      </c>
      <c r="D371" s="21">
        <f>103506.56+11885.48</f>
        <v>115392.04</v>
      </c>
      <c r="E371" s="48">
        <v>90877</v>
      </c>
      <c r="F371" s="48">
        <v>4213</v>
      </c>
    </row>
    <row r="372" spans="1:6" s="2" customFormat="1" x14ac:dyDescent="0.25">
      <c r="A372" s="25"/>
      <c r="B372" s="44" t="s">
        <v>91</v>
      </c>
      <c r="C372" s="20">
        <v>137.28941</v>
      </c>
      <c r="D372" s="21">
        <f>79742.49+57546.92</f>
        <v>137289.41</v>
      </c>
      <c r="E372" s="48">
        <v>90877</v>
      </c>
      <c r="F372" s="48">
        <v>4213</v>
      </c>
    </row>
    <row r="373" spans="1:6" s="2" customFormat="1" x14ac:dyDescent="0.25">
      <c r="A373" s="25"/>
      <c r="B373" s="44" t="s">
        <v>330</v>
      </c>
      <c r="C373" s="20">
        <v>182.40674000000001</v>
      </c>
      <c r="D373" s="21">
        <v>182406.74</v>
      </c>
      <c r="E373" s="48">
        <v>90877</v>
      </c>
      <c r="F373" s="48">
        <v>4213</v>
      </c>
    </row>
    <row r="374" spans="1:6" s="2" customFormat="1" x14ac:dyDescent="0.25">
      <c r="A374" s="25"/>
      <c r="B374" s="44" t="s">
        <v>279</v>
      </c>
      <c r="C374" s="20">
        <f>70.88837+13.42543</f>
        <v>84.313800000000001</v>
      </c>
      <c r="D374" s="21">
        <f>70888.37+13425.43</f>
        <v>84313.799999999988</v>
      </c>
      <c r="E374" s="48">
        <v>90877</v>
      </c>
      <c r="F374" s="48">
        <v>4213</v>
      </c>
    </row>
    <row r="375" spans="1:6" s="2" customFormat="1" x14ac:dyDescent="0.25">
      <c r="A375" s="25"/>
      <c r="B375" s="44" t="s">
        <v>334</v>
      </c>
      <c r="C375" s="20">
        <v>82.043350000000004</v>
      </c>
      <c r="D375" s="21">
        <v>82043.350000000006</v>
      </c>
      <c r="E375" s="48">
        <v>90877</v>
      </c>
      <c r="F375" s="48">
        <v>4213</v>
      </c>
    </row>
    <row r="376" spans="1:6" s="2" customFormat="1" x14ac:dyDescent="0.25">
      <c r="A376" s="25"/>
      <c r="B376" s="44" t="s">
        <v>319</v>
      </c>
      <c r="C376" s="20">
        <v>48.514249999999997</v>
      </c>
      <c r="D376" s="21">
        <v>48514.25</v>
      </c>
      <c r="E376" s="48">
        <v>90877</v>
      </c>
      <c r="F376" s="48">
        <v>4213</v>
      </c>
    </row>
    <row r="377" spans="1:6" s="2" customFormat="1" x14ac:dyDescent="0.25">
      <c r="A377" s="25"/>
      <c r="B377" s="44" t="s">
        <v>335</v>
      </c>
      <c r="C377" s="20">
        <v>186.83074999999999</v>
      </c>
      <c r="D377" s="21">
        <v>186830.75</v>
      </c>
      <c r="E377" s="48">
        <v>90877</v>
      </c>
      <c r="F377" s="48">
        <v>4213</v>
      </c>
    </row>
    <row r="378" spans="1:6" s="2" customFormat="1" x14ac:dyDescent="0.25">
      <c r="A378" s="25"/>
      <c r="B378" s="44" t="s">
        <v>320</v>
      </c>
      <c r="C378" s="20">
        <v>83.733040000000003</v>
      </c>
      <c r="D378" s="21">
        <v>83733.039999999994</v>
      </c>
      <c r="E378" s="48">
        <v>90877</v>
      </c>
      <c r="F378" s="48">
        <v>4213</v>
      </c>
    </row>
    <row r="379" spans="1:6" s="2" customFormat="1" x14ac:dyDescent="0.25">
      <c r="A379" s="25"/>
      <c r="B379" s="44" t="s">
        <v>336</v>
      </c>
      <c r="C379" s="20">
        <v>80.275009999999995</v>
      </c>
      <c r="D379" s="21">
        <v>80275.009999999995</v>
      </c>
      <c r="E379" s="48">
        <v>90877</v>
      </c>
      <c r="F379" s="48">
        <v>4213</v>
      </c>
    </row>
    <row r="380" spans="1:6" s="2" customFormat="1" x14ac:dyDescent="0.25">
      <c r="A380" s="25"/>
      <c r="B380" s="44" t="s">
        <v>161</v>
      </c>
      <c r="C380" s="20">
        <v>123.3501</v>
      </c>
      <c r="D380" s="21">
        <f>118388.1+4962</f>
        <v>123350.1</v>
      </c>
      <c r="E380" s="48">
        <v>90877</v>
      </c>
      <c r="F380" s="48">
        <v>4213</v>
      </c>
    </row>
    <row r="381" spans="1:6" s="2" customFormat="1" x14ac:dyDescent="0.25">
      <c r="A381" s="25"/>
      <c r="B381" s="44"/>
      <c r="C381" s="20"/>
      <c r="D381" s="40"/>
      <c r="E381" s="48"/>
      <c r="F381" s="48"/>
    </row>
    <row r="382" spans="1:6" s="2" customFormat="1" x14ac:dyDescent="0.25">
      <c r="A382" s="25"/>
      <c r="B382" s="23"/>
      <c r="C382" s="20"/>
      <c r="D382" s="40"/>
      <c r="E382" s="48"/>
      <c r="F382" s="48"/>
    </row>
    <row r="383" spans="1:6" s="2" customFormat="1" x14ac:dyDescent="0.25">
      <c r="A383" s="25"/>
      <c r="B383" s="13" t="s">
        <v>50</v>
      </c>
      <c r="C383" s="39">
        <f>+SUM(C384:C435)</f>
        <v>385953.16154000006</v>
      </c>
      <c r="D383" s="40">
        <f>+SUM(D384:D435)</f>
        <v>385953161.5399999</v>
      </c>
      <c r="E383" s="48"/>
      <c r="F383" s="48"/>
    </row>
    <row r="384" spans="1:6" s="2" customFormat="1" x14ac:dyDescent="0.25">
      <c r="A384" s="25">
        <v>41920</v>
      </c>
      <c r="B384" s="44" t="s">
        <v>76</v>
      </c>
      <c r="C384" s="53">
        <f>198367.53729+172607.43311-71348.59103</f>
        <v>299626.37936999998</v>
      </c>
      <c r="D384" s="21">
        <v>299626379.37</v>
      </c>
      <c r="E384" s="48">
        <v>15825</v>
      </c>
      <c r="F384" s="48">
        <v>4216</v>
      </c>
    </row>
    <row r="385" spans="1:6" s="2" customFormat="1" x14ac:dyDescent="0.25">
      <c r="A385" s="25">
        <v>41856</v>
      </c>
      <c r="B385" s="44" t="s">
        <v>193</v>
      </c>
      <c r="C385" s="53">
        <v>124.09405</v>
      </c>
      <c r="D385" s="21">
        <v>124094.05</v>
      </c>
      <c r="E385" s="48">
        <v>15827</v>
      </c>
      <c r="F385" s="48">
        <v>4216</v>
      </c>
    </row>
    <row r="386" spans="1:6" s="2" customFormat="1" x14ac:dyDescent="0.25">
      <c r="A386" s="25">
        <v>41894</v>
      </c>
      <c r="B386" s="44" t="s">
        <v>193</v>
      </c>
      <c r="C386" s="53">
        <v>349.06297999999998</v>
      </c>
      <c r="D386" s="21">
        <v>349062.98</v>
      </c>
      <c r="E386" s="48">
        <v>15827</v>
      </c>
      <c r="F386" s="48">
        <v>4216</v>
      </c>
    </row>
    <row r="387" spans="1:6" s="2" customFormat="1" x14ac:dyDescent="0.25">
      <c r="A387" s="25">
        <v>41950</v>
      </c>
      <c r="B387" s="44" t="s">
        <v>266</v>
      </c>
      <c r="C387" s="53">
        <v>521.48518999999999</v>
      </c>
      <c r="D387" s="21">
        <v>521485.19</v>
      </c>
      <c r="E387" s="48">
        <v>15829</v>
      </c>
      <c r="F387" s="48">
        <v>4216</v>
      </c>
    </row>
    <row r="388" spans="1:6" s="2" customFormat="1" x14ac:dyDescent="0.25">
      <c r="A388" s="25">
        <v>41950</v>
      </c>
      <c r="B388" s="44" t="s">
        <v>266</v>
      </c>
      <c r="C388" s="53">
        <v>30.67559</v>
      </c>
      <c r="D388" s="21">
        <v>30675.59</v>
      </c>
      <c r="E388" s="48">
        <v>15828</v>
      </c>
      <c r="F388" s="48">
        <v>4216</v>
      </c>
    </row>
    <row r="389" spans="1:6" s="2" customFormat="1" x14ac:dyDescent="0.25">
      <c r="A389" s="25">
        <v>41964</v>
      </c>
      <c r="B389" s="44" t="s">
        <v>268</v>
      </c>
      <c r="C389" s="53">
        <v>92.564999999999998</v>
      </c>
      <c r="D389" s="21">
        <v>92565</v>
      </c>
      <c r="E389" s="48">
        <v>15835</v>
      </c>
      <c r="F389" s="48">
        <v>4216</v>
      </c>
    </row>
    <row r="390" spans="1:6" s="2" customFormat="1" x14ac:dyDescent="0.25">
      <c r="A390" s="25">
        <v>41969</v>
      </c>
      <c r="B390" s="44" t="s">
        <v>269</v>
      </c>
      <c r="C390" s="53">
        <v>1700.11871</v>
      </c>
      <c r="D390" s="21">
        <v>1700118.71</v>
      </c>
      <c r="E390" s="48">
        <v>15835</v>
      </c>
      <c r="F390" s="48">
        <v>4216</v>
      </c>
    </row>
    <row r="391" spans="1:6" s="2" customFormat="1" x14ac:dyDescent="0.25">
      <c r="A391" s="25">
        <v>41971</v>
      </c>
      <c r="B391" s="44" t="s">
        <v>275</v>
      </c>
      <c r="C391" s="53">
        <v>1715.0811699999999</v>
      </c>
      <c r="D391" s="21">
        <v>1715081.17</v>
      </c>
      <c r="E391" s="48">
        <v>15835</v>
      </c>
      <c r="F391" s="48">
        <v>4216</v>
      </c>
    </row>
    <row r="392" spans="1:6" s="2" customFormat="1" x14ac:dyDescent="0.25">
      <c r="A392" s="25">
        <v>41975</v>
      </c>
      <c r="B392" s="44" t="s">
        <v>280</v>
      </c>
      <c r="C392" s="53">
        <v>1667.49171</v>
      </c>
      <c r="D392" s="21">
        <v>1667491.71</v>
      </c>
      <c r="E392" s="48">
        <v>15835</v>
      </c>
      <c r="F392" s="48">
        <v>4216</v>
      </c>
    </row>
    <row r="393" spans="1:6" s="2" customFormat="1" x14ac:dyDescent="0.25">
      <c r="A393" s="25">
        <v>41975</v>
      </c>
      <c r="B393" s="44" t="s">
        <v>281</v>
      </c>
      <c r="C393" s="53">
        <v>1189.9638199999999</v>
      </c>
      <c r="D393" s="21">
        <v>1189963.82</v>
      </c>
      <c r="E393" s="48">
        <v>15835</v>
      </c>
      <c r="F393" s="48">
        <v>4216</v>
      </c>
    </row>
    <row r="394" spans="1:6" s="2" customFormat="1" x14ac:dyDescent="0.25">
      <c r="A394" s="25">
        <v>41975</v>
      </c>
      <c r="B394" s="44" t="s">
        <v>309</v>
      </c>
      <c r="C394" s="53">
        <v>8135.0870000000004</v>
      </c>
      <c r="D394" s="21">
        <v>8135087</v>
      </c>
      <c r="E394" s="48">
        <v>15835</v>
      </c>
      <c r="F394" s="48">
        <v>4216</v>
      </c>
    </row>
    <row r="395" spans="1:6" s="2" customFormat="1" x14ac:dyDescent="0.25">
      <c r="A395" s="25">
        <v>41983</v>
      </c>
      <c r="B395" s="44" t="s">
        <v>275</v>
      </c>
      <c r="C395" s="53">
        <v>5.1425000000000001</v>
      </c>
      <c r="D395" s="21">
        <v>5142.5</v>
      </c>
      <c r="E395" s="48">
        <v>15835</v>
      </c>
      <c r="F395" s="48">
        <v>4216</v>
      </c>
    </row>
    <row r="396" spans="1:6" s="2" customFormat="1" x14ac:dyDescent="0.25">
      <c r="A396" s="25">
        <v>41982</v>
      </c>
      <c r="B396" s="44" t="s">
        <v>294</v>
      </c>
      <c r="C396" s="53">
        <v>6.8</v>
      </c>
      <c r="D396" s="21">
        <v>6800</v>
      </c>
      <c r="E396" s="48">
        <v>15827</v>
      </c>
      <c r="F396" s="48">
        <v>4216</v>
      </c>
    </row>
    <row r="397" spans="1:6" s="2" customFormat="1" x14ac:dyDescent="0.25">
      <c r="A397" s="25">
        <v>41983</v>
      </c>
      <c r="B397" s="44" t="s">
        <v>305</v>
      </c>
      <c r="C397" s="53">
        <v>537.73640999999998</v>
      </c>
      <c r="D397" s="21">
        <v>537736.41</v>
      </c>
      <c r="E397" s="48">
        <v>15828</v>
      </c>
      <c r="F397" s="48">
        <v>4216</v>
      </c>
    </row>
    <row r="398" spans="1:6" s="2" customFormat="1" x14ac:dyDescent="0.25">
      <c r="A398" s="25">
        <v>41983</v>
      </c>
      <c r="B398" s="44" t="s">
        <v>305</v>
      </c>
      <c r="C398" s="53">
        <v>9141.5190600000005</v>
      </c>
      <c r="D398" s="21">
        <v>9141519.0600000005</v>
      </c>
      <c r="E398" s="48">
        <v>15829</v>
      </c>
      <c r="F398" s="48">
        <v>4216</v>
      </c>
    </row>
    <row r="399" spans="1:6" s="2" customFormat="1" x14ac:dyDescent="0.25">
      <c r="A399" s="25">
        <v>41984</v>
      </c>
      <c r="B399" s="44" t="s">
        <v>268</v>
      </c>
      <c r="C399" s="53">
        <v>1711.8104699999999</v>
      </c>
      <c r="D399" s="21">
        <v>1711810.47</v>
      </c>
      <c r="E399" s="48">
        <v>15835</v>
      </c>
      <c r="F399" s="48">
        <v>4216</v>
      </c>
    </row>
    <row r="400" spans="1:6" s="2" customFormat="1" x14ac:dyDescent="0.25">
      <c r="A400" s="25">
        <v>41984</v>
      </c>
      <c r="B400" s="44" t="s">
        <v>300</v>
      </c>
      <c r="C400" s="53">
        <v>89.353589999999997</v>
      </c>
      <c r="D400" s="21">
        <v>89353.59</v>
      </c>
      <c r="E400" s="48">
        <v>15835</v>
      </c>
      <c r="F400" s="48">
        <v>4216</v>
      </c>
    </row>
    <row r="401" spans="1:6" s="2" customFormat="1" x14ac:dyDescent="0.25">
      <c r="A401" s="25">
        <v>41984</v>
      </c>
      <c r="B401" s="44" t="s">
        <v>302</v>
      </c>
      <c r="C401" s="53">
        <v>6087.24964</v>
      </c>
      <c r="D401" s="21">
        <v>6087249.6399999997</v>
      </c>
      <c r="E401" s="48">
        <v>15835</v>
      </c>
      <c r="F401" s="48">
        <v>4216</v>
      </c>
    </row>
    <row r="402" spans="1:6" s="2" customFormat="1" x14ac:dyDescent="0.25">
      <c r="A402" s="25">
        <v>41985</v>
      </c>
      <c r="B402" s="44" t="s">
        <v>299</v>
      </c>
      <c r="C402" s="53">
        <v>9287.6755699999994</v>
      </c>
      <c r="D402" s="21">
        <v>9287675.5700000003</v>
      </c>
      <c r="E402" s="48">
        <v>15835</v>
      </c>
      <c r="F402" s="48">
        <v>4216</v>
      </c>
    </row>
    <row r="403" spans="1:6" s="2" customFormat="1" x14ac:dyDescent="0.25">
      <c r="A403" s="25">
        <v>41985</v>
      </c>
      <c r="B403" s="44" t="s">
        <v>301</v>
      </c>
      <c r="C403" s="53">
        <v>2406.4472900000001</v>
      </c>
      <c r="D403" s="21">
        <v>2406447.29</v>
      </c>
      <c r="E403" s="48">
        <v>15835</v>
      </c>
      <c r="F403" s="48">
        <v>4216</v>
      </c>
    </row>
    <row r="404" spans="1:6" s="2" customFormat="1" x14ac:dyDescent="0.25">
      <c r="A404" s="25">
        <v>41985</v>
      </c>
      <c r="B404" s="44" t="s">
        <v>303</v>
      </c>
      <c r="C404" s="53">
        <v>2669.0410900000002</v>
      </c>
      <c r="D404" s="21">
        <v>2669041.09</v>
      </c>
      <c r="E404" s="48">
        <v>15835</v>
      </c>
      <c r="F404" s="48">
        <v>4216</v>
      </c>
    </row>
    <row r="405" spans="1:6" s="2" customFormat="1" x14ac:dyDescent="0.25">
      <c r="A405" s="25">
        <v>41985</v>
      </c>
      <c r="B405" s="44" t="s">
        <v>304</v>
      </c>
      <c r="C405" s="53">
        <v>6911.1678499999998</v>
      </c>
      <c r="D405" s="21">
        <v>6911167.8499999996</v>
      </c>
      <c r="E405" s="48">
        <v>15835</v>
      </c>
      <c r="F405" s="48">
        <v>4216</v>
      </c>
    </row>
    <row r="406" spans="1:6" s="2" customFormat="1" x14ac:dyDescent="0.25">
      <c r="A406" s="25"/>
      <c r="B406" s="44" t="s">
        <v>108</v>
      </c>
      <c r="C406" s="20">
        <v>1094.4999499999999</v>
      </c>
      <c r="D406" s="21">
        <v>1094499.95</v>
      </c>
      <c r="E406" s="48">
        <v>15835</v>
      </c>
      <c r="F406" s="48">
        <v>4216</v>
      </c>
    </row>
    <row r="407" spans="1:6" s="2" customFormat="1" x14ac:dyDescent="0.25">
      <c r="A407" s="25"/>
      <c r="B407" s="44" t="s">
        <v>220</v>
      </c>
      <c r="C407" s="20">
        <v>187.82330999999999</v>
      </c>
      <c r="D407" s="21">
        <v>187823.31</v>
      </c>
      <c r="E407" s="48">
        <v>15835</v>
      </c>
      <c r="F407" s="48">
        <v>4216</v>
      </c>
    </row>
    <row r="408" spans="1:6" s="2" customFormat="1" x14ac:dyDescent="0.25">
      <c r="A408" s="25"/>
      <c r="B408" s="44" t="s">
        <v>219</v>
      </c>
      <c r="C408" s="20">
        <v>176.72532000000001</v>
      </c>
      <c r="D408" s="21">
        <v>176725.32</v>
      </c>
      <c r="E408" s="48">
        <v>15835</v>
      </c>
      <c r="F408" s="48">
        <v>4216</v>
      </c>
    </row>
    <row r="409" spans="1:6" s="2" customFormat="1" x14ac:dyDescent="0.25">
      <c r="A409" s="25"/>
      <c r="B409" s="24" t="s">
        <v>310</v>
      </c>
      <c r="C409" s="20">
        <f>1606.73951+666.44207</f>
        <v>2273.1815799999999</v>
      </c>
      <c r="D409" s="47">
        <f>1606739.51+666442.07</f>
        <v>2273181.58</v>
      </c>
      <c r="E409" s="48">
        <v>15835</v>
      </c>
      <c r="F409" s="48">
        <v>4216</v>
      </c>
    </row>
    <row r="410" spans="1:6" s="2" customFormat="1" x14ac:dyDescent="0.25">
      <c r="A410" s="25"/>
      <c r="B410" s="24" t="s">
        <v>260</v>
      </c>
      <c r="C410" s="20">
        <f>1759.61162+202.05322</f>
        <v>1961.6648399999999</v>
      </c>
      <c r="D410" s="47">
        <f>1759611.62+202053.22</f>
        <v>1961664.84</v>
      </c>
      <c r="E410" s="48">
        <v>15835</v>
      </c>
      <c r="F410" s="48">
        <v>4216</v>
      </c>
    </row>
    <row r="411" spans="1:6" s="2" customFormat="1" x14ac:dyDescent="0.25">
      <c r="A411" s="25"/>
      <c r="B411" s="24" t="s">
        <v>91</v>
      </c>
      <c r="C411" s="20">
        <v>2333.9210200000002</v>
      </c>
      <c r="D411" s="47">
        <f>1355622.95+978298.07</f>
        <v>2333921.02</v>
      </c>
      <c r="E411" s="48">
        <v>15835</v>
      </c>
      <c r="F411" s="48">
        <v>4216</v>
      </c>
    </row>
    <row r="412" spans="1:6" s="2" customFormat="1" x14ac:dyDescent="0.25">
      <c r="A412" s="25"/>
      <c r="B412" s="44" t="s">
        <v>330</v>
      </c>
      <c r="C412" s="20">
        <v>3100.9145800000001</v>
      </c>
      <c r="D412" s="47">
        <v>3100914.58</v>
      </c>
      <c r="E412" s="48">
        <v>15835</v>
      </c>
      <c r="F412" s="48">
        <v>4216</v>
      </c>
    </row>
    <row r="413" spans="1:6" s="2" customFormat="1" x14ac:dyDescent="0.25">
      <c r="A413" s="25"/>
      <c r="B413" s="24" t="s">
        <v>198</v>
      </c>
      <c r="C413" s="20">
        <f>20.94975+4.39944</f>
        <v>25.34919</v>
      </c>
      <c r="D413" s="47">
        <f>20949.75+4399.44</f>
        <v>25349.19</v>
      </c>
      <c r="E413" s="48">
        <v>15828</v>
      </c>
      <c r="F413" s="48">
        <v>4216</v>
      </c>
    </row>
    <row r="414" spans="1:6" s="2" customFormat="1" x14ac:dyDescent="0.25">
      <c r="A414" s="25"/>
      <c r="B414" s="24" t="s">
        <v>198</v>
      </c>
      <c r="C414" s="53">
        <f>356.14575+74.7906</f>
        <v>430.93635</v>
      </c>
      <c r="D414" s="47">
        <f>356145.75+74790.6</f>
        <v>430936.35</v>
      </c>
      <c r="E414" s="48">
        <v>15829</v>
      </c>
      <c r="F414" s="48">
        <v>4216</v>
      </c>
    </row>
    <row r="415" spans="1:6" s="2" customFormat="1" x14ac:dyDescent="0.25">
      <c r="A415" s="25"/>
      <c r="B415" s="24" t="s">
        <v>258</v>
      </c>
      <c r="C415" s="53">
        <f>79.78237+16.75429</f>
        <v>96.536659999999998</v>
      </c>
      <c r="D415" s="47">
        <f>79782.37+16754.29</f>
        <v>96536.66</v>
      </c>
      <c r="E415" s="48">
        <v>15828</v>
      </c>
      <c r="F415" s="48">
        <v>4216</v>
      </c>
    </row>
    <row r="416" spans="1:6" s="2" customFormat="1" x14ac:dyDescent="0.25">
      <c r="A416" s="25"/>
      <c r="B416" s="24" t="s">
        <v>258</v>
      </c>
      <c r="C416" s="53">
        <f>1356.30041+284.82309</f>
        <v>1641.1235000000001</v>
      </c>
      <c r="D416" s="21">
        <f>1356300.41+284823.09</f>
        <v>1641123.5</v>
      </c>
      <c r="E416" s="48">
        <v>15829</v>
      </c>
      <c r="F416" s="48">
        <v>4216</v>
      </c>
    </row>
    <row r="417" spans="1:6" s="2" customFormat="1" x14ac:dyDescent="0.25">
      <c r="A417" s="25"/>
      <c r="B417" s="24" t="s">
        <v>338</v>
      </c>
      <c r="C417" s="53">
        <f>49.83205+10.46473</f>
        <v>60.296779999999998</v>
      </c>
      <c r="D417" s="21">
        <f>49832.05+10464.73</f>
        <v>60296.78</v>
      </c>
      <c r="E417" s="48">
        <v>15828</v>
      </c>
      <c r="F417" s="48">
        <v>4216</v>
      </c>
    </row>
    <row r="418" spans="1:6" s="2" customFormat="1" x14ac:dyDescent="0.25">
      <c r="A418" s="25"/>
      <c r="B418" s="24" t="s">
        <v>338</v>
      </c>
      <c r="C418" s="53">
        <f>847.14485+177.90041</f>
        <v>1025.0452600000001</v>
      </c>
      <c r="D418" s="21">
        <f>847144.85+177900.41</f>
        <v>1025045.26</v>
      </c>
      <c r="E418" s="48">
        <v>15829</v>
      </c>
      <c r="F418" s="48">
        <v>4216</v>
      </c>
    </row>
    <row r="419" spans="1:6" s="2" customFormat="1" x14ac:dyDescent="0.25">
      <c r="A419" s="25"/>
      <c r="B419" s="24" t="s">
        <v>250</v>
      </c>
      <c r="C419" s="53">
        <v>53.484169999999999</v>
      </c>
      <c r="D419" s="21">
        <f>44201.8+9282.37</f>
        <v>53484.170000000006</v>
      </c>
      <c r="E419" s="48">
        <v>15828</v>
      </c>
      <c r="F419" s="48">
        <v>4216</v>
      </c>
    </row>
    <row r="420" spans="1:6" s="2" customFormat="1" x14ac:dyDescent="0.25">
      <c r="A420" s="25"/>
      <c r="B420" s="24" t="s">
        <v>250</v>
      </c>
      <c r="C420" s="53">
        <v>909.23101999999994</v>
      </c>
      <c r="D420" s="21">
        <f>751430.6+157800.42</f>
        <v>909231.02</v>
      </c>
      <c r="E420" s="48">
        <v>15829</v>
      </c>
      <c r="F420" s="48">
        <v>4216</v>
      </c>
    </row>
    <row r="421" spans="1:6" s="2" customFormat="1" x14ac:dyDescent="0.25">
      <c r="A421" s="25"/>
      <c r="B421" s="24" t="s">
        <v>251</v>
      </c>
      <c r="C421" s="53">
        <v>66.446920000000006</v>
      </c>
      <c r="D421" s="21">
        <f>54914.81+11532.11</f>
        <v>66446.92</v>
      </c>
      <c r="E421" s="48">
        <v>15828</v>
      </c>
      <c r="F421" s="48">
        <v>4216</v>
      </c>
    </row>
    <row r="422" spans="1:6" s="2" customFormat="1" x14ac:dyDescent="0.25">
      <c r="A422" s="25"/>
      <c r="B422" s="24" t="s">
        <v>345</v>
      </c>
      <c r="C422" s="53">
        <v>1129.5976900000001</v>
      </c>
      <c r="D422" s="21">
        <f>933551.81+196045.88</f>
        <v>1129597.69</v>
      </c>
      <c r="E422" s="48">
        <v>15829</v>
      </c>
      <c r="F422" s="48">
        <v>4216</v>
      </c>
    </row>
    <row r="423" spans="1:6" s="2" customFormat="1" x14ac:dyDescent="0.25">
      <c r="A423" s="25"/>
      <c r="B423" s="24" t="s">
        <v>279</v>
      </c>
      <c r="C423" s="53">
        <f>1205.10229+228.23231</f>
        <v>1433.3346000000001</v>
      </c>
      <c r="D423" s="21">
        <f>1205102.29+228232.31</f>
        <v>1433334.6</v>
      </c>
      <c r="E423" s="48">
        <v>15835</v>
      </c>
      <c r="F423" s="48">
        <v>4216</v>
      </c>
    </row>
    <row r="424" spans="1:6" s="2" customFormat="1" x14ac:dyDescent="0.25">
      <c r="A424" s="25"/>
      <c r="B424" s="24" t="s">
        <v>311</v>
      </c>
      <c r="C424" s="53">
        <f>1284.15983+263.57516</f>
        <v>1547.7349899999999</v>
      </c>
      <c r="D424" s="21">
        <f>1284159.83+263575.16</f>
        <v>1547734.99</v>
      </c>
      <c r="E424" s="48">
        <v>15835</v>
      </c>
      <c r="F424" s="48">
        <v>4216</v>
      </c>
    </row>
    <row r="425" spans="1:6" s="2" customFormat="1" x14ac:dyDescent="0.25">
      <c r="A425" s="25"/>
      <c r="B425" s="24" t="s">
        <v>313</v>
      </c>
      <c r="C425" s="53">
        <v>1230.6502499999999</v>
      </c>
      <c r="D425" s="21">
        <v>1230650.25</v>
      </c>
      <c r="E425" s="48">
        <v>15827</v>
      </c>
      <c r="F425" s="48">
        <v>4216</v>
      </c>
    </row>
    <row r="426" spans="1:6" s="2" customFormat="1" x14ac:dyDescent="0.25">
      <c r="A426" s="25"/>
      <c r="B426" s="24" t="s">
        <v>341</v>
      </c>
      <c r="C426" s="53">
        <v>49.904000000000003</v>
      </c>
      <c r="D426" s="21">
        <v>49904</v>
      </c>
      <c r="E426" s="48">
        <v>15828</v>
      </c>
      <c r="F426" s="48">
        <v>4216</v>
      </c>
    </row>
    <row r="427" spans="1:6" s="2" customFormat="1" x14ac:dyDescent="0.25">
      <c r="A427" s="25"/>
      <c r="B427" s="24" t="s">
        <v>341</v>
      </c>
      <c r="C427" s="53">
        <v>848.36800000000005</v>
      </c>
      <c r="D427" s="21">
        <v>848368</v>
      </c>
      <c r="E427" s="48">
        <v>15829</v>
      </c>
      <c r="F427" s="48">
        <v>4216</v>
      </c>
    </row>
    <row r="428" spans="1:6" s="2" customFormat="1" x14ac:dyDescent="0.25">
      <c r="A428" s="25"/>
      <c r="B428" s="24" t="s">
        <v>319</v>
      </c>
      <c r="C428" s="53">
        <v>824.74225000000001</v>
      </c>
      <c r="D428" s="21">
        <v>824742.25</v>
      </c>
      <c r="E428" s="48">
        <v>15835</v>
      </c>
      <c r="F428" s="48">
        <v>4216</v>
      </c>
    </row>
    <row r="429" spans="1:6" s="2" customFormat="1" x14ac:dyDescent="0.25">
      <c r="A429" s="25"/>
      <c r="B429" s="24" t="s">
        <v>335</v>
      </c>
      <c r="C429" s="53">
        <v>3176.12275</v>
      </c>
      <c r="D429" s="21">
        <v>3176122.75</v>
      </c>
      <c r="E429" s="48">
        <v>15835</v>
      </c>
      <c r="F429" s="48">
        <v>4216</v>
      </c>
    </row>
    <row r="430" spans="1:6" s="2" customFormat="1" x14ac:dyDescent="0.25">
      <c r="A430" s="25"/>
      <c r="B430" s="24" t="s">
        <v>320</v>
      </c>
      <c r="C430" s="53">
        <v>1423.4618399999999</v>
      </c>
      <c r="D430" s="21">
        <v>1423461.84</v>
      </c>
      <c r="E430" s="48">
        <v>15835</v>
      </c>
      <c r="F430" s="48">
        <v>4216</v>
      </c>
    </row>
    <row r="431" spans="1:6" s="2" customFormat="1" x14ac:dyDescent="0.25">
      <c r="A431" s="25"/>
      <c r="B431" s="24" t="s">
        <v>336</v>
      </c>
      <c r="C431" s="53">
        <v>1364.6790100000001</v>
      </c>
      <c r="D431" s="21">
        <v>1364679.01</v>
      </c>
      <c r="E431" s="48">
        <v>15835</v>
      </c>
      <c r="F431" s="48">
        <v>4216</v>
      </c>
    </row>
    <row r="432" spans="1:6" s="2" customFormat="1" x14ac:dyDescent="0.25">
      <c r="A432" s="25"/>
      <c r="B432" s="24" t="s">
        <v>273</v>
      </c>
      <c r="C432" s="53">
        <v>76.915880000000001</v>
      </c>
      <c r="D432" s="21">
        <v>76915.88</v>
      </c>
      <c r="E432" s="48">
        <v>15828</v>
      </c>
      <c r="F432" s="48">
        <v>4216</v>
      </c>
    </row>
    <row r="433" spans="1:8" s="2" customFormat="1" x14ac:dyDescent="0.25">
      <c r="A433" s="25"/>
      <c r="B433" s="24" t="s">
        <v>273</v>
      </c>
      <c r="C433" s="53">
        <v>1307.57007</v>
      </c>
      <c r="D433" s="21">
        <v>1307570.07</v>
      </c>
      <c r="E433" s="48">
        <v>15829</v>
      </c>
      <c r="F433" s="48">
        <v>4216</v>
      </c>
    </row>
    <row r="434" spans="1:8" s="2" customFormat="1" x14ac:dyDescent="0.25">
      <c r="A434" s="25"/>
      <c r="B434" s="24" t="s">
        <v>109</v>
      </c>
      <c r="C434" s="20">
        <v>2096.9517000000001</v>
      </c>
      <c r="D434" s="21">
        <f>2012597.7+84354</f>
        <v>2096951.7</v>
      </c>
      <c r="E434" s="48">
        <v>15835</v>
      </c>
      <c r="F434" s="48">
        <v>4216</v>
      </c>
    </row>
    <row r="435" spans="1:8" s="2" customFormat="1" x14ac:dyDescent="0.25">
      <c r="A435" s="25"/>
      <c r="B435" s="23"/>
      <c r="C435" s="20"/>
      <c r="D435" s="21"/>
      <c r="E435" s="48"/>
      <c r="F435" s="48"/>
    </row>
    <row r="436" spans="1:8" s="2" customFormat="1" x14ac:dyDescent="0.25">
      <c r="A436" s="25"/>
      <c r="B436" s="30" t="s">
        <v>39</v>
      </c>
      <c r="C436" s="39">
        <f>+C437+C438</f>
        <v>14104.79062</v>
      </c>
      <c r="D436" s="39">
        <f>+D437+D438</f>
        <v>14104790.619999999</v>
      </c>
      <c r="E436" s="48"/>
      <c r="F436" s="48"/>
    </row>
    <row r="437" spans="1:8" s="2" customFormat="1" x14ac:dyDescent="0.25">
      <c r="A437" s="25">
        <v>41946</v>
      </c>
      <c r="B437" s="24" t="s">
        <v>265</v>
      </c>
      <c r="C437" s="20">
        <v>477.97262000000001</v>
      </c>
      <c r="D437" s="21">
        <f>71695.9+406276.72</f>
        <v>477972.62</v>
      </c>
      <c r="E437" s="48">
        <v>13899</v>
      </c>
      <c r="F437" s="48">
        <v>4216</v>
      </c>
    </row>
    <row r="438" spans="1:8" s="2" customFormat="1" x14ac:dyDescent="0.25">
      <c r="A438" s="25">
        <v>41990</v>
      </c>
      <c r="B438" s="24" t="s">
        <v>265</v>
      </c>
      <c r="C438" s="20">
        <v>13626.817999999999</v>
      </c>
      <c r="D438" s="21">
        <f>11582795.3+2044022.7</f>
        <v>13626818</v>
      </c>
      <c r="E438" s="48">
        <v>13899</v>
      </c>
      <c r="F438" s="48">
        <v>4216</v>
      </c>
    </row>
    <row r="439" spans="1:8" s="2" customFormat="1" x14ac:dyDescent="0.25">
      <c r="A439" s="25"/>
      <c r="B439" s="23"/>
      <c r="C439" s="20"/>
      <c r="D439" s="21"/>
      <c r="E439" s="48"/>
      <c r="F439" s="48"/>
    </row>
    <row r="440" spans="1:8" s="2" customFormat="1" x14ac:dyDescent="0.25">
      <c r="A440" s="25"/>
      <c r="B440" s="38" t="s">
        <v>235</v>
      </c>
      <c r="C440" s="40">
        <f>+C442+C441+C443</f>
        <v>7915.00882</v>
      </c>
      <c r="D440" s="40">
        <f>+D442+D441+D443</f>
        <v>7915008.8200000003</v>
      </c>
      <c r="E440" s="48"/>
      <c r="F440" s="48"/>
    </row>
    <row r="441" spans="1:8" s="2" customFormat="1" x14ac:dyDescent="0.25">
      <c r="A441" s="25">
        <v>41922</v>
      </c>
      <c r="B441" s="24" t="s">
        <v>236</v>
      </c>
      <c r="C441" s="20">
        <v>3327.7575000000002</v>
      </c>
      <c r="D441" s="21">
        <v>3327757.5</v>
      </c>
      <c r="E441" s="48">
        <v>17871</v>
      </c>
      <c r="F441" s="48">
        <v>4216</v>
      </c>
    </row>
    <row r="442" spans="1:8" x14ac:dyDescent="0.25">
      <c r="A442" s="25">
        <v>41922</v>
      </c>
      <c r="B442" s="24" t="s">
        <v>236</v>
      </c>
      <c r="C442" s="20">
        <v>587.25131999999996</v>
      </c>
      <c r="D442" s="21">
        <v>587251.31999999995</v>
      </c>
      <c r="E442" s="48">
        <v>17870</v>
      </c>
      <c r="F442" s="48">
        <v>4216</v>
      </c>
      <c r="G442" s="2"/>
      <c r="H442" s="2"/>
    </row>
    <row r="443" spans="1:8" x14ac:dyDescent="0.25">
      <c r="A443" s="25"/>
      <c r="B443" s="24" t="s">
        <v>284</v>
      </c>
      <c r="C443" s="20">
        <v>4000</v>
      </c>
      <c r="D443" s="21">
        <f>506464+3493536</f>
        <v>4000000</v>
      </c>
      <c r="E443" s="48">
        <v>17880</v>
      </c>
      <c r="F443" s="48">
        <v>4216</v>
      </c>
      <c r="G443" s="2"/>
      <c r="H443" s="2"/>
    </row>
    <row r="444" spans="1:8" s="2" customFormat="1" x14ac:dyDescent="0.25">
      <c r="A444" s="25"/>
      <c r="B444" s="13"/>
      <c r="C444" s="39"/>
      <c r="D444" s="40"/>
      <c r="E444" s="48"/>
      <c r="F444" s="48"/>
    </row>
    <row r="445" spans="1:8" s="2" customFormat="1" x14ac:dyDescent="0.25">
      <c r="A445" s="25"/>
      <c r="B445" s="13" t="s">
        <v>53</v>
      </c>
      <c r="C445" s="39">
        <f>SUM(C446:C460)</f>
        <v>13961.33</v>
      </c>
      <c r="D445" s="39">
        <f>SUM(D446:D460)</f>
        <v>13961330</v>
      </c>
      <c r="E445" s="48"/>
      <c r="F445" s="48"/>
    </row>
    <row r="446" spans="1:8" s="2" customFormat="1" x14ac:dyDescent="0.25">
      <c r="A446" s="25">
        <v>41992</v>
      </c>
      <c r="B446" s="23" t="s">
        <v>80</v>
      </c>
      <c r="C446" s="52">
        <v>94.33</v>
      </c>
      <c r="D446" s="55">
        <v>94330</v>
      </c>
      <c r="E446" s="22">
        <v>33926</v>
      </c>
      <c r="F446" s="48">
        <v>4222</v>
      </c>
      <c r="H446" s="1"/>
    </row>
    <row r="447" spans="1:8" s="2" customFormat="1" x14ac:dyDescent="0.25">
      <c r="A447" s="25">
        <v>41984</v>
      </c>
      <c r="B447" s="23" t="s">
        <v>298</v>
      </c>
      <c r="C447" s="52">
        <v>100</v>
      </c>
      <c r="D447" s="55">
        <v>100000</v>
      </c>
      <c r="E447" s="22">
        <v>435</v>
      </c>
      <c r="F447" s="48">
        <v>4222</v>
      </c>
      <c r="H447" s="1"/>
    </row>
    <row r="448" spans="1:8" s="2" customFormat="1" x14ac:dyDescent="0.25">
      <c r="A448" s="25"/>
      <c r="B448" s="23" t="s">
        <v>222</v>
      </c>
      <c r="C448" s="20">
        <v>500</v>
      </c>
      <c r="D448" s="55">
        <v>500000</v>
      </c>
      <c r="E448" s="48">
        <v>551</v>
      </c>
      <c r="F448" s="48">
        <v>4222</v>
      </c>
    </row>
    <row r="449" spans="1:8" s="2" customFormat="1" x14ac:dyDescent="0.25">
      <c r="A449" s="25"/>
      <c r="B449" s="23" t="s">
        <v>202</v>
      </c>
      <c r="C449" s="20">
        <v>500</v>
      </c>
      <c r="D449" s="55">
        <v>500000</v>
      </c>
      <c r="E449" s="48">
        <v>342</v>
      </c>
      <c r="F449" s="48">
        <v>4222</v>
      </c>
    </row>
    <row r="450" spans="1:8" s="2" customFormat="1" x14ac:dyDescent="0.25">
      <c r="A450" s="25"/>
      <c r="B450" s="23" t="s">
        <v>203</v>
      </c>
      <c r="C450" s="20">
        <v>3000</v>
      </c>
      <c r="D450" s="55">
        <v>3000000</v>
      </c>
      <c r="E450" s="48">
        <v>311</v>
      </c>
      <c r="F450" s="48">
        <v>4222</v>
      </c>
    </row>
    <row r="451" spans="1:8" s="2" customFormat="1" x14ac:dyDescent="0.25">
      <c r="A451" s="25"/>
      <c r="B451" s="23" t="s">
        <v>246</v>
      </c>
      <c r="C451" s="20">
        <v>200</v>
      </c>
      <c r="D451" s="55">
        <v>200000</v>
      </c>
      <c r="E451" s="48">
        <v>342</v>
      </c>
      <c r="F451" s="48">
        <v>4222</v>
      </c>
    </row>
    <row r="452" spans="1:8" s="2" customFormat="1" x14ac:dyDescent="0.25">
      <c r="A452" s="25"/>
      <c r="B452" s="23" t="s">
        <v>261</v>
      </c>
      <c r="C452" s="20">
        <v>105</v>
      </c>
      <c r="D452" s="55">
        <v>105000</v>
      </c>
      <c r="E452" s="48">
        <v>551</v>
      </c>
      <c r="F452" s="48">
        <v>4222</v>
      </c>
    </row>
    <row r="453" spans="1:8" s="2" customFormat="1" x14ac:dyDescent="0.25">
      <c r="A453" s="25"/>
      <c r="B453" s="23" t="s">
        <v>342</v>
      </c>
      <c r="C453" s="20">
        <v>1000</v>
      </c>
      <c r="D453" s="55">
        <v>1000000</v>
      </c>
      <c r="E453" s="48">
        <v>311</v>
      </c>
      <c r="F453" s="48">
        <v>4222</v>
      </c>
    </row>
    <row r="454" spans="1:8" s="2" customFormat="1" x14ac:dyDescent="0.25">
      <c r="A454" s="25"/>
      <c r="B454" s="24" t="s">
        <v>245</v>
      </c>
      <c r="C454" s="20">
        <v>2000</v>
      </c>
      <c r="D454" s="55">
        <v>2000000</v>
      </c>
      <c r="E454" s="48">
        <v>311</v>
      </c>
      <c r="F454" s="48">
        <v>4222</v>
      </c>
      <c r="H454" s="1"/>
    </row>
    <row r="455" spans="1:8" s="2" customFormat="1" x14ac:dyDescent="0.25">
      <c r="A455" s="25"/>
      <c r="B455" s="23" t="s">
        <v>204</v>
      </c>
      <c r="C455" s="20">
        <v>1000</v>
      </c>
      <c r="D455" s="55">
        <v>1000000</v>
      </c>
      <c r="E455" s="48">
        <v>311</v>
      </c>
      <c r="F455" s="48">
        <v>4222</v>
      </c>
    </row>
    <row r="456" spans="1:8" s="2" customFormat="1" x14ac:dyDescent="0.25">
      <c r="A456" s="25"/>
      <c r="B456" s="23" t="s">
        <v>205</v>
      </c>
      <c r="C456" s="20">
        <v>2000</v>
      </c>
      <c r="D456" s="55">
        <v>2000000</v>
      </c>
      <c r="E456" s="48">
        <v>311</v>
      </c>
      <c r="F456" s="48">
        <v>4222</v>
      </c>
    </row>
    <row r="457" spans="1:8" s="2" customFormat="1" x14ac:dyDescent="0.25">
      <c r="A457" s="25"/>
      <c r="B457" s="23" t="s">
        <v>247</v>
      </c>
      <c r="C457" s="20">
        <v>320</v>
      </c>
      <c r="D457" s="55">
        <v>320000</v>
      </c>
      <c r="E457" s="48">
        <v>369</v>
      </c>
      <c r="F457" s="48">
        <v>4222</v>
      </c>
    </row>
    <row r="458" spans="1:8" s="2" customFormat="1" x14ac:dyDescent="0.25">
      <c r="A458" s="25"/>
      <c r="B458" s="23" t="s">
        <v>254</v>
      </c>
      <c r="C458" s="20">
        <v>102</v>
      </c>
      <c r="D458" s="55">
        <v>102000</v>
      </c>
      <c r="E458" s="48">
        <v>551</v>
      </c>
      <c r="F458" s="48">
        <v>4222</v>
      </c>
    </row>
    <row r="459" spans="1:8" s="2" customFormat="1" x14ac:dyDescent="0.25">
      <c r="A459" s="25"/>
      <c r="B459" s="23" t="s">
        <v>206</v>
      </c>
      <c r="C459" s="46">
        <v>40</v>
      </c>
      <c r="D459" s="55">
        <v>40000</v>
      </c>
      <c r="E459" s="48">
        <v>433</v>
      </c>
      <c r="F459" s="48">
        <v>4222</v>
      </c>
    </row>
    <row r="460" spans="1:8" s="2" customFormat="1" x14ac:dyDescent="0.25">
      <c r="A460" s="25"/>
      <c r="B460" s="23" t="s">
        <v>207</v>
      </c>
      <c r="C460" s="20">
        <v>3000</v>
      </c>
      <c r="D460" s="55">
        <v>3000000</v>
      </c>
      <c r="E460" s="48">
        <v>311</v>
      </c>
      <c r="F460" s="48">
        <v>4222</v>
      </c>
    </row>
    <row r="461" spans="1:8" x14ac:dyDescent="0.25">
      <c r="A461" s="50"/>
      <c r="B461" s="83"/>
      <c r="C461" s="84"/>
      <c r="D461" s="55"/>
      <c r="E461" s="85"/>
      <c r="F461" s="63"/>
      <c r="G461" s="2"/>
      <c r="H461" s="2"/>
    </row>
    <row r="462" spans="1:8" s="2" customFormat="1" x14ac:dyDescent="0.25">
      <c r="A462" s="25"/>
      <c r="B462" s="30" t="s">
        <v>55</v>
      </c>
      <c r="C462" s="30">
        <f>+SUM(C463:C476)</f>
        <v>118237.19408</v>
      </c>
      <c r="D462" s="31">
        <f>+SUM(D463:D476)</f>
        <v>118237194.08000001</v>
      </c>
      <c r="E462" s="48"/>
      <c r="F462" s="48"/>
    </row>
    <row r="463" spans="1:8" s="2" customFormat="1" x14ac:dyDescent="0.25">
      <c r="A463" s="25">
        <v>41695</v>
      </c>
      <c r="B463" s="23" t="s">
        <v>63</v>
      </c>
      <c r="C463" s="46">
        <v>8438.1014200000009</v>
      </c>
      <c r="D463" s="47">
        <v>8438101.4199999999</v>
      </c>
      <c r="E463" s="22">
        <v>86505</v>
      </c>
      <c r="F463" s="48">
        <v>4223</v>
      </c>
    </row>
    <row r="464" spans="1:8" s="2" customFormat="1" x14ac:dyDescent="0.25">
      <c r="A464" s="25">
        <v>41711</v>
      </c>
      <c r="B464" s="23" t="s">
        <v>63</v>
      </c>
      <c r="C464" s="46">
        <v>1123.3418899999999</v>
      </c>
      <c r="D464" s="47">
        <v>1123341.8899999999</v>
      </c>
      <c r="E464" s="22">
        <v>86505</v>
      </c>
      <c r="F464" s="48">
        <v>4223</v>
      </c>
    </row>
    <row r="465" spans="1:7" s="2" customFormat="1" x14ac:dyDescent="0.25">
      <c r="A465" s="25">
        <v>41740</v>
      </c>
      <c r="B465" s="23" t="s">
        <v>89</v>
      </c>
      <c r="C465" s="46">
        <v>16976.554410000001</v>
      </c>
      <c r="D465" s="47">
        <v>16976554.41</v>
      </c>
      <c r="E465" s="22">
        <v>86505</v>
      </c>
      <c r="F465" s="48">
        <v>4223</v>
      </c>
    </row>
    <row r="466" spans="1:7" s="2" customFormat="1" x14ac:dyDescent="0.25">
      <c r="A466" s="25">
        <v>41740</v>
      </c>
      <c r="B466" s="23" t="s">
        <v>89</v>
      </c>
      <c r="C466" s="46">
        <v>1497.93127</v>
      </c>
      <c r="D466" s="47">
        <v>1497931.27</v>
      </c>
      <c r="E466" s="22">
        <v>86501</v>
      </c>
      <c r="F466" s="48">
        <v>4223</v>
      </c>
    </row>
    <row r="467" spans="1:7" s="2" customFormat="1" x14ac:dyDescent="0.25">
      <c r="A467" s="25">
        <v>41740</v>
      </c>
      <c r="B467" s="23" t="s">
        <v>90</v>
      </c>
      <c r="C467" s="46">
        <v>2757.52448</v>
      </c>
      <c r="D467" s="47">
        <v>2757524.48</v>
      </c>
      <c r="E467" s="22">
        <v>86505</v>
      </c>
      <c r="F467" s="48">
        <v>4223</v>
      </c>
    </row>
    <row r="468" spans="1:7" s="2" customFormat="1" x14ac:dyDescent="0.25">
      <c r="A468" s="25">
        <v>41789</v>
      </c>
      <c r="B468" s="23" t="s">
        <v>114</v>
      </c>
      <c r="C468" s="46">
        <v>4308.0696399999997</v>
      </c>
      <c r="D468" s="21">
        <v>4308069.6399999997</v>
      </c>
      <c r="E468" s="22">
        <v>86505</v>
      </c>
      <c r="F468" s="48">
        <v>4223</v>
      </c>
    </row>
    <row r="469" spans="1:7" s="2" customFormat="1" x14ac:dyDescent="0.25">
      <c r="A469" s="25">
        <v>41820</v>
      </c>
      <c r="B469" s="23" t="s">
        <v>134</v>
      </c>
      <c r="C469" s="46">
        <v>22116.769990000001</v>
      </c>
      <c r="D469" s="21">
        <v>22116769.989999998</v>
      </c>
      <c r="E469" s="22">
        <v>86505</v>
      </c>
      <c r="F469" s="48">
        <v>4223</v>
      </c>
    </row>
    <row r="470" spans="1:7" s="2" customFormat="1" x14ac:dyDescent="0.25">
      <c r="A470" s="25">
        <v>41827</v>
      </c>
      <c r="B470" s="23" t="s">
        <v>175</v>
      </c>
      <c r="C470" s="46">
        <v>17651.593959999998</v>
      </c>
      <c r="D470" s="21">
        <v>17651593.960000001</v>
      </c>
      <c r="E470" s="22">
        <v>86505</v>
      </c>
      <c r="F470" s="48">
        <v>4223</v>
      </c>
    </row>
    <row r="471" spans="1:7" s="2" customFormat="1" x14ac:dyDescent="0.25">
      <c r="A471" s="25">
        <v>41850</v>
      </c>
      <c r="B471" s="23" t="s">
        <v>192</v>
      </c>
      <c r="C471" s="46">
        <v>2983.2803699999999</v>
      </c>
      <c r="D471" s="21">
        <v>2983280.37</v>
      </c>
      <c r="E471" s="22">
        <v>86505</v>
      </c>
      <c r="F471" s="48">
        <v>4223</v>
      </c>
    </row>
    <row r="472" spans="1:7" s="2" customFormat="1" x14ac:dyDescent="0.25">
      <c r="A472" s="25">
        <v>41912</v>
      </c>
      <c r="B472" s="23" t="s">
        <v>212</v>
      </c>
      <c r="C472" s="46">
        <v>5513.16734</v>
      </c>
      <c r="D472" s="21">
        <v>5513167.3399999999</v>
      </c>
      <c r="E472" s="22">
        <v>86505</v>
      </c>
      <c r="F472" s="48">
        <v>4223</v>
      </c>
    </row>
    <row r="473" spans="1:7" s="2" customFormat="1" x14ac:dyDescent="0.25">
      <c r="A473" s="25">
        <v>41971</v>
      </c>
      <c r="B473" s="23" t="s">
        <v>282</v>
      </c>
      <c r="C473" s="46">
        <v>13900.870430000001</v>
      </c>
      <c r="D473" s="21">
        <v>13900870.43</v>
      </c>
      <c r="E473" s="22">
        <v>86505</v>
      </c>
      <c r="F473" s="48">
        <v>4223</v>
      </c>
    </row>
    <row r="474" spans="1:7" s="2" customFormat="1" x14ac:dyDescent="0.25">
      <c r="A474" s="25">
        <v>41977</v>
      </c>
      <c r="B474" s="23" t="s">
        <v>287</v>
      </c>
      <c r="C474" s="46">
        <v>4271.1644200000001</v>
      </c>
      <c r="D474" s="21">
        <v>4271164.42</v>
      </c>
      <c r="E474" s="22">
        <v>86505</v>
      </c>
      <c r="F474" s="48">
        <v>4223</v>
      </c>
    </row>
    <row r="475" spans="1:7" s="2" customFormat="1" x14ac:dyDescent="0.25">
      <c r="A475" s="25">
        <v>41992</v>
      </c>
      <c r="B475" s="23" t="s">
        <v>307</v>
      </c>
      <c r="C475" s="46">
        <v>16698.82446</v>
      </c>
      <c r="D475" s="21">
        <v>16698824.460000001</v>
      </c>
      <c r="E475" s="22">
        <v>86505</v>
      </c>
      <c r="F475" s="48">
        <v>4223</v>
      </c>
    </row>
    <row r="476" spans="1:7" s="2" customFormat="1" x14ac:dyDescent="0.25">
      <c r="A476" s="25"/>
      <c r="B476" s="23"/>
      <c r="C476" s="46"/>
      <c r="D476" s="21"/>
      <c r="E476" s="22"/>
      <c r="F476" s="48"/>
      <c r="G476" s="1"/>
    </row>
    <row r="477" spans="1:7" s="2" customFormat="1" x14ac:dyDescent="0.25">
      <c r="A477" s="25"/>
      <c r="B477" s="24"/>
      <c r="C477" s="46"/>
      <c r="D477" s="86"/>
      <c r="E477" s="48"/>
      <c r="F477" s="48"/>
      <c r="G477" s="1"/>
    </row>
    <row r="478" spans="1:7" s="2" customFormat="1" x14ac:dyDescent="0.25">
      <c r="A478" s="25"/>
      <c r="B478" s="70" t="s">
        <v>64</v>
      </c>
      <c r="C478" s="26">
        <f>+C445+C462+C348+C383+C440+C436</f>
        <v>561737.20770999999</v>
      </c>
      <c r="D478" s="26">
        <f>+D445+D462+D348+D383+D440+D436</f>
        <v>561595651.99000001</v>
      </c>
      <c r="E478" s="71"/>
      <c r="F478" s="28"/>
      <c r="G478" s="1"/>
    </row>
    <row r="479" spans="1:7" s="2" customFormat="1" ht="16.5" thickBot="1" x14ac:dyDescent="0.3">
      <c r="A479" s="72"/>
      <c r="B479" s="73"/>
      <c r="C479" s="74"/>
      <c r="D479" s="75"/>
      <c r="E479" s="76"/>
      <c r="F479" s="76"/>
      <c r="G479" s="1"/>
    </row>
    <row r="480" spans="1:7" s="2" customFormat="1" x14ac:dyDescent="0.25">
      <c r="A480" s="87"/>
      <c r="D480" s="45"/>
      <c r="E480" s="88"/>
      <c r="F480" s="88"/>
      <c r="G480" s="1"/>
    </row>
    <row r="481" spans="1:9" s="2" customFormat="1" ht="16.5" thickBot="1" x14ac:dyDescent="0.3">
      <c r="A481" s="89"/>
      <c r="B481" s="90"/>
      <c r="C481" s="90"/>
      <c r="D481" s="91"/>
      <c r="E481" s="92"/>
      <c r="F481" s="92"/>
      <c r="G481" s="1"/>
    </row>
    <row r="482" spans="1:9" s="2" customFormat="1" x14ac:dyDescent="0.25">
      <c r="A482" s="93"/>
      <c r="B482" s="94"/>
      <c r="C482" s="94"/>
      <c r="D482" s="5"/>
      <c r="E482" s="95"/>
      <c r="F482" s="153"/>
      <c r="G482" s="88"/>
      <c r="H482" s="1"/>
    </row>
    <row r="483" spans="1:9" s="2" customFormat="1" ht="16.5" thickBot="1" x14ac:dyDescent="0.3">
      <c r="A483" s="93"/>
      <c r="B483" s="9" t="s">
        <v>65</v>
      </c>
      <c r="C483" s="9" t="s">
        <v>3</v>
      </c>
      <c r="D483" s="10" t="s">
        <v>4</v>
      </c>
      <c r="E483" s="95"/>
      <c r="F483" s="153"/>
      <c r="G483" s="88"/>
      <c r="H483" s="1"/>
    </row>
    <row r="484" spans="1:9" s="2" customFormat="1" x14ac:dyDescent="0.25">
      <c r="A484" s="93"/>
      <c r="B484" s="96"/>
      <c r="C484" s="96"/>
      <c r="D484" s="97"/>
      <c r="E484" s="95"/>
      <c r="F484" s="153"/>
      <c r="G484" s="88" t="s">
        <v>182</v>
      </c>
      <c r="H484" s="1">
        <v>80</v>
      </c>
    </row>
    <row r="485" spans="1:9" s="2" customFormat="1" x14ac:dyDescent="0.25">
      <c r="A485" s="98"/>
      <c r="B485" s="99" t="s">
        <v>66</v>
      </c>
      <c r="C485" s="99">
        <f>+C342</f>
        <v>261773.67747000002</v>
      </c>
      <c r="D485" s="56">
        <f>+D342</f>
        <v>263072819.49000004</v>
      </c>
      <c r="E485" s="100"/>
      <c r="F485" s="80"/>
      <c r="G485" s="88" t="s">
        <v>82</v>
      </c>
      <c r="H485" s="1">
        <v>1136727751.5200005</v>
      </c>
    </row>
    <row r="486" spans="1:9" s="2" customFormat="1" x14ac:dyDescent="0.25">
      <c r="A486" s="98"/>
      <c r="B486" s="99" t="s">
        <v>67</v>
      </c>
      <c r="C486" s="99">
        <f>+C478</f>
        <v>561737.20770999999</v>
      </c>
      <c r="D486" s="122">
        <f>+D478</f>
        <v>561595651.99000001</v>
      </c>
      <c r="E486" s="101"/>
      <c r="F486" s="92"/>
      <c r="G486" s="88" t="s">
        <v>83</v>
      </c>
      <c r="H486" s="1">
        <f>11*27366900+27366800</f>
        <v>328402700</v>
      </c>
    </row>
    <row r="487" spans="1:9" s="2" customFormat="1" x14ac:dyDescent="0.25">
      <c r="A487" s="98"/>
      <c r="B487" s="99"/>
      <c r="C487" s="99"/>
      <c r="D487" s="56"/>
      <c r="E487" s="101"/>
      <c r="F487" s="92"/>
      <c r="G487" s="88" t="s">
        <v>85</v>
      </c>
      <c r="H487" s="1">
        <f>+D38-D39-D40+D367+D368+D406+D407+D408+D195+D29+D369-D41-D42</f>
        <v>16343499.959999999</v>
      </c>
    </row>
    <row r="488" spans="1:9" s="2" customFormat="1" x14ac:dyDescent="0.25">
      <c r="A488" s="98"/>
      <c r="B488" s="102" t="s">
        <v>68</v>
      </c>
      <c r="C488" s="102">
        <f>+C485+C486</f>
        <v>823510.88517999998</v>
      </c>
      <c r="D488" s="27">
        <f>SUM(D485:D486)</f>
        <v>824668471.48000002</v>
      </c>
      <c r="E488" s="101"/>
      <c r="F488" s="92"/>
      <c r="G488" s="2" t="s">
        <v>84</v>
      </c>
      <c r="H488" s="1">
        <f>H485-H486-H483-H484+H487</f>
        <v>824668471.4800005</v>
      </c>
    </row>
    <row r="489" spans="1:9" s="2" customFormat="1" ht="16.5" thickBot="1" x14ac:dyDescent="0.3">
      <c r="A489" s="98"/>
      <c r="B489" s="103"/>
      <c r="C489" s="103"/>
      <c r="D489" s="75"/>
      <c r="E489" s="100"/>
      <c r="F489" s="80"/>
      <c r="H489" s="1">
        <f>+H488-D488</f>
        <v>0</v>
      </c>
      <c r="I489" s="109" t="s">
        <v>333</v>
      </c>
    </row>
    <row r="490" spans="1:9" s="2" customFormat="1" x14ac:dyDescent="0.25">
      <c r="A490" s="87"/>
      <c r="D490" s="45"/>
      <c r="E490" s="1"/>
      <c r="G490" s="1"/>
    </row>
    <row r="491" spans="1:9" ht="16.5" thickBot="1" x14ac:dyDescent="0.3">
      <c r="B491" s="123"/>
      <c r="C491" s="124"/>
      <c r="D491" s="139"/>
      <c r="E491" s="104"/>
      <c r="F491" s="104"/>
      <c r="G491" s="1"/>
      <c r="H491" s="1"/>
    </row>
    <row r="492" spans="1:9" ht="16.5" thickBot="1" x14ac:dyDescent="0.3">
      <c r="B492" s="159" t="s">
        <v>213</v>
      </c>
      <c r="C492" s="130" t="s">
        <v>214</v>
      </c>
      <c r="D492" s="130" t="s">
        <v>214</v>
      </c>
      <c r="E492" s="133" t="s">
        <v>216</v>
      </c>
      <c r="F492" s="133" t="s">
        <v>215</v>
      </c>
      <c r="G492" s="131" t="s">
        <v>217</v>
      </c>
      <c r="H492" s="132" t="s">
        <v>218</v>
      </c>
    </row>
    <row r="493" spans="1:9" s="119" customFormat="1" x14ac:dyDescent="0.25">
      <c r="A493" s="110" t="e">
        <f>IF(#REF!=#REF!,1,IF(#REF!&gt;#REF!,0,-1))</f>
        <v>#REF!</v>
      </c>
      <c r="B493" s="144">
        <v>4111</v>
      </c>
      <c r="C493" s="136">
        <v>20774500</v>
      </c>
      <c r="D493" s="140">
        <v>20774500</v>
      </c>
      <c r="E493" s="134">
        <f t="shared" ref="E493:E504" si="0">SUMIF($F$7:$F$541,B493,$C$7:$C$541)</f>
        <v>20774.5</v>
      </c>
      <c r="F493" s="134">
        <f t="shared" ref="F493:F504" si="1">SUMIF($F$7:$F$491,B493,$D$7:$D$491)</f>
        <v>20774500</v>
      </c>
      <c r="G493" s="134">
        <f>C493-E493*1000</f>
        <v>0</v>
      </c>
      <c r="H493" s="134">
        <f>+D493-F493</f>
        <v>0</v>
      </c>
      <c r="I493" s="119">
        <f>+C493-D493</f>
        <v>0</v>
      </c>
    </row>
    <row r="494" spans="1:9" x14ac:dyDescent="0.25">
      <c r="B494" s="145">
        <v>4113</v>
      </c>
      <c r="C494" s="137">
        <v>7377832.9000000004</v>
      </c>
      <c r="D494" s="141">
        <v>7377832.9000000004</v>
      </c>
      <c r="E494" s="135">
        <f t="shared" si="0"/>
        <v>7377.8329000000012</v>
      </c>
      <c r="F494" s="134">
        <f t="shared" si="1"/>
        <v>7377832.8999999994</v>
      </c>
      <c r="G494" s="134">
        <f t="shared" ref="G494:G504" si="2">C494-E494*1000</f>
        <v>0</v>
      </c>
      <c r="H494" s="134">
        <f t="shared" ref="H494:H504" si="3">+D494-F494</f>
        <v>0</v>
      </c>
      <c r="I494" s="119">
        <f t="shared" ref="I494:I506" si="4">+C494-D494</f>
        <v>0</v>
      </c>
    </row>
    <row r="495" spans="1:9" x14ac:dyDescent="0.25">
      <c r="B495" s="145">
        <v>4116</v>
      </c>
      <c r="C495" s="137">
        <v>179518181.86000001</v>
      </c>
      <c r="D495" s="141">
        <v>180819746.46000001</v>
      </c>
      <c r="E495" s="135">
        <f t="shared" si="0"/>
        <v>179518.18186000016</v>
      </c>
      <c r="F495" s="134">
        <f t="shared" si="1"/>
        <v>180819746.46000007</v>
      </c>
      <c r="G495" s="134">
        <f t="shared" si="2"/>
        <v>0</v>
      </c>
      <c r="H495" s="134">
        <f t="shared" si="3"/>
        <v>0</v>
      </c>
      <c r="I495" s="119">
        <f t="shared" si="4"/>
        <v>-1301564.599999994</v>
      </c>
    </row>
    <row r="496" spans="1:9" x14ac:dyDescent="0.25">
      <c r="B496" s="145">
        <v>4119</v>
      </c>
      <c r="C496" s="137">
        <v>163228.21</v>
      </c>
      <c r="D496" s="141">
        <v>163228.21</v>
      </c>
      <c r="E496" s="135">
        <f t="shared" si="0"/>
        <v>163.22820999999999</v>
      </c>
      <c r="F496" s="134">
        <f t="shared" si="1"/>
        <v>163228.21</v>
      </c>
      <c r="G496" s="134">
        <f t="shared" si="2"/>
        <v>0</v>
      </c>
      <c r="H496" s="134">
        <f t="shared" si="3"/>
        <v>0</v>
      </c>
      <c r="I496" s="119">
        <f t="shared" si="4"/>
        <v>0</v>
      </c>
    </row>
    <row r="497" spans="2:9" x14ac:dyDescent="0.25">
      <c r="B497" s="145">
        <v>4122</v>
      </c>
      <c r="C497" s="137">
        <v>45867940.509999998</v>
      </c>
      <c r="D497" s="141">
        <v>45867940.509999998</v>
      </c>
      <c r="E497" s="135">
        <f t="shared" si="0"/>
        <v>45867.940510000008</v>
      </c>
      <c r="F497" s="134">
        <f t="shared" si="1"/>
        <v>45867940.510000005</v>
      </c>
      <c r="G497" s="134">
        <f t="shared" si="2"/>
        <v>0</v>
      </c>
      <c r="H497" s="134">
        <f t="shared" si="3"/>
        <v>0</v>
      </c>
      <c r="I497" s="119">
        <f t="shared" si="4"/>
        <v>0</v>
      </c>
    </row>
    <row r="498" spans="2:9" x14ac:dyDescent="0.25">
      <c r="B498" s="145">
        <v>4123</v>
      </c>
      <c r="C498" s="137">
        <v>1855993.99</v>
      </c>
      <c r="D498" s="141">
        <v>1855993.99</v>
      </c>
      <c r="E498" s="135">
        <f t="shared" si="0"/>
        <v>1855.9939900000002</v>
      </c>
      <c r="F498" s="134">
        <f t="shared" si="1"/>
        <v>1855993.99</v>
      </c>
      <c r="G498" s="134">
        <f t="shared" si="2"/>
        <v>0</v>
      </c>
      <c r="H498" s="134">
        <f t="shared" si="3"/>
        <v>0</v>
      </c>
      <c r="I498" s="119">
        <f t="shared" si="4"/>
        <v>0</v>
      </c>
    </row>
    <row r="499" spans="2:9" x14ac:dyDescent="0.25">
      <c r="B499" s="145">
        <v>4151</v>
      </c>
      <c r="C499" s="137">
        <v>328000</v>
      </c>
      <c r="D499" s="141">
        <v>327409.55</v>
      </c>
      <c r="E499" s="135">
        <f t="shared" si="0"/>
        <v>328</v>
      </c>
      <c r="F499" s="134">
        <f t="shared" si="1"/>
        <v>327409.55</v>
      </c>
      <c r="G499" s="134">
        <f t="shared" si="2"/>
        <v>0</v>
      </c>
      <c r="H499" s="134">
        <f t="shared" si="3"/>
        <v>0</v>
      </c>
      <c r="I499" s="119">
        <f t="shared" si="4"/>
        <v>590.45000000001164</v>
      </c>
    </row>
    <row r="500" spans="2:9" x14ac:dyDescent="0.25">
      <c r="B500" s="145">
        <v>4152</v>
      </c>
      <c r="C500" s="137">
        <v>5888000</v>
      </c>
      <c r="D500" s="141">
        <v>5886167.8700000001</v>
      </c>
      <c r="E500" s="135">
        <f t="shared" si="0"/>
        <v>5888</v>
      </c>
      <c r="F500" s="134">
        <f t="shared" si="1"/>
        <v>5886167.8700000001</v>
      </c>
      <c r="G500" s="134">
        <f t="shared" si="2"/>
        <v>0</v>
      </c>
      <c r="H500" s="134">
        <f t="shared" si="3"/>
        <v>0</v>
      </c>
      <c r="I500" s="119">
        <f t="shared" si="4"/>
        <v>1832.1299999998882</v>
      </c>
    </row>
    <row r="501" spans="2:9" x14ac:dyDescent="0.25">
      <c r="B501" s="145">
        <v>4213</v>
      </c>
      <c r="C501" s="137">
        <v>21565722.649999999</v>
      </c>
      <c r="D501" s="141">
        <v>21424166.93</v>
      </c>
      <c r="E501" s="135">
        <f t="shared" si="0"/>
        <v>21565.72265</v>
      </c>
      <c r="F501" s="134">
        <f t="shared" si="1"/>
        <v>21424166.930000007</v>
      </c>
      <c r="G501" s="134">
        <f t="shared" si="2"/>
        <v>0</v>
      </c>
      <c r="H501" s="134">
        <f t="shared" si="3"/>
        <v>0</v>
      </c>
      <c r="I501" s="119">
        <f t="shared" si="4"/>
        <v>141555.71999999881</v>
      </c>
    </row>
    <row r="502" spans="2:9" x14ac:dyDescent="0.25">
      <c r="B502" s="145">
        <v>4216</v>
      </c>
      <c r="C502" s="137">
        <v>407972960.98000002</v>
      </c>
      <c r="D502" s="141">
        <v>407972960.98000002</v>
      </c>
      <c r="E502" s="135">
        <f t="shared" si="0"/>
        <v>407972.96098000009</v>
      </c>
      <c r="F502" s="134">
        <f t="shared" si="1"/>
        <v>407972960.9799999</v>
      </c>
      <c r="G502" s="134">
        <f t="shared" si="2"/>
        <v>0</v>
      </c>
      <c r="H502" s="134">
        <f t="shared" si="3"/>
        <v>0</v>
      </c>
      <c r="I502" s="119">
        <f t="shared" si="4"/>
        <v>0</v>
      </c>
    </row>
    <row r="503" spans="2:9" x14ac:dyDescent="0.25">
      <c r="B503" s="145">
        <v>4222</v>
      </c>
      <c r="C503" s="137">
        <v>13961330</v>
      </c>
      <c r="D503" s="141">
        <v>13961330</v>
      </c>
      <c r="E503" s="135">
        <f t="shared" si="0"/>
        <v>13961.33</v>
      </c>
      <c r="F503" s="134">
        <f t="shared" si="1"/>
        <v>13961330</v>
      </c>
      <c r="G503" s="134">
        <f t="shared" si="2"/>
        <v>0</v>
      </c>
      <c r="H503" s="134">
        <f t="shared" si="3"/>
        <v>0</v>
      </c>
      <c r="I503" s="119">
        <f t="shared" si="4"/>
        <v>0</v>
      </c>
    </row>
    <row r="504" spans="2:9" x14ac:dyDescent="0.25">
      <c r="B504" s="145">
        <v>4223</v>
      </c>
      <c r="C504" s="137">
        <v>118237194.08</v>
      </c>
      <c r="D504" s="141">
        <v>118237194.08</v>
      </c>
      <c r="E504" s="135">
        <f t="shared" si="0"/>
        <v>118237.19408</v>
      </c>
      <c r="F504" s="134">
        <f t="shared" si="1"/>
        <v>118237194.08000001</v>
      </c>
      <c r="G504" s="134">
        <f t="shared" si="2"/>
        <v>0</v>
      </c>
      <c r="H504" s="134">
        <f t="shared" si="3"/>
        <v>0</v>
      </c>
      <c r="I504" s="119">
        <f t="shared" si="4"/>
        <v>0</v>
      </c>
    </row>
    <row r="505" spans="2:9" x14ac:dyDescent="0.25">
      <c r="B505" s="125"/>
      <c r="C505" s="137">
        <f t="shared" ref="C505:H505" si="5">+SUM(C493:C504)</f>
        <v>823510885.18000007</v>
      </c>
      <c r="D505" s="142">
        <f t="shared" si="5"/>
        <v>824668471.48000014</v>
      </c>
      <c r="E505" s="137">
        <f t="shared" si="5"/>
        <v>823510.88518000033</v>
      </c>
      <c r="F505" s="137">
        <f t="shared" si="5"/>
        <v>824668471.48000014</v>
      </c>
      <c r="G505" s="134">
        <f t="shared" si="5"/>
        <v>0</v>
      </c>
      <c r="H505" s="134">
        <f t="shared" si="5"/>
        <v>0</v>
      </c>
      <c r="I505" s="119">
        <f t="shared" si="4"/>
        <v>-1157586.3000000715</v>
      </c>
    </row>
    <row r="506" spans="2:9" ht="16.5" thickBot="1" x14ac:dyDescent="0.3">
      <c r="B506" s="126"/>
      <c r="C506" s="138"/>
      <c r="D506" s="143"/>
      <c r="E506" s="127"/>
      <c r="F506" s="127"/>
      <c r="G506" s="128"/>
      <c r="H506" s="129"/>
      <c r="I506" s="119">
        <f t="shared" si="4"/>
        <v>0</v>
      </c>
    </row>
    <row r="507" spans="2:9" x14ac:dyDescent="0.25">
      <c r="H507" s="2"/>
    </row>
    <row r="508" spans="2:9" x14ac:dyDescent="0.25">
      <c r="H508" s="2"/>
    </row>
    <row r="509" spans="2:9" x14ac:dyDescent="0.25">
      <c r="H509" s="2"/>
    </row>
    <row r="510" spans="2:9" x14ac:dyDescent="0.25">
      <c r="E510" s="45"/>
      <c r="F510" s="45"/>
      <c r="H510" s="2"/>
    </row>
    <row r="511" spans="2:9" x14ac:dyDescent="0.25">
      <c r="E511" s="45"/>
      <c r="F511" s="45"/>
      <c r="H511" s="2"/>
    </row>
    <row r="512" spans="2:9" x14ac:dyDescent="0.25">
      <c r="E512" s="45"/>
      <c r="F512" s="45"/>
      <c r="H512" s="2"/>
    </row>
    <row r="513" spans="5:8" x14ac:dyDescent="0.25">
      <c r="E513" s="45"/>
      <c r="F513" s="45"/>
      <c r="H513" s="2"/>
    </row>
    <row r="514" spans="5:8" x14ac:dyDescent="0.25">
      <c r="E514" s="45"/>
      <c r="F514" s="45"/>
      <c r="H514" s="2"/>
    </row>
    <row r="515" spans="5:8" x14ac:dyDescent="0.25">
      <c r="E515" s="45"/>
      <c r="F515" s="45"/>
      <c r="H515" s="2"/>
    </row>
    <row r="516" spans="5:8" x14ac:dyDescent="0.25">
      <c r="E516" s="45"/>
      <c r="F516" s="45"/>
      <c r="H516" s="2"/>
    </row>
    <row r="517" spans="5:8" x14ac:dyDescent="0.25">
      <c r="E517" s="45"/>
      <c r="F517" s="45"/>
      <c r="H517" s="2"/>
    </row>
    <row r="518" spans="5:8" x14ac:dyDescent="0.25">
      <c r="H518" s="2"/>
    </row>
    <row r="519" spans="5:8" x14ac:dyDescent="0.25">
      <c r="H519" s="2"/>
    </row>
    <row r="520" spans="5:8" x14ac:dyDescent="0.25">
      <c r="H520" s="2"/>
    </row>
    <row r="521" spans="5:8" x14ac:dyDescent="0.25">
      <c r="H521" s="2"/>
    </row>
    <row r="522" spans="5:8" x14ac:dyDescent="0.25">
      <c r="H522" s="2"/>
    </row>
    <row r="523" spans="5:8" x14ac:dyDescent="0.25">
      <c r="H523" s="2"/>
    </row>
    <row r="524" spans="5:8" x14ac:dyDescent="0.25">
      <c r="H524" s="2"/>
    </row>
    <row r="525" spans="5:8" x14ac:dyDescent="0.25">
      <c r="H525" s="2"/>
    </row>
    <row r="526" spans="5:8" x14ac:dyDescent="0.25">
      <c r="H526" s="2"/>
    </row>
    <row r="527" spans="5:8" x14ac:dyDescent="0.25">
      <c r="H527" s="2"/>
    </row>
    <row r="528" spans="5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77" spans="1:8" x14ac:dyDescent="0.25">
      <c r="A577" s="155"/>
      <c r="B577" s="111"/>
      <c r="C577" s="111"/>
      <c r="D577" s="156"/>
      <c r="E577" s="112"/>
      <c r="F577" s="113"/>
      <c r="G577" s="156"/>
      <c r="H577" s="157"/>
    </row>
    <row r="578" spans="1:8" x14ac:dyDescent="0.25">
      <c r="A578" s="155"/>
      <c r="B578" s="111"/>
      <c r="C578" s="111"/>
      <c r="D578" s="156"/>
      <c r="E578" s="112"/>
      <c r="F578" s="113"/>
      <c r="G578" s="156"/>
      <c r="H578" s="157"/>
    </row>
    <row r="579" spans="1:8" x14ac:dyDescent="0.25">
      <c r="A579" s="155"/>
      <c r="B579" s="111"/>
      <c r="C579" s="111"/>
      <c r="D579" s="156"/>
      <c r="E579" s="112"/>
      <c r="F579" s="113"/>
      <c r="G579" s="156"/>
      <c r="H579" s="157"/>
    </row>
    <row r="580" spans="1:8" x14ac:dyDescent="0.25">
      <c r="A580" s="155"/>
      <c r="B580" s="111"/>
      <c r="C580" s="111"/>
      <c r="D580" s="156"/>
      <c r="E580" s="112"/>
      <c r="F580" s="113"/>
      <c r="G580" s="156"/>
      <c r="H580" s="157"/>
    </row>
    <row r="581" spans="1:8" x14ac:dyDescent="0.25">
      <c r="A581" s="155"/>
      <c r="B581" s="111"/>
      <c r="C581" s="111"/>
      <c r="D581" s="156"/>
      <c r="E581" s="112"/>
      <c r="F581" s="113"/>
      <c r="G581" s="156"/>
      <c r="H581" s="157"/>
    </row>
    <row r="582" spans="1:8" x14ac:dyDescent="0.25">
      <c r="A582" s="155"/>
      <c r="B582" s="111"/>
      <c r="C582" s="111"/>
      <c r="D582" s="156"/>
      <c r="E582" s="112"/>
      <c r="F582" s="113"/>
      <c r="G582" s="156"/>
      <c r="H582" s="157"/>
    </row>
    <row r="583" spans="1:8" x14ac:dyDescent="0.25">
      <c r="A583" s="155"/>
      <c r="B583" s="111"/>
      <c r="C583" s="111"/>
      <c r="D583" s="156"/>
      <c r="E583" s="112"/>
      <c r="F583" s="113"/>
      <c r="G583" s="156"/>
      <c r="H583" s="157"/>
    </row>
    <row r="584" spans="1:8" x14ac:dyDescent="0.25">
      <c r="A584" s="155"/>
      <c r="B584" s="111"/>
      <c r="C584" s="111"/>
      <c r="D584" s="156"/>
      <c r="E584" s="112"/>
      <c r="F584" s="113"/>
      <c r="G584" s="156"/>
      <c r="H584" s="157"/>
    </row>
    <row r="585" spans="1:8" x14ac:dyDescent="0.25">
      <c r="A585" s="155"/>
      <c r="B585" s="111"/>
      <c r="C585" s="111"/>
      <c r="D585" s="156"/>
      <c r="E585" s="112"/>
      <c r="F585" s="113"/>
      <c r="G585" s="156"/>
      <c r="H585" s="157"/>
    </row>
    <row r="586" spans="1:8" x14ac:dyDescent="0.25">
      <c r="A586" s="155"/>
      <c r="B586" s="111"/>
      <c r="C586" s="111"/>
      <c r="D586" s="156"/>
      <c r="E586" s="112"/>
      <c r="F586" s="113"/>
      <c r="G586" s="156"/>
      <c r="H586" s="157"/>
    </row>
    <row r="587" spans="1:8" x14ac:dyDescent="0.25">
      <c r="A587" s="155"/>
      <c r="B587" s="111"/>
      <c r="C587" s="111"/>
      <c r="D587" s="156"/>
      <c r="E587" s="112"/>
      <c r="F587" s="113"/>
      <c r="G587" s="156"/>
      <c r="H587" s="157"/>
    </row>
    <row r="588" spans="1:8" x14ac:dyDescent="0.25">
      <c r="A588" s="155"/>
      <c r="B588" s="111"/>
      <c r="C588" s="111"/>
      <c r="D588" s="156"/>
      <c r="E588" s="112"/>
      <c r="F588" s="113"/>
      <c r="G588" s="156"/>
      <c r="H588" s="157"/>
    </row>
    <row r="589" spans="1:8" x14ac:dyDescent="0.25">
      <c r="A589" s="155"/>
      <c r="B589" s="111"/>
      <c r="C589" s="111"/>
      <c r="D589" s="156"/>
      <c r="E589" s="112"/>
      <c r="F589" s="113"/>
      <c r="G589" s="156"/>
      <c r="H589" s="157"/>
    </row>
    <row r="590" spans="1:8" x14ac:dyDescent="0.25">
      <c r="A590" s="155"/>
      <c r="B590" s="111"/>
      <c r="C590" s="111"/>
      <c r="D590" s="156"/>
      <c r="E590" s="112"/>
      <c r="F590" s="113"/>
      <c r="G590" s="156"/>
      <c r="H590" s="157"/>
    </row>
    <row r="591" spans="1:8" x14ac:dyDescent="0.25">
      <c r="A591" s="155"/>
      <c r="B591" s="111"/>
      <c r="C591" s="111"/>
      <c r="D591" s="156"/>
      <c r="E591" s="112"/>
      <c r="F591" s="113"/>
      <c r="G591" s="156"/>
      <c r="H591" s="157"/>
    </row>
    <row r="592" spans="1:8" x14ac:dyDescent="0.25">
      <c r="A592" s="155"/>
      <c r="B592" s="111"/>
      <c r="C592" s="111"/>
      <c r="D592" s="156"/>
      <c r="E592" s="112"/>
      <c r="F592" s="113"/>
      <c r="G592" s="156"/>
      <c r="H592" s="157"/>
    </row>
    <row r="593" spans="1:8" x14ac:dyDescent="0.25">
      <c r="A593" s="155"/>
      <c r="B593" s="111"/>
      <c r="C593" s="111"/>
      <c r="D593" s="156"/>
      <c r="E593" s="112"/>
      <c r="F593" s="113"/>
      <c r="G593" s="156"/>
      <c r="H593" s="157"/>
    </row>
    <row r="594" spans="1:8" x14ac:dyDescent="0.25">
      <c r="A594" s="155"/>
      <c r="B594" s="111"/>
      <c r="C594" s="111"/>
      <c r="D594" s="156"/>
      <c r="E594" s="112"/>
      <c r="F594" s="113"/>
      <c r="G594" s="156"/>
      <c r="H594" s="157"/>
    </row>
    <row r="595" spans="1:8" x14ac:dyDescent="0.25">
      <c r="A595" s="155"/>
      <c r="B595" s="111"/>
      <c r="C595" s="111"/>
      <c r="D595" s="156"/>
      <c r="E595" s="112"/>
      <c r="F595" s="113"/>
      <c r="G595" s="156"/>
      <c r="H595" s="157"/>
    </row>
    <row r="596" spans="1:8" x14ac:dyDescent="0.25">
      <c r="A596" s="155"/>
      <c r="B596" s="111"/>
      <c r="C596" s="111"/>
      <c r="D596" s="156"/>
      <c r="E596" s="112"/>
      <c r="F596" s="113"/>
      <c r="G596" s="156"/>
      <c r="H596" s="157"/>
    </row>
    <row r="597" spans="1:8" x14ac:dyDescent="0.25">
      <c r="A597" s="155"/>
      <c r="B597" s="111"/>
      <c r="C597" s="111"/>
      <c r="D597" s="156"/>
      <c r="E597" s="112"/>
      <c r="F597" s="113"/>
      <c r="G597" s="156"/>
      <c r="H597" s="157"/>
    </row>
    <row r="598" spans="1:8" x14ac:dyDescent="0.25">
      <c r="A598" s="155"/>
      <c r="B598" s="111"/>
      <c r="C598" s="111"/>
      <c r="D598" s="156"/>
      <c r="E598" s="112"/>
      <c r="F598" s="113"/>
      <c r="G598" s="156"/>
      <c r="H598" s="157"/>
    </row>
    <row r="599" spans="1:8" x14ac:dyDescent="0.25">
      <c r="A599" s="155"/>
      <c r="B599" s="111"/>
      <c r="C599" s="111"/>
      <c r="D599" s="156"/>
      <c r="E599" s="112"/>
      <c r="F599" s="113"/>
      <c r="G599" s="156"/>
      <c r="H599" s="157"/>
    </row>
    <row r="600" spans="1:8" x14ac:dyDescent="0.25">
      <c r="A600" s="155"/>
      <c r="B600" s="111"/>
      <c r="C600" s="111"/>
      <c r="D600" s="156"/>
      <c r="E600" s="112"/>
      <c r="F600" s="113"/>
      <c r="G600" s="156"/>
      <c r="H600" s="157"/>
    </row>
    <row r="601" spans="1:8" x14ac:dyDescent="0.25">
      <c r="A601" s="155"/>
      <c r="B601" s="111"/>
      <c r="C601" s="111"/>
      <c r="D601" s="156"/>
      <c r="E601" s="112"/>
      <c r="F601" s="113"/>
      <c r="G601" s="156"/>
      <c r="H601" s="157"/>
    </row>
    <row r="602" spans="1:8" x14ac:dyDescent="0.25">
      <c r="A602" s="155"/>
      <c r="B602" s="111"/>
      <c r="C602" s="111"/>
      <c r="D602" s="156"/>
      <c r="E602" s="112"/>
      <c r="F602" s="113"/>
      <c r="G602" s="156"/>
      <c r="H602" s="157"/>
    </row>
    <row r="603" spans="1:8" x14ac:dyDescent="0.25">
      <c r="A603" s="155"/>
      <c r="B603" s="111"/>
      <c r="C603" s="111"/>
      <c r="D603" s="156"/>
      <c r="E603" s="112"/>
      <c r="F603" s="113"/>
      <c r="G603" s="156"/>
      <c r="H603" s="157"/>
    </row>
    <row r="604" spans="1:8" x14ac:dyDescent="0.25">
      <c r="A604" s="155"/>
      <c r="B604" s="111"/>
      <c r="C604" s="111"/>
      <c r="D604" s="156"/>
      <c r="E604" s="112"/>
      <c r="F604" s="113"/>
      <c r="G604" s="156"/>
      <c r="H604" s="157"/>
    </row>
    <row r="605" spans="1:8" x14ac:dyDescent="0.25">
      <c r="A605" s="155"/>
      <c r="B605" s="111"/>
      <c r="C605" s="111"/>
      <c r="D605" s="156"/>
      <c r="E605" s="112"/>
      <c r="F605" s="113"/>
      <c r="G605" s="156"/>
      <c r="H605" s="157"/>
    </row>
    <row r="606" spans="1:8" x14ac:dyDescent="0.25">
      <c r="A606" s="155"/>
      <c r="B606" s="111"/>
      <c r="C606" s="111"/>
      <c r="D606" s="156"/>
      <c r="E606" s="112"/>
      <c r="F606" s="113"/>
      <c r="G606" s="156"/>
      <c r="H606" s="157"/>
    </row>
    <row r="607" spans="1:8" x14ac:dyDescent="0.25">
      <c r="A607" s="155"/>
      <c r="B607" s="111"/>
      <c r="C607" s="111"/>
      <c r="D607" s="156"/>
      <c r="E607" s="112"/>
      <c r="F607" s="113"/>
      <c r="G607" s="156"/>
      <c r="H607" s="157"/>
    </row>
    <row r="608" spans="1:8" x14ac:dyDescent="0.25">
      <c r="A608" s="155"/>
      <c r="B608" s="111"/>
      <c r="C608" s="111"/>
      <c r="D608" s="156"/>
      <c r="E608" s="112"/>
      <c r="F608" s="113"/>
      <c r="G608" s="156"/>
      <c r="H608" s="157"/>
    </row>
    <row r="609" spans="1:8" x14ac:dyDescent="0.25">
      <c r="A609" s="155"/>
      <c r="B609" s="111"/>
      <c r="C609" s="111"/>
      <c r="D609" s="156"/>
      <c r="E609" s="112"/>
      <c r="F609" s="113"/>
      <c r="G609" s="156"/>
      <c r="H609" s="157"/>
    </row>
    <row r="610" spans="1:8" x14ac:dyDescent="0.25">
      <c r="A610" s="155"/>
      <c r="B610" s="111"/>
      <c r="C610" s="111"/>
      <c r="D610" s="156"/>
      <c r="E610" s="112"/>
      <c r="F610" s="113"/>
      <c r="G610" s="156"/>
      <c r="H610" s="157"/>
    </row>
    <row r="611" spans="1:8" x14ac:dyDescent="0.25">
      <c r="A611" s="155"/>
      <c r="B611" s="111"/>
      <c r="C611" s="111"/>
      <c r="D611" s="156"/>
      <c r="E611" s="112"/>
      <c r="F611" s="113"/>
      <c r="G611" s="156"/>
      <c r="H611" s="157"/>
    </row>
    <row r="612" spans="1:8" x14ac:dyDescent="0.25">
      <c r="A612" s="155"/>
      <c r="B612" s="111"/>
      <c r="C612" s="111"/>
      <c r="D612" s="156"/>
      <c r="E612" s="112"/>
      <c r="F612" s="113"/>
      <c r="G612" s="156"/>
      <c r="H612" s="157"/>
    </row>
    <row r="613" spans="1:8" x14ac:dyDescent="0.25">
      <c r="A613" s="155"/>
      <c r="B613" s="111"/>
      <c r="C613" s="111"/>
      <c r="D613" s="156"/>
      <c r="E613" s="112"/>
      <c r="F613" s="113"/>
      <c r="G613" s="156"/>
      <c r="H613" s="157"/>
    </row>
    <row r="614" spans="1:8" x14ac:dyDescent="0.25">
      <c r="A614" s="155"/>
      <c r="B614" s="111"/>
      <c r="C614" s="111"/>
      <c r="D614" s="156"/>
      <c r="E614" s="112"/>
      <c r="F614" s="113"/>
      <c r="G614" s="156"/>
      <c r="H614" s="157"/>
    </row>
    <row r="615" spans="1:8" x14ac:dyDescent="0.25">
      <c r="A615" s="155"/>
      <c r="B615" s="111"/>
      <c r="C615" s="111"/>
      <c r="D615" s="156"/>
      <c r="E615" s="112"/>
      <c r="F615" s="113"/>
      <c r="G615" s="156"/>
      <c r="H615" s="157"/>
    </row>
    <row r="616" spans="1:8" x14ac:dyDescent="0.25">
      <c r="A616" s="155"/>
      <c r="B616" s="111"/>
      <c r="C616" s="111"/>
      <c r="D616" s="156"/>
      <c r="E616" s="112"/>
      <c r="F616" s="113"/>
      <c r="G616" s="156"/>
      <c r="H616" s="157"/>
    </row>
    <row r="617" spans="1:8" x14ac:dyDescent="0.25">
      <c r="A617" s="155"/>
      <c r="B617" s="111"/>
      <c r="C617" s="111"/>
      <c r="D617" s="156"/>
      <c r="E617" s="112"/>
      <c r="F617" s="113"/>
      <c r="G617" s="156"/>
      <c r="H617" s="157"/>
    </row>
    <row r="618" spans="1:8" x14ac:dyDescent="0.25">
      <c r="A618" s="155"/>
      <c r="B618" s="111"/>
      <c r="C618" s="111"/>
      <c r="D618" s="156"/>
      <c r="E618" s="112"/>
      <c r="F618" s="113"/>
      <c r="G618" s="156"/>
      <c r="H618" s="157"/>
    </row>
    <row r="619" spans="1:8" x14ac:dyDescent="0.25">
      <c r="A619" s="155"/>
      <c r="B619" s="111"/>
      <c r="C619" s="111"/>
      <c r="D619" s="156"/>
      <c r="E619" s="112"/>
      <c r="F619" s="113"/>
      <c r="G619" s="156"/>
      <c r="H619" s="157"/>
    </row>
    <row r="620" spans="1:8" x14ac:dyDescent="0.25">
      <c r="A620" s="155"/>
      <c r="B620" s="111"/>
      <c r="C620" s="111"/>
      <c r="D620" s="156"/>
      <c r="E620" s="112"/>
      <c r="F620" s="113"/>
      <c r="G620" s="156"/>
      <c r="H620" s="157"/>
    </row>
    <row r="621" spans="1:8" x14ac:dyDescent="0.25">
      <c r="A621" s="155"/>
      <c r="B621" s="111"/>
      <c r="C621" s="111"/>
      <c r="D621" s="156"/>
      <c r="E621" s="112"/>
      <c r="F621" s="113"/>
      <c r="G621" s="156"/>
      <c r="H621" s="157"/>
    </row>
    <row r="622" spans="1:8" x14ac:dyDescent="0.25">
      <c r="A622" s="155"/>
      <c r="B622" s="111"/>
      <c r="C622" s="111"/>
      <c r="D622" s="156"/>
      <c r="E622" s="112"/>
      <c r="F622" s="113"/>
      <c r="G622" s="156"/>
      <c r="H622" s="157"/>
    </row>
    <row r="623" spans="1:8" x14ac:dyDescent="0.25">
      <c r="A623" s="155"/>
      <c r="B623" s="111"/>
      <c r="C623" s="111"/>
      <c r="D623" s="156"/>
      <c r="E623" s="112"/>
      <c r="F623" s="113"/>
      <c r="G623" s="156"/>
      <c r="H623" s="157"/>
    </row>
    <row r="624" spans="1:8" x14ac:dyDescent="0.25">
      <c r="A624" s="155"/>
      <c r="B624" s="111"/>
      <c r="C624" s="111"/>
      <c r="D624" s="156"/>
      <c r="E624" s="112"/>
      <c r="F624" s="113"/>
      <c r="G624" s="156"/>
      <c r="H624" s="157"/>
    </row>
    <row r="625" spans="1:8" x14ac:dyDescent="0.25">
      <c r="A625" s="155"/>
      <c r="B625" s="111"/>
      <c r="C625" s="111"/>
      <c r="D625" s="156"/>
      <c r="E625" s="112"/>
      <c r="F625" s="113"/>
      <c r="G625" s="156"/>
      <c r="H625" s="157"/>
    </row>
    <row r="626" spans="1:8" x14ac:dyDescent="0.25">
      <c r="A626" s="155"/>
      <c r="B626" s="111"/>
      <c r="C626" s="111"/>
      <c r="D626" s="156"/>
      <c r="E626" s="112"/>
      <c r="F626" s="113"/>
      <c r="G626" s="156"/>
      <c r="H626" s="157"/>
    </row>
    <row r="627" spans="1:8" x14ac:dyDescent="0.25">
      <c r="A627" s="155"/>
      <c r="B627" s="111"/>
      <c r="C627" s="111"/>
      <c r="D627" s="156"/>
      <c r="E627" s="112"/>
      <c r="F627" s="113"/>
      <c r="G627" s="156"/>
      <c r="H627" s="157"/>
    </row>
    <row r="628" spans="1:8" x14ac:dyDescent="0.25">
      <c r="A628" s="155"/>
      <c r="B628" s="111"/>
      <c r="C628" s="111"/>
      <c r="D628" s="156"/>
      <c r="E628" s="112"/>
      <c r="F628" s="113"/>
      <c r="G628" s="156"/>
      <c r="H628" s="157"/>
    </row>
    <row r="629" spans="1:8" x14ac:dyDescent="0.25">
      <c r="A629" s="155"/>
      <c r="B629" s="111"/>
      <c r="C629" s="111"/>
      <c r="D629" s="156"/>
      <c r="E629" s="112"/>
      <c r="F629" s="113"/>
      <c r="G629" s="156"/>
      <c r="H629" s="157"/>
    </row>
    <row r="630" spans="1:8" x14ac:dyDescent="0.25">
      <c r="A630" s="155"/>
      <c r="B630" s="111"/>
      <c r="C630" s="111"/>
      <c r="D630" s="156"/>
      <c r="E630" s="112"/>
      <c r="F630" s="113"/>
      <c r="G630" s="156"/>
      <c r="H630" s="157"/>
    </row>
    <row r="631" spans="1:8" x14ac:dyDescent="0.25">
      <c r="A631" s="155"/>
      <c r="B631" s="111"/>
      <c r="C631" s="111"/>
      <c r="D631" s="156"/>
      <c r="E631" s="112"/>
      <c r="F631" s="113"/>
      <c r="G631" s="156"/>
      <c r="H631" s="157"/>
    </row>
    <row r="632" spans="1:8" x14ac:dyDescent="0.25">
      <c r="A632" s="155"/>
      <c r="B632" s="111"/>
      <c r="C632" s="111"/>
      <c r="D632" s="156"/>
      <c r="E632" s="112"/>
      <c r="F632" s="113"/>
      <c r="G632" s="156"/>
      <c r="H632" s="157"/>
    </row>
    <row r="633" spans="1:8" x14ac:dyDescent="0.25">
      <c r="A633" s="155"/>
      <c r="B633" s="111"/>
      <c r="C633" s="111"/>
      <c r="D633" s="156"/>
      <c r="E633" s="112"/>
      <c r="F633" s="113"/>
      <c r="G633" s="156"/>
      <c r="H633" s="157"/>
    </row>
    <row r="634" spans="1:8" x14ac:dyDescent="0.25">
      <c r="A634" s="155"/>
      <c r="B634" s="111"/>
      <c r="C634" s="111"/>
      <c r="D634" s="156"/>
      <c r="E634" s="112"/>
      <c r="F634" s="113"/>
      <c r="G634" s="156"/>
      <c r="H634" s="157"/>
    </row>
    <row r="635" spans="1:8" x14ac:dyDescent="0.25">
      <c r="A635" s="155"/>
      <c r="B635" s="111"/>
      <c r="C635" s="111"/>
      <c r="D635" s="156"/>
      <c r="E635" s="112"/>
      <c r="F635" s="113"/>
      <c r="G635" s="156"/>
      <c r="H635" s="157"/>
    </row>
    <row r="636" spans="1:8" x14ac:dyDescent="0.25">
      <c r="A636" s="155"/>
      <c r="B636" s="111"/>
      <c r="C636" s="111"/>
      <c r="D636" s="156"/>
      <c r="E636" s="112"/>
      <c r="F636" s="113"/>
      <c r="G636" s="156"/>
      <c r="H636" s="157"/>
    </row>
    <row r="637" spans="1:8" x14ac:dyDescent="0.25">
      <c r="A637" s="155"/>
      <c r="B637" s="111"/>
      <c r="C637" s="111"/>
      <c r="D637" s="156"/>
      <c r="E637" s="112"/>
      <c r="F637" s="113"/>
      <c r="G637" s="156"/>
      <c r="H637" s="157"/>
    </row>
    <row r="638" spans="1:8" x14ac:dyDescent="0.25">
      <c r="A638" s="155"/>
      <c r="B638" s="111"/>
      <c r="C638" s="111"/>
      <c r="D638" s="156"/>
      <c r="E638" s="112"/>
      <c r="F638" s="113"/>
      <c r="G638" s="156"/>
      <c r="H638" s="157"/>
    </row>
    <row r="639" spans="1:8" x14ac:dyDescent="0.25">
      <c r="A639" s="155"/>
      <c r="B639" s="111"/>
      <c r="C639" s="111"/>
      <c r="D639" s="156"/>
      <c r="E639" s="112"/>
      <c r="F639" s="113"/>
      <c r="G639" s="156"/>
      <c r="H639" s="157"/>
    </row>
    <row r="640" spans="1:8" x14ac:dyDescent="0.25">
      <c r="A640" s="155"/>
      <c r="B640" s="111"/>
      <c r="C640" s="111"/>
      <c r="D640" s="156"/>
      <c r="E640" s="112"/>
      <c r="F640" s="113"/>
      <c r="G640" s="156"/>
      <c r="H640" s="157"/>
    </row>
    <row r="641" spans="1:8" x14ac:dyDescent="0.25">
      <c r="A641" s="155"/>
      <c r="B641" s="111"/>
      <c r="C641" s="111"/>
      <c r="D641" s="156"/>
      <c r="E641" s="112"/>
      <c r="F641" s="113"/>
      <c r="G641" s="156"/>
      <c r="H641" s="157"/>
    </row>
    <row r="642" spans="1:8" x14ac:dyDescent="0.25">
      <c r="A642" s="155"/>
      <c r="B642" s="111"/>
      <c r="C642" s="111"/>
      <c r="D642" s="156"/>
      <c r="E642" s="112"/>
      <c r="F642" s="113"/>
      <c r="G642" s="156"/>
      <c r="H642" s="157"/>
    </row>
    <row r="643" spans="1:8" x14ac:dyDescent="0.25">
      <c r="A643" s="155"/>
      <c r="B643" s="111"/>
      <c r="C643" s="111"/>
      <c r="D643" s="156"/>
      <c r="E643" s="112"/>
      <c r="F643" s="113"/>
      <c r="G643" s="156"/>
      <c r="H643" s="157"/>
    </row>
    <row r="644" spans="1:8" x14ac:dyDescent="0.25">
      <c r="A644" s="155"/>
      <c r="B644" s="111"/>
      <c r="C644" s="111"/>
      <c r="D644" s="156"/>
      <c r="E644" s="112"/>
      <c r="F644" s="113"/>
      <c r="G644" s="156"/>
      <c r="H644" s="157"/>
    </row>
    <row r="645" spans="1:8" x14ac:dyDescent="0.25">
      <c r="A645" s="155"/>
      <c r="B645" s="111"/>
      <c r="C645" s="111"/>
      <c r="D645" s="156"/>
      <c r="E645" s="112"/>
      <c r="F645" s="113"/>
      <c r="G645" s="156"/>
      <c r="H645" s="157"/>
    </row>
    <row r="646" spans="1:8" x14ac:dyDescent="0.25">
      <c r="A646" s="155"/>
      <c r="B646" s="111"/>
      <c r="C646" s="111"/>
      <c r="D646" s="156"/>
      <c r="E646" s="112"/>
      <c r="F646" s="113"/>
      <c r="G646" s="156"/>
      <c r="H646" s="157"/>
    </row>
    <row r="647" spans="1:8" x14ac:dyDescent="0.25">
      <c r="A647" s="155"/>
      <c r="B647" s="111"/>
      <c r="C647" s="111"/>
      <c r="D647" s="156"/>
      <c r="E647" s="112"/>
      <c r="F647" s="113"/>
      <c r="G647" s="156"/>
      <c r="H647" s="157"/>
    </row>
    <row r="648" spans="1:8" x14ac:dyDescent="0.25">
      <c r="A648" s="155"/>
      <c r="B648" s="111"/>
      <c r="C648" s="111"/>
      <c r="D648" s="156"/>
      <c r="E648" s="112"/>
      <c r="F648" s="113"/>
      <c r="G648" s="156"/>
      <c r="H648" s="157"/>
    </row>
    <row r="649" spans="1:8" x14ac:dyDescent="0.25">
      <c r="A649" s="155"/>
      <c r="B649" s="111"/>
      <c r="C649" s="111"/>
      <c r="D649" s="156"/>
      <c r="E649" s="112"/>
      <c r="F649" s="113"/>
      <c r="G649" s="156"/>
      <c r="H649" s="157"/>
    </row>
    <row r="650" spans="1:8" x14ac:dyDescent="0.25">
      <c r="A650" s="155"/>
      <c r="B650" s="111"/>
      <c r="C650" s="111"/>
      <c r="D650" s="156"/>
      <c r="E650" s="112"/>
      <c r="F650" s="113"/>
      <c r="G650" s="156"/>
      <c r="H650" s="157"/>
    </row>
    <row r="651" spans="1:8" x14ac:dyDescent="0.25">
      <c r="A651" s="155"/>
      <c r="B651" s="111"/>
      <c r="C651" s="111"/>
      <c r="D651" s="156"/>
      <c r="E651" s="112"/>
      <c r="F651" s="113"/>
      <c r="G651" s="156"/>
      <c r="H651" s="157"/>
    </row>
    <row r="652" spans="1:8" x14ac:dyDescent="0.25">
      <c r="A652" s="155"/>
      <c r="B652" s="111"/>
      <c r="C652" s="111"/>
      <c r="D652" s="156"/>
      <c r="E652" s="112"/>
      <c r="F652" s="113"/>
      <c r="G652" s="156"/>
      <c r="H652" s="157"/>
    </row>
    <row r="653" spans="1:8" x14ac:dyDescent="0.25">
      <c r="A653" s="155"/>
      <c r="B653" s="111"/>
      <c r="C653" s="111"/>
      <c r="D653" s="156"/>
      <c r="E653" s="112"/>
      <c r="F653" s="113"/>
      <c r="G653" s="156"/>
      <c r="H653" s="157"/>
    </row>
    <row r="654" spans="1:8" x14ac:dyDescent="0.25">
      <c r="A654" s="155"/>
      <c r="B654" s="111"/>
      <c r="C654" s="111"/>
      <c r="D654" s="156"/>
      <c r="E654" s="112"/>
      <c r="F654" s="113"/>
      <c r="G654" s="156"/>
      <c r="H654" s="157"/>
    </row>
    <row r="655" spans="1:8" x14ac:dyDescent="0.25">
      <c r="A655" s="155"/>
      <c r="B655" s="111"/>
      <c r="C655" s="111"/>
      <c r="D655" s="156"/>
      <c r="E655" s="112"/>
      <c r="F655" s="113"/>
      <c r="G655" s="156"/>
      <c r="H655" s="157"/>
    </row>
    <row r="656" spans="1:8" x14ac:dyDescent="0.25">
      <c r="A656" s="155"/>
      <c r="B656" s="111"/>
      <c r="C656" s="111"/>
      <c r="D656" s="156"/>
      <c r="E656" s="112"/>
      <c r="F656" s="113"/>
      <c r="G656" s="156"/>
      <c r="H656" s="157"/>
    </row>
    <row r="657" spans="1:8" x14ac:dyDescent="0.25">
      <c r="A657" s="155"/>
      <c r="B657" s="111"/>
      <c r="C657" s="111"/>
      <c r="D657" s="156"/>
      <c r="E657" s="112"/>
      <c r="F657" s="113"/>
      <c r="G657" s="156"/>
      <c r="H657" s="157"/>
    </row>
    <row r="658" spans="1:8" x14ac:dyDescent="0.25">
      <c r="A658" s="155"/>
      <c r="B658" s="111"/>
      <c r="C658" s="111"/>
      <c r="D658" s="156"/>
      <c r="E658" s="112"/>
      <c r="F658" s="113"/>
      <c r="G658" s="156"/>
      <c r="H658" s="157"/>
    </row>
    <row r="659" spans="1:8" x14ac:dyDescent="0.25">
      <c r="A659" s="155"/>
      <c r="B659" s="111"/>
      <c r="C659" s="111"/>
      <c r="D659" s="156"/>
      <c r="E659" s="112"/>
      <c r="F659" s="113"/>
      <c r="G659" s="156"/>
      <c r="H659" s="157"/>
    </row>
    <row r="660" spans="1:8" x14ac:dyDescent="0.25">
      <c r="A660" s="155"/>
      <c r="B660" s="111"/>
      <c r="C660" s="111"/>
      <c r="D660" s="156"/>
      <c r="E660" s="112"/>
      <c r="F660" s="113"/>
      <c r="G660" s="156"/>
      <c r="H660" s="157"/>
    </row>
    <row r="661" spans="1:8" x14ac:dyDescent="0.25">
      <c r="A661" s="155"/>
      <c r="B661" s="111"/>
      <c r="C661" s="111"/>
      <c r="D661" s="156"/>
      <c r="E661" s="112"/>
      <c r="F661" s="113"/>
      <c r="G661" s="156"/>
      <c r="H661" s="157"/>
    </row>
    <row r="662" spans="1:8" x14ac:dyDescent="0.25">
      <c r="A662" s="155"/>
      <c r="B662" s="111"/>
      <c r="C662" s="111"/>
      <c r="D662" s="156"/>
      <c r="E662" s="112"/>
      <c r="F662" s="113"/>
      <c r="G662" s="156"/>
      <c r="H662" s="157"/>
    </row>
    <row r="663" spans="1:8" x14ac:dyDescent="0.25">
      <c r="A663" s="155"/>
      <c r="B663" s="111"/>
      <c r="C663" s="111"/>
      <c r="D663" s="156"/>
      <c r="E663" s="112"/>
      <c r="F663" s="113"/>
      <c r="G663" s="156"/>
      <c r="H663" s="157"/>
    </row>
    <row r="664" spans="1:8" x14ac:dyDescent="0.25">
      <c r="A664" s="155"/>
      <c r="B664" s="111"/>
      <c r="C664" s="111"/>
      <c r="D664" s="156"/>
      <c r="E664" s="112"/>
      <c r="F664" s="113"/>
      <c r="G664" s="156"/>
      <c r="H664" s="157"/>
    </row>
    <row r="665" spans="1:8" x14ac:dyDescent="0.25">
      <c r="A665" s="155"/>
      <c r="B665" s="111"/>
      <c r="C665" s="111"/>
      <c r="D665" s="156"/>
      <c r="E665" s="112"/>
      <c r="F665" s="113"/>
      <c r="G665" s="156"/>
      <c r="H665" s="157"/>
    </row>
    <row r="666" spans="1:8" x14ac:dyDescent="0.25">
      <c r="A666" s="155"/>
      <c r="B666" s="111"/>
      <c r="C666" s="111"/>
      <c r="D666" s="156"/>
      <c r="E666" s="112"/>
      <c r="F666" s="113"/>
      <c r="G666" s="156"/>
      <c r="H666" s="157"/>
    </row>
    <row r="667" spans="1:8" x14ac:dyDescent="0.25">
      <c r="A667" s="155"/>
      <c r="B667" s="111"/>
      <c r="C667" s="111"/>
      <c r="D667" s="156"/>
      <c r="E667" s="112"/>
      <c r="F667" s="113"/>
      <c r="G667" s="156"/>
      <c r="H667" s="157"/>
    </row>
    <row r="668" spans="1:8" x14ac:dyDescent="0.25">
      <c r="A668" s="155"/>
      <c r="B668" s="111"/>
      <c r="C668" s="111"/>
      <c r="D668" s="156"/>
      <c r="E668" s="112"/>
      <c r="F668" s="113"/>
      <c r="G668" s="156"/>
      <c r="H668" s="157"/>
    </row>
    <row r="669" spans="1:8" x14ac:dyDescent="0.25">
      <c r="A669" s="155"/>
      <c r="B669" s="111"/>
      <c r="C669" s="111"/>
      <c r="D669" s="156"/>
      <c r="E669" s="112"/>
      <c r="F669" s="113"/>
      <c r="G669" s="156"/>
      <c r="H669" s="157"/>
    </row>
    <row r="670" spans="1:8" x14ac:dyDescent="0.25">
      <c r="A670" s="155"/>
      <c r="B670" s="111"/>
      <c r="C670" s="111"/>
      <c r="D670" s="156"/>
      <c r="E670" s="112"/>
      <c r="F670" s="113"/>
      <c r="G670" s="156"/>
      <c r="H670" s="157"/>
    </row>
    <row r="671" spans="1:8" x14ac:dyDescent="0.25">
      <c r="A671" s="155"/>
      <c r="B671" s="111"/>
      <c r="C671" s="111"/>
      <c r="D671" s="156"/>
      <c r="E671" s="112"/>
      <c r="F671" s="113"/>
      <c r="G671" s="156"/>
      <c r="H671" s="157"/>
    </row>
    <row r="672" spans="1:8" x14ac:dyDescent="0.25">
      <c r="A672" s="155"/>
      <c r="B672" s="111"/>
      <c r="C672" s="111"/>
      <c r="D672" s="156"/>
      <c r="E672" s="112"/>
      <c r="F672" s="113"/>
      <c r="G672" s="156"/>
      <c r="H672" s="157"/>
    </row>
    <row r="673" spans="1:8" x14ac:dyDescent="0.25">
      <c r="A673" s="155"/>
      <c r="B673" s="111"/>
      <c r="C673" s="111"/>
      <c r="D673" s="156"/>
      <c r="E673" s="112"/>
      <c r="F673" s="113"/>
      <c r="G673" s="156"/>
      <c r="H673" s="157"/>
    </row>
    <row r="674" spans="1:8" x14ac:dyDescent="0.25">
      <c r="A674" s="155"/>
      <c r="B674" s="111"/>
      <c r="C674" s="111"/>
      <c r="D674" s="156"/>
      <c r="E674" s="112"/>
      <c r="F674" s="113"/>
      <c r="G674" s="156"/>
      <c r="H674" s="157"/>
    </row>
    <row r="675" spans="1:8" x14ac:dyDescent="0.25">
      <c r="A675" s="155"/>
      <c r="B675" s="111"/>
      <c r="C675" s="111"/>
      <c r="D675" s="156"/>
      <c r="E675" s="112"/>
      <c r="F675" s="113"/>
      <c r="G675" s="156"/>
      <c r="H675" s="157"/>
    </row>
    <row r="676" spans="1:8" x14ac:dyDescent="0.25">
      <c r="A676" s="155"/>
      <c r="B676" s="111"/>
      <c r="C676" s="111"/>
      <c r="D676" s="156"/>
      <c r="E676" s="112"/>
      <c r="F676" s="113"/>
      <c r="G676" s="156"/>
      <c r="H676" s="157"/>
    </row>
    <row r="677" spans="1:8" x14ac:dyDescent="0.25">
      <c r="A677" s="155"/>
      <c r="B677" s="111"/>
      <c r="C677" s="111"/>
      <c r="D677" s="156"/>
      <c r="E677" s="112"/>
      <c r="F677" s="113"/>
      <c r="G677" s="156"/>
      <c r="H677" s="157"/>
    </row>
    <row r="678" spans="1:8" x14ac:dyDescent="0.25">
      <c r="A678" s="155"/>
      <c r="B678" s="111"/>
      <c r="C678" s="111"/>
      <c r="D678" s="156"/>
      <c r="E678" s="112"/>
      <c r="F678" s="113"/>
      <c r="G678" s="156"/>
      <c r="H678" s="157"/>
    </row>
    <row r="679" spans="1:8" x14ac:dyDescent="0.25">
      <c r="A679" s="155"/>
      <c r="B679" s="111"/>
      <c r="C679" s="111"/>
      <c r="D679" s="156"/>
      <c r="E679" s="112"/>
      <c r="F679" s="113"/>
      <c r="G679" s="156"/>
      <c r="H679" s="157"/>
    </row>
    <row r="680" spans="1:8" x14ac:dyDescent="0.25">
      <c r="A680" s="155"/>
      <c r="B680" s="111"/>
      <c r="C680" s="111"/>
      <c r="D680" s="156"/>
      <c r="E680" s="112"/>
      <c r="F680" s="113"/>
      <c r="G680" s="156"/>
      <c r="H680" s="157"/>
    </row>
    <row r="681" spans="1:8" x14ac:dyDescent="0.25">
      <c r="A681" s="155"/>
      <c r="B681" s="111"/>
      <c r="C681" s="111"/>
      <c r="D681" s="156"/>
      <c r="E681" s="112"/>
      <c r="F681" s="113"/>
      <c r="G681" s="156"/>
      <c r="H681" s="157"/>
    </row>
    <row r="682" spans="1:8" x14ac:dyDescent="0.25">
      <c r="A682" s="155"/>
      <c r="B682" s="111"/>
      <c r="C682" s="111"/>
      <c r="D682" s="156"/>
      <c r="E682" s="112"/>
      <c r="F682" s="113"/>
      <c r="G682" s="156"/>
      <c r="H682" s="157"/>
    </row>
    <row r="683" spans="1:8" x14ac:dyDescent="0.25">
      <c r="A683" s="155"/>
      <c r="B683" s="111"/>
      <c r="C683" s="111"/>
      <c r="D683" s="156"/>
      <c r="E683" s="112"/>
      <c r="F683" s="113"/>
      <c r="G683" s="156"/>
      <c r="H683" s="157"/>
    </row>
    <row r="684" spans="1:8" x14ac:dyDescent="0.25">
      <c r="A684" s="155"/>
      <c r="B684" s="111"/>
      <c r="C684" s="111"/>
      <c r="D684" s="156"/>
      <c r="E684" s="112"/>
      <c r="F684" s="113"/>
      <c r="G684" s="156"/>
      <c r="H684" s="157"/>
    </row>
    <row r="685" spans="1:8" x14ac:dyDescent="0.25">
      <c r="A685" s="155"/>
      <c r="B685" s="111"/>
      <c r="C685" s="111"/>
      <c r="D685" s="156"/>
      <c r="E685" s="112"/>
      <c r="F685" s="113"/>
      <c r="G685" s="156"/>
      <c r="H685" s="157"/>
    </row>
    <row r="686" spans="1:8" x14ac:dyDescent="0.25">
      <c r="A686" s="155"/>
      <c r="B686" s="111"/>
      <c r="C686" s="111"/>
      <c r="D686" s="156"/>
      <c r="E686" s="112"/>
      <c r="F686" s="113"/>
      <c r="G686" s="156"/>
      <c r="H686" s="157"/>
    </row>
    <row r="687" spans="1:8" x14ac:dyDescent="0.25">
      <c r="A687" s="155"/>
      <c r="B687" s="111"/>
      <c r="C687" s="111"/>
      <c r="D687" s="156"/>
      <c r="E687" s="112"/>
      <c r="F687" s="113"/>
      <c r="G687" s="156"/>
      <c r="H687" s="157"/>
    </row>
    <row r="688" spans="1:8" x14ac:dyDescent="0.25">
      <c r="A688" s="155"/>
      <c r="B688" s="111"/>
      <c r="C688" s="111"/>
      <c r="D688" s="156"/>
      <c r="E688" s="112"/>
      <c r="F688" s="113"/>
      <c r="G688" s="156"/>
      <c r="H688" s="157"/>
    </row>
    <row r="689" spans="1:8" x14ac:dyDescent="0.25">
      <c r="A689" s="155"/>
      <c r="B689" s="111"/>
      <c r="C689" s="111"/>
      <c r="D689" s="156"/>
      <c r="E689" s="112"/>
      <c r="F689" s="113"/>
      <c r="G689" s="156"/>
      <c r="H689" s="157"/>
    </row>
    <row r="690" spans="1:8" x14ac:dyDescent="0.25">
      <c r="A690" s="155"/>
      <c r="B690" s="111"/>
      <c r="C690" s="111"/>
      <c r="D690" s="156"/>
      <c r="E690" s="112"/>
      <c r="F690" s="113"/>
      <c r="G690" s="156"/>
      <c r="H690" s="157"/>
    </row>
    <row r="691" spans="1:8" x14ac:dyDescent="0.25">
      <c r="A691" s="155"/>
      <c r="B691" s="111"/>
      <c r="C691" s="111"/>
      <c r="D691" s="156"/>
      <c r="E691" s="112"/>
      <c r="F691" s="113"/>
      <c r="G691" s="156"/>
      <c r="H691" s="157"/>
    </row>
    <row r="692" spans="1:8" x14ac:dyDescent="0.25">
      <c r="A692" s="155"/>
      <c r="B692" s="111"/>
      <c r="C692" s="111"/>
      <c r="D692" s="156"/>
      <c r="E692" s="112"/>
      <c r="F692" s="113"/>
      <c r="G692" s="156"/>
      <c r="H692" s="157"/>
    </row>
    <row r="693" spans="1:8" x14ac:dyDescent="0.25">
      <c r="A693" s="155"/>
      <c r="B693" s="111"/>
      <c r="C693" s="111"/>
      <c r="D693" s="156"/>
      <c r="E693" s="112"/>
      <c r="F693" s="113"/>
      <c r="G693" s="156"/>
      <c r="H693" s="157"/>
    </row>
    <row r="694" spans="1:8" x14ac:dyDescent="0.25">
      <c r="A694" s="155"/>
      <c r="B694" s="111"/>
      <c r="C694" s="111"/>
      <c r="D694" s="156"/>
      <c r="E694" s="112"/>
      <c r="F694" s="113"/>
      <c r="G694" s="156"/>
      <c r="H694" s="157"/>
    </row>
    <row r="695" spans="1:8" x14ac:dyDescent="0.25">
      <c r="A695" s="155"/>
      <c r="B695" s="111"/>
      <c r="C695" s="111"/>
      <c r="D695" s="156"/>
      <c r="E695" s="112"/>
      <c r="F695" s="113"/>
      <c r="G695" s="156"/>
      <c r="H695" s="157"/>
    </row>
    <row r="696" spans="1:8" x14ac:dyDescent="0.25">
      <c r="A696" s="155"/>
      <c r="B696" s="111"/>
      <c r="C696" s="111"/>
      <c r="D696" s="156"/>
      <c r="E696" s="112"/>
      <c r="F696" s="113"/>
      <c r="G696" s="156"/>
      <c r="H696" s="157"/>
    </row>
    <row r="697" spans="1:8" x14ac:dyDescent="0.25">
      <c r="A697" s="155"/>
      <c r="B697" s="111"/>
      <c r="C697" s="111"/>
      <c r="D697" s="156"/>
      <c r="E697" s="112"/>
      <c r="F697" s="113"/>
      <c r="G697" s="156"/>
      <c r="H697" s="157"/>
    </row>
    <row r="698" spans="1:8" x14ac:dyDescent="0.25">
      <c r="A698" s="155"/>
      <c r="B698" s="111"/>
      <c r="C698" s="111"/>
      <c r="D698" s="156"/>
      <c r="E698" s="112"/>
      <c r="F698" s="113"/>
      <c r="G698" s="156"/>
      <c r="H698" s="157"/>
    </row>
    <row r="699" spans="1:8" x14ac:dyDescent="0.25">
      <c r="A699" s="155"/>
      <c r="B699" s="111"/>
      <c r="C699" s="111"/>
      <c r="D699" s="156"/>
      <c r="E699" s="112"/>
      <c r="F699" s="113"/>
      <c r="G699" s="156"/>
      <c r="H699" s="157"/>
    </row>
    <row r="700" spans="1:8" x14ac:dyDescent="0.25">
      <c r="A700" s="155"/>
      <c r="B700" s="111"/>
      <c r="C700" s="111"/>
      <c r="D700" s="156"/>
      <c r="E700" s="112"/>
      <c r="F700" s="113"/>
      <c r="G700" s="156"/>
      <c r="H700" s="157"/>
    </row>
    <row r="701" spans="1:8" x14ac:dyDescent="0.25">
      <c r="A701" s="155"/>
      <c r="B701" s="111"/>
      <c r="C701" s="111"/>
      <c r="D701" s="156"/>
      <c r="E701" s="112"/>
      <c r="F701" s="113"/>
      <c r="G701" s="156"/>
      <c r="H701" s="157"/>
    </row>
    <row r="702" spans="1:8" x14ac:dyDescent="0.25">
      <c r="A702" s="155"/>
      <c r="B702" s="111"/>
      <c r="C702" s="111"/>
      <c r="D702" s="156"/>
      <c r="E702" s="112"/>
      <c r="F702" s="113"/>
      <c r="G702" s="156"/>
      <c r="H702" s="157"/>
    </row>
    <row r="703" spans="1:8" x14ac:dyDescent="0.25">
      <c r="A703" s="155"/>
      <c r="B703" s="111"/>
      <c r="C703" s="111"/>
      <c r="D703" s="156"/>
      <c r="E703" s="112"/>
      <c r="F703" s="113"/>
      <c r="G703" s="156"/>
      <c r="H703" s="157"/>
    </row>
    <row r="704" spans="1:8" x14ac:dyDescent="0.25">
      <c r="A704" s="155"/>
      <c r="B704" s="111"/>
      <c r="C704" s="111"/>
      <c r="D704" s="156"/>
      <c r="E704" s="112"/>
      <c r="F704" s="113"/>
      <c r="G704" s="156"/>
      <c r="H704" s="157"/>
    </row>
    <row r="705" spans="1:8" x14ac:dyDescent="0.25">
      <c r="A705" s="155"/>
      <c r="B705" s="111"/>
      <c r="C705" s="111"/>
      <c r="D705" s="156"/>
      <c r="E705" s="112"/>
      <c r="F705" s="113"/>
      <c r="G705" s="156"/>
      <c r="H705" s="157"/>
    </row>
    <row r="706" spans="1:8" x14ac:dyDescent="0.25">
      <c r="A706" s="155"/>
      <c r="B706" s="111"/>
      <c r="C706" s="111"/>
      <c r="D706" s="156"/>
      <c r="E706" s="112"/>
      <c r="F706" s="113"/>
      <c r="G706" s="156"/>
      <c r="H706" s="157"/>
    </row>
    <row r="707" spans="1:8" x14ac:dyDescent="0.25">
      <c r="A707" s="155"/>
      <c r="B707" s="111"/>
      <c r="C707" s="111"/>
      <c r="D707" s="156"/>
      <c r="E707" s="112"/>
      <c r="F707" s="113"/>
      <c r="G707" s="156"/>
      <c r="H707" s="157"/>
    </row>
    <row r="708" spans="1:8" x14ac:dyDescent="0.25">
      <c r="A708" s="155"/>
      <c r="B708" s="111"/>
      <c r="C708" s="111"/>
      <c r="D708" s="156"/>
      <c r="E708" s="112"/>
      <c r="F708" s="113"/>
      <c r="G708" s="156"/>
      <c r="H708" s="157"/>
    </row>
    <row r="709" spans="1:8" x14ac:dyDescent="0.25">
      <c r="A709" s="155"/>
      <c r="B709" s="111"/>
      <c r="C709" s="111"/>
      <c r="D709" s="156"/>
      <c r="E709" s="112"/>
      <c r="F709" s="113"/>
      <c r="G709" s="156"/>
      <c r="H709" s="157"/>
    </row>
    <row r="710" spans="1:8" x14ac:dyDescent="0.25">
      <c r="A710" s="155"/>
      <c r="B710" s="111"/>
      <c r="C710" s="111"/>
      <c r="D710" s="156"/>
      <c r="E710" s="112"/>
      <c r="F710" s="113"/>
      <c r="G710" s="156"/>
      <c r="H710" s="157"/>
    </row>
    <row r="711" spans="1:8" x14ac:dyDescent="0.25">
      <c r="A711" s="155"/>
      <c r="B711" s="111"/>
      <c r="C711" s="111"/>
      <c r="D711" s="156"/>
      <c r="E711" s="112"/>
      <c r="F711" s="113"/>
      <c r="G711" s="156"/>
      <c r="H711" s="157"/>
    </row>
    <row r="712" spans="1:8" x14ac:dyDescent="0.25">
      <c r="A712" s="155"/>
      <c r="B712" s="111"/>
      <c r="C712" s="111"/>
      <c r="D712" s="156"/>
      <c r="E712" s="112"/>
      <c r="F712" s="113"/>
      <c r="G712" s="156"/>
      <c r="H712" s="157"/>
    </row>
    <row r="713" spans="1:8" x14ac:dyDescent="0.25">
      <c r="A713" s="155"/>
      <c r="B713" s="111"/>
      <c r="C713" s="111"/>
      <c r="D713" s="156"/>
      <c r="E713" s="112"/>
      <c r="F713" s="113"/>
      <c r="G713" s="156"/>
      <c r="H713" s="157"/>
    </row>
    <row r="714" spans="1:8" x14ac:dyDescent="0.25">
      <c r="A714" s="155"/>
      <c r="B714" s="111"/>
      <c r="C714" s="111"/>
      <c r="D714" s="156"/>
      <c r="E714" s="112"/>
      <c r="F714" s="113"/>
      <c r="G714" s="156"/>
      <c r="H714" s="157"/>
    </row>
    <row r="715" spans="1:8" x14ac:dyDescent="0.25">
      <c r="A715" s="155"/>
      <c r="B715" s="111"/>
      <c r="C715" s="111"/>
      <c r="D715" s="156"/>
      <c r="E715" s="112"/>
      <c r="F715" s="113"/>
      <c r="G715" s="156"/>
      <c r="H715" s="157"/>
    </row>
    <row r="716" spans="1:8" x14ac:dyDescent="0.25">
      <c r="A716" s="155"/>
      <c r="B716" s="111"/>
      <c r="C716" s="111"/>
      <c r="D716" s="156"/>
      <c r="E716" s="112"/>
      <c r="F716" s="113"/>
      <c r="G716" s="156"/>
      <c r="H716" s="157"/>
    </row>
    <row r="717" spans="1:8" x14ac:dyDescent="0.25">
      <c r="A717" s="155"/>
      <c r="B717" s="111"/>
      <c r="C717" s="111"/>
      <c r="D717" s="156"/>
      <c r="E717" s="112"/>
      <c r="F717" s="113"/>
      <c r="G717" s="156"/>
      <c r="H717" s="157"/>
    </row>
    <row r="718" spans="1:8" x14ac:dyDescent="0.25">
      <c r="A718" s="155"/>
      <c r="B718" s="111"/>
      <c r="C718" s="111"/>
      <c r="D718" s="156"/>
      <c r="E718" s="112"/>
      <c r="F718" s="113"/>
      <c r="G718" s="156"/>
      <c r="H718" s="157"/>
    </row>
    <row r="719" spans="1:8" x14ac:dyDescent="0.25">
      <c r="A719" s="155"/>
      <c r="B719" s="111"/>
      <c r="C719" s="111"/>
      <c r="D719" s="156"/>
      <c r="E719" s="112"/>
      <c r="F719" s="113"/>
      <c r="G719" s="156"/>
      <c r="H719" s="157"/>
    </row>
    <row r="720" spans="1:8" x14ac:dyDescent="0.25">
      <c r="A720" s="155"/>
      <c r="B720" s="111"/>
      <c r="C720" s="111"/>
      <c r="D720" s="156"/>
      <c r="E720" s="112"/>
      <c r="F720" s="113"/>
      <c r="G720" s="156"/>
      <c r="H720" s="157"/>
    </row>
    <row r="721" spans="1:8" x14ac:dyDescent="0.25">
      <c r="A721" s="155"/>
      <c r="B721" s="111"/>
      <c r="C721" s="111"/>
      <c r="D721" s="156"/>
      <c r="E721" s="112"/>
      <c r="F721" s="113"/>
      <c r="G721" s="156"/>
      <c r="H721" s="157"/>
    </row>
    <row r="722" spans="1:8" x14ac:dyDescent="0.25">
      <c r="A722" s="155"/>
      <c r="B722" s="111"/>
      <c r="C722" s="111"/>
      <c r="D722" s="156"/>
      <c r="E722" s="112"/>
      <c r="F722" s="113"/>
      <c r="G722" s="156"/>
      <c r="H722" s="157"/>
    </row>
    <row r="723" spans="1:8" x14ac:dyDescent="0.25">
      <c r="A723" s="155"/>
      <c r="B723" s="111"/>
      <c r="C723" s="111"/>
      <c r="D723" s="156"/>
      <c r="E723" s="112"/>
      <c r="F723" s="113"/>
      <c r="G723" s="156"/>
      <c r="H723" s="157"/>
    </row>
    <row r="724" spans="1:8" x14ac:dyDescent="0.25">
      <c r="A724" s="155"/>
      <c r="B724" s="111"/>
      <c r="C724" s="111"/>
      <c r="D724" s="156"/>
      <c r="E724" s="112"/>
      <c r="F724" s="113"/>
      <c r="G724" s="156"/>
      <c r="H724" s="157"/>
    </row>
    <row r="725" spans="1:8" x14ac:dyDescent="0.25">
      <c r="A725" s="155"/>
      <c r="B725" s="111"/>
      <c r="C725" s="111"/>
      <c r="D725" s="156"/>
      <c r="E725" s="112"/>
      <c r="F725" s="113"/>
      <c r="G725" s="156"/>
      <c r="H725" s="157"/>
    </row>
    <row r="726" spans="1:8" x14ac:dyDescent="0.25">
      <c r="A726" s="155"/>
      <c r="B726" s="111"/>
      <c r="C726" s="111"/>
      <c r="D726" s="156"/>
      <c r="E726" s="112"/>
      <c r="F726" s="113"/>
      <c r="G726" s="156"/>
      <c r="H726" s="157"/>
    </row>
    <row r="727" spans="1:8" x14ac:dyDescent="0.25">
      <c r="A727" s="155"/>
      <c r="B727" s="111"/>
      <c r="C727" s="111"/>
      <c r="D727" s="156"/>
      <c r="E727" s="112"/>
      <c r="F727" s="113"/>
      <c r="G727" s="156"/>
      <c r="H727" s="157"/>
    </row>
    <row r="728" spans="1:8" x14ac:dyDescent="0.25">
      <c r="A728" s="155"/>
      <c r="B728" s="111"/>
      <c r="C728" s="111"/>
      <c r="D728" s="156"/>
      <c r="E728" s="112"/>
      <c r="F728" s="113"/>
      <c r="G728" s="156"/>
      <c r="H728" s="157"/>
    </row>
    <row r="729" spans="1:8" x14ac:dyDescent="0.25">
      <c r="A729" s="155"/>
      <c r="B729" s="111"/>
      <c r="C729" s="111"/>
      <c r="D729" s="156"/>
      <c r="E729" s="112"/>
      <c r="F729" s="113"/>
      <c r="G729" s="156"/>
      <c r="H729" s="157"/>
    </row>
    <row r="730" spans="1:8" x14ac:dyDescent="0.25">
      <c r="A730" s="155"/>
      <c r="B730" s="111"/>
      <c r="C730" s="111"/>
      <c r="D730" s="156"/>
      <c r="E730" s="112"/>
      <c r="F730" s="113"/>
      <c r="G730" s="156"/>
      <c r="H730" s="157"/>
    </row>
    <row r="731" spans="1:8" x14ac:dyDescent="0.25">
      <c r="A731" s="155"/>
      <c r="B731" s="111"/>
      <c r="C731" s="111"/>
      <c r="D731" s="156"/>
      <c r="E731" s="112"/>
      <c r="F731" s="113"/>
      <c r="G731" s="156"/>
      <c r="H731" s="157"/>
    </row>
    <row r="732" spans="1:8" x14ac:dyDescent="0.25">
      <c r="A732" s="155"/>
      <c r="B732" s="111"/>
      <c r="C732" s="111"/>
      <c r="D732" s="156"/>
      <c r="E732" s="112"/>
      <c r="F732" s="113"/>
      <c r="G732" s="156"/>
      <c r="H732" s="157"/>
    </row>
    <row r="733" spans="1:8" x14ac:dyDescent="0.25">
      <c r="A733" s="155"/>
      <c r="B733" s="111"/>
      <c r="C733" s="111"/>
      <c r="D733" s="156"/>
      <c r="E733" s="112"/>
      <c r="F733" s="113"/>
      <c r="G733" s="156"/>
      <c r="H733" s="157"/>
    </row>
    <row r="734" spans="1:8" x14ac:dyDescent="0.25">
      <c r="A734" s="155"/>
      <c r="B734" s="111"/>
      <c r="C734" s="111"/>
      <c r="D734" s="156"/>
      <c r="E734" s="112"/>
      <c r="F734" s="113"/>
      <c r="G734" s="156"/>
      <c r="H734" s="157"/>
    </row>
    <row r="735" spans="1:8" x14ac:dyDescent="0.25">
      <c r="A735" s="155"/>
      <c r="B735" s="111"/>
      <c r="C735" s="111"/>
      <c r="D735" s="156"/>
      <c r="E735" s="112"/>
      <c r="F735" s="113"/>
      <c r="G735" s="156"/>
      <c r="H735" s="157"/>
    </row>
    <row r="736" spans="1:8" x14ac:dyDescent="0.25">
      <c r="A736" s="155"/>
      <c r="B736" s="111"/>
      <c r="C736" s="111"/>
      <c r="D736" s="156"/>
      <c r="E736" s="112"/>
      <c r="F736" s="113"/>
      <c r="G736" s="156"/>
      <c r="H736" s="157"/>
    </row>
    <row r="737" spans="1:8" x14ac:dyDescent="0.25">
      <c r="A737" s="155"/>
      <c r="B737" s="111"/>
      <c r="C737" s="111"/>
      <c r="D737" s="156"/>
      <c r="E737" s="112"/>
      <c r="F737" s="113"/>
      <c r="G737" s="156"/>
      <c r="H737" s="157"/>
    </row>
    <row r="738" spans="1:8" x14ac:dyDescent="0.25">
      <c r="A738" s="155"/>
      <c r="B738" s="111"/>
      <c r="C738" s="111"/>
      <c r="D738" s="156"/>
      <c r="E738" s="112"/>
      <c r="F738" s="113"/>
      <c r="G738" s="156"/>
      <c r="H738" s="157"/>
    </row>
    <row r="739" spans="1:8" x14ac:dyDescent="0.25">
      <c r="A739" s="155"/>
      <c r="B739" s="111"/>
      <c r="C739" s="111"/>
      <c r="D739" s="156"/>
      <c r="E739" s="112"/>
      <c r="F739" s="113"/>
      <c r="G739" s="156"/>
      <c r="H739" s="157"/>
    </row>
    <row r="740" spans="1:8" x14ac:dyDescent="0.25">
      <c r="A740" s="155"/>
      <c r="B740" s="111"/>
      <c r="C740" s="111"/>
      <c r="D740" s="156"/>
      <c r="E740" s="112"/>
      <c r="F740" s="113"/>
      <c r="G740" s="156"/>
      <c r="H740" s="157"/>
    </row>
    <row r="741" spans="1:8" x14ac:dyDescent="0.25">
      <c r="A741" s="155"/>
      <c r="B741" s="111"/>
      <c r="C741" s="111"/>
      <c r="D741" s="156"/>
      <c r="E741" s="112"/>
      <c r="F741" s="113"/>
      <c r="G741" s="156"/>
      <c r="H741" s="157"/>
    </row>
    <row r="742" spans="1:8" x14ac:dyDescent="0.25">
      <c r="A742" s="155"/>
      <c r="B742" s="111"/>
      <c r="C742" s="111"/>
      <c r="D742" s="156"/>
      <c r="E742" s="112"/>
      <c r="F742" s="113"/>
      <c r="G742" s="156"/>
      <c r="H742" s="157"/>
    </row>
    <row r="743" spans="1:8" x14ac:dyDescent="0.25">
      <c r="A743" s="155"/>
      <c r="B743" s="111"/>
      <c r="C743" s="111"/>
      <c r="D743" s="156"/>
      <c r="E743" s="112"/>
      <c r="F743" s="113"/>
      <c r="G743" s="156"/>
      <c r="H743" s="157"/>
    </row>
    <row r="744" spans="1:8" x14ac:dyDescent="0.25">
      <c r="A744" s="155"/>
      <c r="B744" s="111"/>
      <c r="C744" s="111"/>
      <c r="D744" s="156"/>
      <c r="E744" s="112"/>
      <c r="F744" s="113"/>
      <c r="G744" s="156"/>
      <c r="H744" s="157"/>
    </row>
    <row r="745" spans="1:8" x14ac:dyDescent="0.25">
      <c r="A745" s="155"/>
      <c r="B745" s="111"/>
      <c r="C745" s="111"/>
      <c r="D745" s="156"/>
      <c r="E745" s="112"/>
      <c r="F745" s="113"/>
      <c r="G745" s="156"/>
      <c r="H745" s="157"/>
    </row>
    <row r="746" spans="1:8" x14ac:dyDescent="0.25">
      <c r="A746" s="155"/>
      <c r="B746" s="111"/>
      <c r="C746" s="111"/>
      <c r="D746" s="156"/>
      <c r="E746" s="112"/>
      <c r="F746" s="113"/>
      <c r="G746" s="156"/>
      <c r="H746" s="157"/>
    </row>
    <row r="747" spans="1:8" x14ac:dyDescent="0.25">
      <c r="A747" s="155"/>
      <c r="B747" s="111"/>
      <c r="C747" s="111"/>
      <c r="D747" s="156"/>
      <c r="E747" s="112"/>
      <c r="F747" s="113"/>
      <c r="G747" s="156"/>
      <c r="H747" s="157"/>
    </row>
    <row r="748" spans="1:8" x14ac:dyDescent="0.25">
      <c r="A748" s="155"/>
      <c r="B748" s="111"/>
      <c r="C748" s="111"/>
      <c r="D748" s="156"/>
      <c r="E748" s="112"/>
      <c r="F748" s="113"/>
      <c r="G748" s="156"/>
      <c r="H748" s="157"/>
    </row>
    <row r="749" spans="1:8" x14ac:dyDescent="0.25">
      <c r="A749" s="155"/>
      <c r="B749" s="111"/>
      <c r="C749" s="111"/>
      <c r="D749" s="156"/>
      <c r="E749" s="112"/>
      <c r="F749" s="113"/>
      <c r="G749" s="156"/>
      <c r="H749" s="157"/>
    </row>
    <row r="750" spans="1:8" x14ac:dyDescent="0.25">
      <c r="A750" s="155"/>
      <c r="B750" s="111"/>
      <c r="C750" s="111"/>
      <c r="D750" s="156"/>
      <c r="E750" s="112"/>
      <c r="F750" s="113"/>
      <c r="G750" s="156"/>
      <c r="H750" s="157"/>
    </row>
    <row r="751" spans="1:8" x14ac:dyDescent="0.25">
      <c r="A751" s="155"/>
      <c r="B751" s="111"/>
      <c r="C751" s="111"/>
      <c r="D751" s="156"/>
      <c r="E751" s="112"/>
      <c r="F751" s="113"/>
      <c r="G751" s="156"/>
      <c r="H751" s="157"/>
    </row>
    <row r="752" spans="1:8" x14ac:dyDescent="0.25">
      <c r="A752" s="155"/>
      <c r="B752" s="111"/>
      <c r="C752" s="111"/>
      <c r="D752" s="156"/>
      <c r="E752" s="112"/>
      <c r="F752" s="113"/>
      <c r="G752" s="156"/>
      <c r="H752" s="157"/>
    </row>
    <row r="753" spans="1:8" x14ac:dyDescent="0.25">
      <c r="A753" s="155"/>
      <c r="B753" s="111"/>
      <c r="C753" s="111"/>
      <c r="D753" s="156"/>
      <c r="E753" s="112"/>
      <c r="F753" s="113"/>
      <c r="G753" s="156"/>
      <c r="H753" s="157"/>
    </row>
    <row r="754" spans="1:8" x14ac:dyDescent="0.25">
      <c r="A754" s="155"/>
      <c r="B754" s="111"/>
      <c r="C754" s="111"/>
      <c r="D754" s="156"/>
      <c r="E754" s="112"/>
      <c r="F754" s="113"/>
      <c r="G754" s="156"/>
      <c r="H754" s="157"/>
    </row>
    <row r="755" spans="1:8" x14ac:dyDescent="0.25">
      <c r="A755" s="155"/>
      <c r="B755" s="111"/>
      <c r="C755" s="111"/>
      <c r="D755" s="156"/>
      <c r="E755" s="112"/>
      <c r="F755" s="113"/>
      <c r="G755" s="156"/>
      <c r="H755" s="157"/>
    </row>
    <row r="756" spans="1:8" x14ac:dyDescent="0.25">
      <c r="A756" s="155"/>
      <c r="B756" s="111"/>
      <c r="C756" s="111"/>
      <c r="D756" s="156"/>
      <c r="E756" s="112"/>
      <c r="F756" s="113"/>
      <c r="G756" s="156"/>
      <c r="H756" s="157"/>
    </row>
    <row r="757" spans="1:8" x14ac:dyDescent="0.25">
      <c r="A757" s="155"/>
      <c r="B757" s="111"/>
      <c r="C757" s="111"/>
      <c r="D757" s="156"/>
      <c r="E757" s="112"/>
      <c r="F757" s="113"/>
      <c r="G757" s="156"/>
      <c r="H757" s="157"/>
    </row>
    <row r="758" spans="1:8" x14ac:dyDescent="0.25">
      <c r="A758" s="155"/>
      <c r="B758" s="111"/>
      <c r="C758" s="111"/>
      <c r="D758" s="156"/>
      <c r="E758" s="112"/>
      <c r="F758" s="113"/>
      <c r="G758" s="156"/>
      <c r="H758" s="157"/>
    </row>
    <row r="759" spans="1:8" x14ac:dyDescent="0.25">
      <c r="A759" s="155"/>
      <c r="B759" s="111"/>
      <c r="C759" s="111"/>
      <c r="D759" s="156"/>
      <c r="E759" s="112"/>
      <c r="F759" s="113"/>
      <c r="G759" s="156"/>
      <c r="H759" s="157"/>
    </row>
    <row r="760" spans="1:8" x14ac:dyDescent="0.25">
      <c r="A760" s="155"/>
      <c r="B760" s="111"/>
      <c r="C760" s="111"/>
      <c r="D760" s="156"/>
      <c r="E760" s="112"/>
      <c r="F760" s="113"/>
      <c r="G760" s="156"/>
      <c r="H760" s="157"/>
    </row>
    <row r="761" spans="1:8" x14ac:dyDescent="0.25">
      <c r="A761" s="155"/>
      <c r="B761" s="111"/>
      <c r="C761" s="111"/>
      <c r="D761" s="156"/>
      <c r="E761" s="112"/>
      <c r="F761" s="113"/>
      <c r="G761" s="156"/>
      <c r="H761" s="157"/>
    </row>
    <row r="762" spans="1:8" x14ac:dyDescent="0.25">
      <c r="A762" s="155"/>
      <c r="B762" s="111"/>
      <c r="C762" s="111"/>
      <c r="D762" s="156"/>
      <c r="E762" s="112"/>
      <c r="F762" s="113"/>
      <c r="G762" s="156"/>
      <c r="H762" s="157"/>
    </row>
    <row r="763" spans="1:8" x14ac:dyDescent="0.25">
      <c r="A763" s="155"/>
      <c r="B763" s="111"/>
      <c r="C763" s="111"/>
      <c r="D763" s="156"/>
      <c r="E763" s="112"/>
      <c r="F763" s="113"/>
      <c r="G763" s="156"/>
      <c r="H763" s="157"/>
    </row>
    <row r="764" spans="1:8" x14ac:dyDescent="0.25">
      <c r="A764" s="155"/>
      <c r="B764" s="111"/>
      <c r="C764" s="111"/>
      <c r="D764" s="156"/>
      <c r="E764" s="112"/>
      <c r="F764" s="113"/>
      <c r="G764" s="156"/>
      <c r="H764" s="157"/>
    </row>
    <row r="765" spans="1:8" x14ac:dyDescent="0.25">
      <c r="A765" s="155"/>
      <c r="B765" s="111"/>
      <c r="C765" s="111"/>
      <c r="D765" s="156"/>
      <c r="E765" s="112"/>
      <c r="F765" s="113"/>
      <c r="G765" s="156"/>
      <c r="H765" s="157"/>
    </row>
    <row r="766" spans="1:8" x14ac:dyDescent="0.25">
      <c r="A766" s="155"/>
      <c r="B766" s="111"/>
      <c r="C766" s="111"/>
      <c r="D766" s="156"/>
      <c r="E766" s="112"/>
      <c r="F766" s="113"/>
      <c r="G766" s="156"/>
      <c r="H766" s="157"/>
    </row>
    <row r="767" spans="1:8" x14ac:dyDescent="0.25">
      <c r="A767" s="155"/>
      <c r="B767" s="111"/>
      <c r="C767" s="111"/>
      <c r="D767" s="156"/>
      <c r="E767" s="112"/>
      <c r="F767" s="113"/>
      <c r="G767" s="156"/>
      <c r="H767" s="157"/>
    </row>
    <row r="768" spans="1:8" x14ac:dyDescent="0.25">
      <c r="A768" s="155"/>
      <c r="B768" s="111"/>
      <c r="C768" s="111"/>
      <c r="D768" s="156"/>
      <c r="E768" s="112"/>
      <c r="F768" s="113"/>
      <c r="G768" s="156"/>
      <c r="H768" s="157"/>
    </row>
    <row r="769" spans="1:8" x14ac:dyDescent="0.25">
      <c r="A769" s="155"/>
      <c r="B769" s="111"/>
      <c r="C769" s="111"/>
      <c r="D769" s="156"/>
      <c r="E769" s="112"/>
      <c r="F769" s="113"/>
      <c r="G769" s="156"/>
      <c r="H769" s="157"/>
    </row>
    <row r="770" spans="1:8" x14ac:dyDescent="0.25">
      <c r="A770" s="155"/>
      <c r="B770" s="111"/>
      <c r="C770" s="111"/>
      <c r="D770" s="156"/>
      <c r="E770" s="112"/>
      <c r="F770" s="113"/>
      <c r="G770" s="156"/>
      <c r="H770" s="157"/>
    </row>
    <row r="771" spans="1:8" x14ac:dyDescent="0.25">
      <c r="A771" s="155"/>
      <c r="B771" s="111"/>
      <c r="C771" s="111"/>
      <c r="D771" s="156"/>
      <c r="E771" s="112"/>
      <c r="F771" s="113"/>
      <c r="G771" s="156"/>
      <c r="H771" s="157"/>
    </row>
    <row r="772" spans="1:8" x14ac:dyDescent="0.25">
      <c r="A772" s="155"/>
      <c r="B772" s="111"/>
      <c r="C772" s="111"/>
      <c r="D772" s="156"/>
      <c r="E772" s="112"/>
      <c r="F772" s="113"/>
      <c r="G772" s="156"/>
      <c r="H772" s="157"/>
    </row>
    <row r="773" spans="1:8" x14ac:dyDescent="0.25">
      <c r="A773" s="155"/>
      <c r="B773" s="111"/>
      <c r="C773" s="111"/>
      <c r="D773" s="156"/>
      <c r="E773" s="112"/>
      <c r="F773" s="113"/>
      <c r="G773" s="156"/>
      <c r="H773" s="157"/>
    </row>
    <row r="774" spans="1:8" x14ac:dyDescent="0.25">
      <c r="A774" s="155"/>
      <c r="B774" s="111"/>
      <c r="C774" s="111"/>
      <c r="D774" s="156"/>
      <c r="E774" s="112"/>
      <c r="F774" s="113"/>
      <c r="G774" s="156"/>
      <c r="H774" s="157"/>
    </row>
    <row r="775" spans="1:8" x14ac:dyDescent="0.25">
      <c r="A775" s="155"/>
      <c r="B775" s="111"/>
      <c r="C775" s="111"/>
      <c r="D775" s="156"/>
      <c r="E775" s="112"/>
      <c r="F775" s="113"/>
      <c r="G775" s="156"/>
      <c r="H775" s="157"/>
    </row>
    <row r="776" spans="1:8" x14ac:dyDescent="0.25">
      <c r="A776" s="155"/>
      <c r="B776" s="111"/>
      <c r="C776" s="111"/>
      <c r="D776" s="156"/>
      <c r="E776" s="112"/>
      <c r="F776" s="113"/>
      <c r="G776" s="156"/>
      <c r="H776" s="157"/>
    </row>
    <row r="777" spans="1:8" x14ac:dyDescent="0.25">
      <c r="A777" s="155"/>
      <c r="B777" s="111"/>
      <c r="C777" s="111"/>
      <c r="D777" s="156"/>
      <c r="E777" s="112"/>
      <c r="F777" s="113"/>
      <c r="G777" s="156"/>
      <c r="H777" s="157"/>
    </row>
    <row r="778" spans="1:8" x14ac:dyDescent="0.25">
      <c r="A778" s="155"/>
      <c r="B778" s="111"/>
      <c r="C778" s="111"/>
      <c r="D778" s="156"/>
      <c r="E778" s="112"/>
      <c r="F778" s="113"/>
      <c r="G778" s="156"/>
      <c r="H778" s="157"/>
    </row>
    <row r="779" spans="1:8" x14ac:dyDescent="0.25">
      <c r="A779" s="155"/>
      <c r="B779" s="111"/>
      <c r="C779" s="111"/>
      <c r="D779" s="156"/>
      <c r="E779" s="112"/>
      <c r="F779" s="113"/>
      <c r="G779" s="156"/>
      <c r="H779" s="157"/>
    </row>
    <row r="780" spans="1:8" x14ac:dyDescent="0.25">
      <c r="A780" s="155"/>
      <c r="B780" s="111"/>
      <c r="C780" s="111"/>
      <c r="D780" s="156"/>
      <c r="E780" s="112"/>
      <c r="F780" s="113"/>
      <c r="G780" s="156"/>
      <c r="H780" s="157"/>
    </row>
    <row r="781" spans="1:8" x14ac:dyDescent="0.25">
      <c r="A781" s="155"/>
      <c r="B781" s="111"/>
      <c r="C781" s="111"/>
      <c r="D781" s="156"/>
      <c r="E781" s="112"/>
      <c r="F781" s="113"/>
      <c r="G781" s="156"/>
      <c r="H781" s="157"/>
    </row>
    <row r="782" spans="1:8" x14ac:dyDescent="0.25">
      <c r="A782" s="155"/>
      <c r="B782" s="111"/>
      <c r="C782" s="111"/>
      <c r="D782" s="156"/>
      <c r="E782" s="112"/>
      <c r="F782" s="113"/>
      <c r="G782" s="156"/>
      <c r="H782" s="157"/>
    </row>
    <row r="783" spans="1:8" x14ac:dyDescent="0.25">
      <c r="A783" s="155"/>
      <c r="B783" s="111"/>
      <c r="C783" s="111"/>
      <c r="D783" s="156"/>
      <c r="E783" s="112"/>
      <c r="F783" s="113"/>
      <c r="G783" s="156"/>
      <c r="H783" s="157"/>
    </row>
    <row r="784" spans="1:8" x14ac:dyDescent="0.25">
      <c r="A784" s="155"/>
      <c r="B784" s="111"/>
      <c r="C784" s="111"/>
      <c r="D784" s="156"/>
      <c r="E784" s="112"/>
      <c r="F784" s="113"/>
      <c r="G784" s="156"/>
      <c r="H784" s="157"/>
    </row>
    <row r="785" spans="1:8" x14ac:dyDescent="0.25">
      <c r="A785" s="155"/>
      <c r="B785" s="111"/>
      <c r="C785" s="111"/>
      <c r="D785" s="156"/>
      <c r="E785" s="112"/>
      <c r="F785" s="113"/>
      <c r="G785" s="156"/>
      <c r="H785" s="157"/>
    </row>
    <row r="786" spans="1:8" x14ac:dyDescent="0.25">
      <c r="A786" s="155"/>
      <c r="B786" s="111"/>
      <c r="C786" s="111"/>
      <c r="D786" s="156"/>
      <c r="E786" s="112"/>
      <c r="F786" s="113"/>
      <c r="G786" s="156"/>
      <c r="H786" s="157"/>
    </row>
    <row r="787" spans="1:8" x14ac:dyDescent="0.25">
      <c r="A787" s="155"/>
      <c r="B787" s="111"/>
      <c r="C787" s="111"/>
      <c r="D787" s="156"/>
      <c r="E787" s="112"/>
      <c r="F787" s="113"/>
      <c r="G787" s="156"/>
      <c r="H787" s="157"/>
    </row>
    <row r="788" spans="1:8" x14ac:dyDescent="0.25">
      <c r="A788" s="155"/>
      <c r="B788" s="111"/>
      <c r="C788" s="111"/>
      <c r="D788" s="156"/>
      <c r="E788" s="112"/>
      <c r="F788" s="113"/>
      <c r="G788" s="156"/>
      <c r="H788" s="157"/>
    </row>
    <row r="789" spans="1:8" x14ac:dyDescent="0.25">
      <c r="A789" s="155"/>
      <c r="B789" s="111"/>
      <c r="C789" s="111"/>
      <c r="D789" s="156"/>
      <c r="E789" s="112"/>
      <c r="F789" s="113"/>
      <c r="G789" s="156"/>
      <c r="H789" s="157"/>
    </row>
    <row r="790" spans="1:8" x14ac:dyDescent="0.25">
      <c r="A790" s="155"/>
      <c r="B790" s="111"/>
      <c r="C790" s="111"/>
      <c r="D790" s="156"/>
      <c r="E790" s="112"/>
      <c r="F790" s="113"/>
      <c r="G790" s="156"/>
      <c r="H790" s="157"/>
    </row>
  </sheetData>
  <mergeCells count="2">
    <mergeCell ref="A1:F1"/>
    <mergeCell ref="A2:F2"/>
  </mergeCells>
  <conditionalFormatting sqref="A493">
    <cfRule type="cellIs" dxfId="8" priority="199" operator="equal">
      <formula>"x"</formula>
    </cfRule>
  </conditionalFormatting>
  <conditionalFormatting sqref="D145:D150 D67:D105">
    <cfRule type="cellIs" dxfId="7" priority="198" operator="notEqual">
      <formula>#REF!</formula>
    </cfRule>
  </conditionalFormatting>
  <conditionalFormatting sqref="A493">
    <cfRule type="iconSet" priority="196">
      <iconSet iconSet="3Flags" showValue="0">
        <cfvo type="percent" val="0"/>
        <cfvo type="num" val="0"/>
        <cfvo type="num" val="1"/>
      </iconSet>
    </cfRule>
  </conditionalFormatting>
  <conditionalFormatting sqref="D159:D174">
    <cfRule type="cellIs" dxfId="6" priority="195" operator="notEqual">
      <formula>#REF!</formula>
    </cfRule>
  </conditionalFormatting>
  <conditionalFormatting sqref="H322 H342:H346">
    <cfRule type="cellIs" dxfId="5" priority="193" operator="notEqual">
      <formula>A322</formula>
    </cfRule>
  </conditionalFormatting>
  <conditionalFormatting sqref="D151:D155">
    <cfRule type="cellIs" dxfId="4" priority="169" operator="notEqual">
      <formula>#REF!</formula>
    </cfRule>
  </conditionalFormatting>
  <pageMargins left="0.7" right="0.7" top="0.78740157499999996" bottom="0.78740157499999996" header="0.3" footer="0.3"/>
  <pageSetup paperSize="9" scale="5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63"/>
  <sheetViews>
    <sheetView tabSelected="1" zoomScaleNormal="100" workbookViewId="0">
      <selection activeCell="A4" sqref="A4"/>
    </sheetView>
  </sheetViews>
  <sheetFormatPr defaultColWidth="9.140625" defaultRowHeight="15.75" x14ac:dyDescent="0.25"/>
  <cols>
    <col min="1" max="1" width="11.28515625" style="104" customWidth="1"/>
    <col min="2" max="2" width="79" style="42" customWidth="1"/>
    <col min="3" max="3" width="17.5703125" style="42" customWidth="1"/>
    <col min="4" max="4" width="16.7109375" style="45" bestFit="1" customWidth="1"/>
    <col min="5" max="5" width="12.140625" style="105" customWidth="1"/>
    <col min="6" max="6" width="11.7109375" style="105" customWidth="1"/>
    <col min="7" max="7" width="22" style="106" customWidth="1"/>
    <col min="8" max="8" width="24.5703125" style="42" customWidth="1"/>
    <col min="9" max="16384" width="9.140625" style="42"/>
  </cols>
  <sheetData>
    <row r="1" spans="1:8" s="2" customFormat="1" ht="22.5" x14ac:dyDescent="0.3">
      <c r="A1" s="174" t="s">
        <v>0</v>
      </c>
      <c r="B1" s="174"/>
      <c r="C1" s="174"/>
      <c r="D1" s="174"/>
      <c r="E1" s="174"/>
      <c r="F1" s="174"/>
      <c r="G1" s="1"/>
    </row>
    <row r="2" spans="1:8" s="2" customFormat="1" ht="22.5" x14ac:dyDescent="0.3">
      <c r="A2" s="174" t="s">
        <v>308</v>
      </c>
      <c r="B2" s="174"/>
      <c r="C2" s="174"/>
      <c r="D2" s="174"/>
      <c r="E2" s="174"/>
      <c r="F2" s="174"/>
      <c r="G2" s="1"/>
    </row>
    <row r="3" spans="1:8" s="2" customFormat="1" ht="11.25" customHeight="1" x14ac:dyDescent="0.3">
      <c r="A3" s="154"/>
      <c r="B3" s="120"/>
      <c r="C3" s="148"/>
      <c r="D3" s="121"/>
      <c r="E3" s="154"/>
      <c r="F3" s="154"/>
      <c r="G3" s="1"/>
    </row>
    <row r="4" spans="1:8" s="2" customFormat="1" ht="19.5" customHeight="1" thickBot="1" x14ac:dyDescent="0.35">
      <c r="A4" s="154"/>
      <c r="B4" s="154"/>
      <c r="C4" s="154"/>
      <c r="D4" s="121"/>
      <c r="E4" s="154"/>
      <c r="F4" s="1"/>
      <c r="G4" s="1"/>
    </row>
    <row r="5" spans="1:8" s="2" customFormat="1" x14ac:dyDescent="0.25">
      <c r="A5" s="3"/>
      <c r="B5" s="4"/>
      <c r="C5" s="4"/>
      <c r="D5" s="117"/>
      <c r="E5" s="6"/>
      <c r="F5" s="6"/>
      <c r="G5" s="7"/>
    </row>
    <row r="6" spans="1:8" s="2" customFormat="1" ht="16.5" thickBot="1" x14ac:dyDescent="0.3">
      <c r="A6" s="8" t="s">
        <v>1</v>
      </c>
      <c r="B6" s="9" t="s">
        <v>2</v>
      </c>
      <c r="C6" s="9" t="s">
        <v>3</v>
      </c>
      <c r="D6" s="118" t="s">
        <v>4</v>
      </c>
      <c r="E6" s="11" t="s">
        <v>5</v>
      </c>
      <c r="F6" s="11" t="s">
        <v>6</v>
      </c>
      <c r="G6" s="1"/>
    </row>
    <row r="7" spans="1:8" s="18" customFormat="1" x14ac:dyDescent="0.25">
      <c r="A7" s="12"/>
      <c r="B7" s="13" t="s">
        <v>7</v>
      </c>
      <c r="C7" s="14">
        <f>+SUM(C8:C9)</f>
        <v>20774.5</v>
      </c>
      <c r="D7" s="15">
        <f>+SUM(D8:D9)</f>
        <v>20774500</v>
      </c>
      <c r="E7" s="17"/>
      <c r="F7" s="17"/>
      <c r="G7" s="2"/>
      <c r="H7" s="2"/>
    </row>
    <row r="8" spans="1:8" s="2" customFormat="1" x14ac:dyDescent="0.25">
      <c r="A8" s="12">
        <v>41772</v>
      </c>
      <c r="B8" s="19" t="s">
        <v>350</v>
      </c>
      <c r="C8" s="20">
        <v>9926.5</v>
      </c>
      <c r="D8" s="21">
        <v>9926500</v>
      </c>
      <c r="E8" s="22">
        <v>98348</v>
      </c>
      <c r="F8" s="22">
        <v>4111</v>
      </c>
    </row>
    <row r="9" spans="1:8" s="2" customFormat="1" x14ac:dyDescent="0.25">
      <c r="A9" s="12">
        <v>41913</v>
      </c>
      <c r="B9" s="19" t="s">
        <v>221</v>
      </c>
      <c r="C9" s="20">
        <v>10848</v>
      </c>
      <c r="D9" s="21">
        <v>10848000</v>
      </c>
      <c r="E9" s="22">
        <v>98187</v>
      </c>
      <c r="F9" s="22">
        <v>4111</v>
      </c>
    </row>
    <row r="10" spans="1:8" s="2" customFormat="1" x14ac:dyDescent="0.25">
      <c r="A10" s="12"/>
      <c r="B10" s="24"/>
      <c r="C10" s="20"/>
      <c r="D10" s="21"/>
      <c r="E10" s="22"/>
      <c r="F10" s="22"/>
    </row>
    <row r="11" spans="1:8" s="2" customFormat="1" x14ac:dyDescent="0.25">
      <c r="A11" s="25"/>
      <c r="B11" s="13" t="s">
        <v>8</v>
      </c>
      <c r="C11" s="26">
        <f>+SUM(C12:C17)</f>
        <v>6581.7029999999995</v>
      </c>
      <c r="D11" s="27">
        <f>+SUM(D12:D17)</f>
        <v>6581703</v>
      </c>
      <c r="E11" s="28"/>
      <c r="F11" s="29"/>
    </row>
    <row r="12" spans="1:8" s="2" customFormat="1" x14ac:dyDescent="0.25">
      <c r="A12" s="25"/>
      <c r="B12" s="19" t="s">
        <v>9</v>
      </c>
      <c r="C12" s="21">
        <v>142.273</v>
      </c>
      <c r="D12" s="21">
        <v>142273</v>
      </c>
      <c r="E12" s="22">
        <v>92241</v>
      </c>
      <c r="F12" s="29">
        <v>4113</v>
      </c>
    </row>
    <row r="13" spans="1:8" s="2" customFormat="1" x14ac:dyDescent="0.25">
      <c r="A13" s="25"/>
      <c r="B13" s="19" t="s">
        <v>10</v>
      </c>
      <c r="C13" s="21">
        <v>133.14400000000001</v>
      </c>
      <c r="D13" s="21">
        <f>55520+14505+55520+6962+637</f>
        <v>133144</v>
      </c>
      <c r="E13" s="22">
        <v>92241</v>
      </c>
      <c r="F13" s="29" t="s">
        <v>11</v>
      </c>
    </row>
    <row r="14" spans="1:8" s="2" customFormat="1" x14ac:dyDescent="0.25">
      <c r="A14" s="25"/>
      <c r="B14" s="19" t="s">
        <v>12</v>
      </c>
      <c r="C14" s="21">
        <f>699.345-270.835</f>
        <v>428.51000000000005</v>
      </c>
      <c r="D14" s="21">
        <f>157670+270835</f>
        <v>428505</v>
      </c>
      <c r="E14" s="22">
        <v>92241</v>
      </c>
      <c r="F14" s="29">
        <v>4113</v>
      </c>
    </row>
    <row r="15" spans="1:8" s="2" customFormat="1" x14ac:dyDescent="0.25">
      <c r="A15" s="25"/>
      <c r="B15" s="19" t="s">
        <v>13</v>
      </c>
      <c r="C15" s="21">
        <v>2012.74</v>
      </c>
      <c r="D15" s="21">
        <f>217791+21018+82424+126687+134825+165995+48588+64784+72882+72882+217791+18006+509931+259136</f>
        <v>2012740</v>
      </c>
      <c r="E15" s="22">
        <v>92241</v>
      </c>
      <c r="F15" s="29" t="s">
        <v>11</v>
      </c>
    </row>
    <row r="16" spans="1:8" s="2" customFormat="1" x14ac:dyDescent="0.25">
      <c r="A16" s="25"/>
      <c r="B16" s="19" t="s">
        <v>14</v>
      </c>
      <c r="C16" s="21">
        <v>1650.95</v>
      </c>
      <c r="D16" s="21">
        <f>345411+215860+272851+345411+215860+255562</f>
        <v>1650955</v>
      </c>
      <c r="E16" s="22">
        <v>92241</v>
      </c>
      <c r="F16" s="29" t="s">
        <v>11</v>
      </c>
    </row>
    <row r="17" spans="1:7" s="2" customFormat="1" x14ac:dyDescent="0.25">
      <c r="A17" s="25"/>
      <c r="B17" s="19" t="s">
        <v>15</v>
      </c>
      <c r="C17" s="21">
        <f>2214.086</f>
        <v>2214.0859999999998</v>
      </c>
      <c r="D17" s="21">
        <f>328516+778527+328516+778527</f>
        <v>2214086</v>
      </c>
      <c r="E17" s="22">
        <v>92241</v>
      </c>
      <c r="F17" s="29" t="s">
        <v>11</v>
      </c>
    </row>
    <row r="18" spans="1:7" s="2" customFormat="1" x14ac:dyDescent="0.25">
      <c r="A18" s="12"/>
      <c r="B18" s="19"/>
      <c r="C18" s="20"/>
      <c r="D18" s="21"/>
      <c r="E18" s="22"/>
      <c r="F18" s="29"/>
    </row>
    <row r="19" spans="1:7" s="2" customFormat="1" x14ac:dyDescent="0.25">
      <c r="A19" s="12"/>
      <c r="B19" s="13" t="s">
        <v>16</v>
      </c>
      <c r="C19" s="30">
        <f>+SUM(C20:C31)</f>
        <v>646.46902</v>
      </c>
      <c r="D19" s="30">
        <f>+SUM(D20:D31)</f>
        <v>646469.02</v>
      </c>
      <c r="E19" s="22"/>
      <c r="F19" s="29"/>
    </row>
    <row r="20" spans="1:7" s="2" customFormat="1" x14ac:dyDescent="0.25">
      <c r="A20" s="12">
        <v>41983</v>
      </c>
      <c r="B20" s="24" t="s">
        <v>337</v>
      </c>
      <c r="C20" s="20">
        <v>97.66095</v>
      </c>
      <c r="D20" s="21">
        <v>97660.95</v>
      </c>
      <c r="E20" s="22">
        <v>90001</v>
      </c>
      <c r="F20" s="29">
        <v>4113</v>
      </c>
    </row>
    <row r="21" spans="1:7" s="2" customFormat="1" x14ac:dyDescent="0.25">
      <c r="A21" s="12">
        <v>41983</v>
      </c>
      <c r="B21" s="24" t="s">
        <v>290</v>
      </c>
      <c r="C21" s="20">
        <v>50.443950000000001</v>
      </c>
      <c r="D21" s="21">
        <v>50443.95</v>
      </c>
      <c r="E21" s="22">
        <v>90001</v>
      </c>
      <c r="F21" s="29">
        <v>4113</v>
      </c>
    </row>
    <row r="22" spans="1:7" s="2" customFormat="1" x14ac:dyDescent="0.25">
      <c r="A22" s="12">
        <v>41983</v>
      </c>
      <c r="B22" s="24" t="s">
        <v>291</v>
      </c>
      <c r="C22" s="20">
        <v>29.169740000000001</v>
      </c>
      <c r="D22" s="21">
        <v>29169.74</v>
      </c>
      <c r="E22" s="22">
        <v>90001</v>
      </c>
      <c r="F22" s="29">
        <v>4113</v>
      </c>
    </row>
    <row r="23" spans="1:7" s="2" customFormat="1" x14ac:dyDescent="0.25">
      <c r="A23" s="12">
        <v>41984</v>
      </c>
      <c r="B23" s="24" t="s">
        <v>292</v>
      </c>
      <c r="C23" s="20">
        <v>68.784959999999998</v>
      </c>
      <c r="D23" s="21">
        <v>68784.960000000006</v>
      </c>
      <c r="E23" s="22">
        <v>90001</v>
      </c>
      <c r="F23" s="29">
        <v>4113</v>
      </c>
    </row>
    <row r="24" spans="1:7" s="2" customFormat="1" x14ac:dyDescent="0.25">
      <c r="A24" s="12">
        <v>41984</v>
      </c>
      <c r="B24" s="24" t="s">
        <v>293</v>
      </c>
      <c r="C24" s="20">
        <v>12.22039</v>
      </c>
      <c r="D24" s="21">
        <v>12220.39</v>
      </c>
      <c r="E24" s="22">
        <v>90001</v>
      </c>
      <c r="F24" s="29">
        <v>4113</v>
      </c>
    </row>
    <row r="25" spans="1:7" s="2" customFormat="1" x14ac:dyDescent="0.25">
      <c r="A25" s="12">
        <v>41984</v>
      </c>
      <c r="B25" s="24" t="s">
        <v>295</v>
      </c>
      <c r="C25" s="20">
        <v>52.724510000000002</v>
      </c>
      <c r="D25" s="21">
        <v>52724.51</v>
      </c>
      <c r="E25" s="22">
        <v>90001</v>
      </c>
      <c r="F25" s="29">
        <v>4113</v>
      </c>
    </row>
    <row r="26" spans="1:7" s="2" customFormat="1" x14ac:dyDescent="0.25">
      <c r="A26" s="12">
        <v>41984</v>
      </c>
      <c r="B26" s="24" t="s">
        <v>296</v>
      </c>
      <c r="C26" s="20">
        <v>94.154309999999995</v>
      </c>
      <c r="D26" s="21">
        <v>94154.31</v>
      </c>
      <c r="E26" s="22">
        <v>90001</v>
      </c>
      <c r="F26" s="29">
        <v>4113</v>
      </c>
    </row>
    <row r="27" spans="1:7" s="2" customFormat="1" x14ac:dyDescent="0.25">
      <c r="A27" s="12">
        <v>41983</v>
      </c>
      <c r="B27" s="24" t="s">
        <v>297</v>
      </c>
      <c r="C27" s="20">
        <v>174.69442000000001</v>
      </c>
      <c r="D27" s="21">
        <v>174694.42</v>
      </c>
      <c r="E27" s="22">
        <v>90001</v>
      </c>
      <c r="F27" s="29">
        <v>4113</v>
      </c>
    </row>
    <row r="28" spans="1:7" s="2" customFormat="1" x14ac:dyDescent="0.25">
      <c r="A28" s="12"/>
      <c r="B28" s="24" t="s">
        <v>108</v>
      </c>
      <c r="C28" s="20">
        <v>3.0779999999999998</v>
      </c>
      <c r="D28" s="21">
        <v>3078</v>
      </c>
      <c r="E28" s="22">
        <v>90001</v>
      </c>
      <c r="F28" s="29">
        <v>4113</v>
      </c>
    </row>
    <row r="29" spans="1:7" s="2" customFormat="1" x14ac:dyDescent="0.25">
      <c r="A29" s="12"/>
      <c r="B29" s="24" t="s">
        <v>239</v>
      </c>
      <c r="C29" s="20">
        <v>15.867050000000001</v>
      </c>
      <c r="D29" s="21">
        <v>15867.05</v>
      </c>
      <c r="E29" s="22">
        <v>90001</v>
      </c>
      <c r="F29" s="29">
        <v>4113</v>
      </c>
    </row>
    <row r="30" spans="1:7" s="2" customFormat="1" x14ac:dyDescent="0.25">
      <c r="A30" s="12"/>
      <c r="B30" s="24" t="s">
        <v>331</v>
      </c>
      <c r="C30" s="20">
        <v>46.763240000000003</v>
      </c>
      <c r="D30" s="21">
        <v>46763.24</v>
      </c>
      <c r="E30" s="22">
        <v>90001</v>
      </c>
      <c r="F30" s="29">
        <v>4113</v>
      </c>
    </row>
    <row r="31" spans="1:7" s="2" customFormat="1" x14ac:dyDescent="0.25">
      <c r="A31" s="12"/>
      <c r="B31" s="24" t="s">
        <v>279</v>
      </c>
      <c r="C31" s="20">
        <v>0.90749999999999997</v>
      </c>
      <c r="D31" s="21">
        <v>907.5</v>
      </c>
      <c r="E31" s="22">
        <v>90001</v>
      </c>
      <c r="F31" s="29">
        <v>4113</v>
      </c>
      <c r="G31" s="146"/>
    </row>
    <row r="32" spans="1:7" s="2" customFormat="1" x14ac:dyDescent="0.25">
      <c r="A32" s="12"/>
      <c r="B32" s="19"/>
      <c r="C32" s="20"/>
      <c r="D32" s="21"/>
      <c r="E32" s="22"/>
      <c r="F32" s="29"/>
    </row>
    <row r="33" spans="1:11" s="2" customFormat="1" x14ac:dyDescent="0.25">
      <c r="A33" s="12"/>
      <c r="B33" s="13" t="s">
        <v>17</v>
      </c>
      <c r="C33" s="30">
        <f>+C34+C35</f>
        <v>149.66088000000002</v>
      </c>
      <c r="D33" s="31">
        <f>+D34+D35</f>
        <v>149660.87999999998</v>
      </c>
      <c r="E33" s="22"/>
      <c r="F33" s="29"/>
    </row>
    <row r="34" spans="1:11" s="2" customFormat="1" x14ac:dyDescent="0.25">
      <c r="A34" s="12"/>
      <c r="B34" s="19" t="s">
        <v>18</v>
      </c>
      <c r="C34" s="20">
        <v>3.8667099999999999</v>
      </c>
      <c r="D34" s="21">
        <v>3866.71</v>
      </c>
      <c r="E34" s="22">
        <v>89450</v>
      </c>
      <c r="F34" s="29">
        <v>4113</v>
      </c>
    </row>
    <row r="35" spans="1:11" s="2" customFormat="1" x14ac:dyDescent="0.25">
      <c r="A35" s="12"/>
      <c r="B35" s="19" t="s">
        <v>18</v>
      </c>
      <c r="C35" s="20">
        <f>73.49605+72.29812</f>
        <v>145.79417000000001</v>
      </c>
      <c r="D35" s="21">
        <f>73496.05+72298.12</f>
        <v>145794.16999999998</v>
      </c>
      <c r="E35" s="22">
        <v>89023</v>
      </c>
      <c r="F35" s="29">
        <v>4113</v>
      </c>
    </row>
    <row r="36" spans="1:11" s="2" customFormat="1" x14ac:dyDescent="0.25">
      <c r="A36" s="12"/>
      <c r="B36" s="32"/>
      <c r="C36" s="20"/>
      <c r="D36" s="150"/>
      <c r="E36" s="147"/>
      <c r="F36" s="22"/>
    </row>
    <row r="37" spans="1:11" s="18" customFormat="1" x14ac:dyDescent="0.25">
      <c r="A37" s="12"/>
      <c r="B37" s="13" t="s">
        <v>19</v>
      </c>
      <c r="C37" s="13">
        <f>SUM(C38:C61)</f>
        <v>18005.657000000003</v>
      </c>
      <c r="D37" s="31">
        <f>SUM(D38:D61)</f>
        <v>19307221</v>
      </c>
      <c r="E37" s="33"/>
      <c r="F37" s="16"/>
      <c r="G37" s="2"/>
      <c r="H37" s="2"/>
      <c r="I37" s="2"/>
      <c r="J37" s="2"/>
    </row>
    <row r="38" spans="1:11" s="2" customFormat="1" x14ac:dyDescent="0.25">
      <c r="A38" s="25">
        <v>41689</v>
      </c>
      <c r="B38" s="19" t="s">
        <v>40</v>
      </c>
      <c r="C38" s="37">
        <v>4544</v>
      </c>
      <c r="D38" s="151">
        <v>4544000</v>
      </c>
      <c r="E38" s="34">
        <v>13010</v>
      </c>
      <c r="F38" s="29">
        <v>4116</v>
      </c>
    </row>
    <row r="39" spans="1:11" s="2" customFormat="1" x14ac:dyDescent="0.25">
      <c r="A39" s="25">
        <v>41766</v>
      </c>
      <c r="B39" s="19" t="s">
        <v>40</v>
      </c>
      <c r="C39" s="37">
        <v>36</v>
      </c>
      <c r="D39" s="152">
        <v>36000</v>
      </c>
      <c r="E39" s="34">
        <v>13010</v>
      </c>
      <c r="F39" s="29">
        <v>4116</v>
      </c>
    </row>
    <row r="40" spans="1:11" s="2" customFormat="1" x14ac:dyDescent="0.25">
      <c r="A40" s="25">
        <v>41970</v>
      </c>
      <c r="B40" s="19" t="s">
        <v>285</v>
      </c>
      <c r="C40" s="20">
        <v>-28</v>
      </c>
      <c r="D40" s="53">
        <v>-28000</v>
      </c>
      <c r="E40" s="149">
        <v>13010</v>
      </c>
      <c r="F40" s="29">
        <v>4116</v>
      </c>
    </row>
    <row r="41" spans="1:11" s="2" customFormat="1" x14ac:dyDescent="0.25">
      <c r="A41" s="12">
        <v>41992</v>
      </c>
      <c r="B41" s="19" t="s">
        <v>40</v>
      </c>
      <c r="C41" s="20">
        <v>12</v>
      </c>
      <c r="D41" s="53">
        <v>12000</v>
      </c>
      <c r="E41" s="147">
        <v>13010</v>
      </c>
      <c r="F41" s="29">
        <v>4116</v>
      </c>
    </row>
    <row r="42" spans="1:11" s="18" customFormat="1" x14ac:dyDescent="0.25">
      <c r="A42" s="12"/>
      <c r="B42" s="19" t="s">
        <v>262</v>
      </c>
      <c r="C42" s="21">
        <v>149</v>
      </c>
      <c r="D42" s="21">
        <v>116387</v>
      </c>
      <c r="E42" s="34">
        <v>13101</v>
      </c>
      <c r="F42" s="29">
        <v>4116</v>
      </c>
      <c r="G42" s="2"/>
      <c r="H42" s="2"/>
      <c r="I42" s="2"/>
      <c r="J42" s="2"/>
      <c r="K42" s="2"/>
    </row>
    <row r="43" spans="1:11" s="2" customFormat="1" x14ac:dyDescent="0.25">
      <c r="A43" s="25"/>
      <c r="B43" s="19" t="s">
        <v>98</v>
      </c>
      <c r="C43" s="20">
        <v>187</v>
      </c>
      <c r="D43" s="21">
        <v>143530</v>
      </c>
      <c r="E43" s="34">
        <v>13101</v>
      </c>
      <c r="F43" s="29" t="s">
        <v>20</v>
      </c>
    </row>
    <row r="44" spans="1:11" s="2" customFormat="1" x14ac:dyDescent="0.25">
      <c r="A44" s="25"/>
      <c r="B44" s="107" t="s">
        <v>263</v>
      </c>
      <c r="C44" s="21">
        <v>258</v>
      </c>
      <c r="D44" s="21">
        <v>257817</v>
      </c>
      <c r="E44" s="35">
        <v>13101</v>
      </c>
      <c r="F44" s="36">
        <v>4116</v>
      </c>
    </row>
    <row r="45" spans="1:11" s="2" customFormat="1" x14ac:dyDescent="0.25">
      <c r="A45" s="25"/>
      <c r="B45" s="107" t="s">
        <v>264</v>
      </c>
      <c r="C45" s="21">
        <v>93</v>
      </c>
      <c r="D45" s="21">
        <v>92384</v>
      </c>
      <c r="E45" s="35">
        <v>13101</v>
      </c>
      <c r="F45" s="36">
        <v>4116</v>
      </c>
    </row>
    <row r="46" spans="1:11" s="18" customFormat="1" x14ac:dyDescent="0.25">
      <c r="A46" s="12"/>
      <c r="B46" s="19" t="s">
        <v>21</v>
      </c>
      <c r="C46" s="21">
        <v>176</v>
      </c>
      <c r="D46" s="21">
        <f>44000+44000+22000+22000+22000+22000</f>
        <v>176000</v>
      </c>
      <c r="E46" s="34">
        <v>13234</v>
      </c>
      <c r="F46" s="29">
        <v>4116</v>
      </c>
      <c r="G46" s="2"/>
      <c r="H46" s="2"/>
      <c r="I46" s="2"/>
      <c r="J46" s="2"/>
      <c r="K46" s="2"/>
    </row>
    <row r="47" spans="1:11" s="18" customFormat="1" x14ac:dyDescent="0.25">
      <c r="A47" s="12"/>
      <c r="B47" s="19" t="s">
        <v>22</v>
      </c>
      <c r="C47" s="21">
        <f>66+187+130</f>
        <v>383</v>
      </c>
      <c r="D47" s="21">
        <v>312284</v>
      </c>
      <c r="E47" s="34">
        <v>13234</v>
      </c>
      <c r="F47" s="29">
        <v>4116</v>
      </c>
      <c r="G47" s="2"/>
      <c r="H47" s="2"/>
      <c r="I47" s="2"/>
      <c r="J47" s="2"/>
      <c r="K47" s="2"/>
    </row>
    <row r="48" spans="1:11" s="18" customFormat="1" x14ac:dyDescent="0.25">
      <c r="A48" s="12"/>
      <c r="B48" s="19" t="s">
        <v>23</v>
      </c>
      <c r="C48" s="21">
        <v>198.88</v>
      </c>
      <c r="D48" s="21">
        <v>198881</v>
      </c>
      <c r="E48" s="34">
        <v>13234</v>
      </c>
      <c r="F48" s="29">
        <v>4116</v>
      </c>
      <c r="G48" s="2"/>
      <c r="H48" s="2"/>
      <c r="I48" s="2"/>
      <c r="J48" s="2"/>
      <c r="K48" s="2"/>
    </row>
    <row r="49" spans="1:11" s="18" customFormat="1" x14ac:dyDescent="0.25">
      <c r="A49" s="12"/>
      <c r="B49" s="19" t="s">
        <v>24</v>
      </c>
      <c r="C49" s="21">
        <v>265</v>
      </c>
      <c r="D49" s="21">
        <v>255484</v>
      </c>
      <c r="E49" s="34">
        <v>13234</v>
      </c>
      <c r="F49" s="29">
        <v>4116</v>
      </c>
      <c r="G49" s="2"/>
      <c r="H49" s="2"/>
      <c r="I49" s="2"/>
      <c r="J49" s="2"/>
      <c r="K49" s="2"/>
    </row>
    <row r="50" spans="1:11" s="18" customFormat="1" x14ac:dyDescent="0.25">
      <c r="A50" s="12"/>
      <c r="B50" s="107" t="s">
        <v>25</v>
      </c>
      <c r="C50" s="21">
        <v>184.25</v>
      </c>
      <c r="D50" s="21">
        <v>184248</v>
      </c>
      <c r="E50" s="108">
        <v>13234</v>
      </c>
      <c r="F50" s="29">
        <v>4116</v>
      </c>
      <c r="G50" s="2"/>
      <c r="H50" s="2"/>
      <c r="I50" s="2"/>
      <c r="J50" s="2"/>
      <c r="K50" s="2"/>
    </row>
    <row r="51" spans="1:11" s="18" customFormat="1" x14ac:dyDescent="0.25">
      <c r="A51" s="12"/>
      <c r="B51" s="107" t="s">
        <v>156</v>
      </c>
      <c r="C51" s="21">
        <v>528</v>
      </c>
      <c r="D51" s="21">
        <v>350314</v>
      </c>
      <c r="E51" s="108">
        <v>13234</v>
      </c>
      <c r="F51" s="29">
        <v>4116</v>
      </c>
      <c r="G51" s="2"/>
      <c r="H51" s="2"/>
      <c r="I51" s="2"/>
      <c r="J51" s="2"/>
      <c r="K51" s="2"/>
    </row>
    <row r="52" spans="1:11" s="18" customFormat="1" x14ac:dyDescent="0.25">
      <c r="A52" s="12"/>
      <c r="B52" s="107" t="s">
        <v>27</v>
      </c>
      <c r="C52" s="21">
        <v>884.64</v>
      </c>
      <c r="D52" s="21">
        <v>929367</v>
      </c>
      <c r="E52" s="34">
        <v>13234</v>
      </c>
      <c r="F52" s="29">
        <v>4116</v>
      </c>
      <c r="G52" s="2"/>
      <c r="H52" s="2"/>
      <c r="I52" s="2"/>
      <c r="J52" s="2"/>
      <c r="K52" s="2"/>
    </row>
    <row r="53" spans="1:11" s="18" customFormat="1" x14ac:dyDescent="0.25">
      <c r="A53" s="12"/>
      <c r="B53" s="107" t="s">
        <v>28</v>
      </c>
      <c r="C53" s="21">
        <f>307.2+108.63</f>
        <v>415.83</v>
      </c>
      <c r="D53" s="21">
        <v>448829</v>
      </c>
      <c r="E53" s="34">
        <v>13234</v>
      </c>
      <c r="F53" s="29">
        <v>4116</v>
      </c>
      <c r="G53" s="2"/>
      <c r="H53" s="2"/>
      <c r="I53" s="2"/>
      <c r="J53" s="2"/>
      <c r="K53" s="2"/>
    </row>
    <row r="54" spans="1:11" s="18" customFormat="1" x14ac:dyDescent="0.25">
      <c r="A54" s="12"/>
      <c r="B54" s="107" t="s">
        <v>29</v>
      </c>
      <c r="C54" s="21">
        <f>1.93+10.91</f>
        <v>12.84</v>
      </c>
      <c r="D54" s="21">
        <f>1275.45+7227.55+4342</f>
        <v>12845</v>
      </c>
      <c r="E54" s="34">
        <v>13234</v>
      </c>
      <c r="F54" s="29">
        <v>4116</v>
      </c>
      <c r="G54" s="2"/>
      <c r="H54" s="2"/>
      <c r="I54" s="2"/>
      <c r="J54" s="2"/>
      <c r="K54" s="2"/>
    </row>
    <row r="55" spans="1:11" s="2" customFormat="1" x14ac:dyDescent="0.25">
      <c r="A55" s="25"/>
      <c r="B55" s="107" t="s">
        <v>30</v>
      </c>
      <c r="C55" s="21">
        <f>417+2363</f>
        <v>2780</v>
      </c>
      <c r="D55" s="21">
        <v>2586233</v>
      </c>
      <c r="E55" s="35">
        <v>13234</v>
      </c>
      <c r="F55" s="29">
        <v>4116</v>
      </c>
    </row>
    <row r="56" spans="1:11" s="18" customFormat="1" x14ac:dyDescent="0.25">
      <c r="A56" s="12"/>
      <c r="B56" s="107" t="s">
        <v>26</v>
      </c>
      <c r="C56" s="21">
        <f>1564+2234+2432.64</f>
        <v>6230.6399999999994</v>
      </c>
      <c r="D56" s="21">
        <v>7967642</v>
      </c>
      <c r="E56" s="34">
        <v>13234</v>
      </c>
      <c r="F56" s="29">
        <v>4116</v>
      </c>
      <c r="G56" s="2"/>
      <c r="H56" s="2"/>
      <c r="I56" s="2"/>
      <c r="J56" s="2"/>
      <c r="K56" s="2"/>
    </row>
    <row r="57" spans="1:11" s="2" customFormat="1" x14ac:dyDescent="0.25">
      <c r="A57" s="25"/>
      <c r="B57" s="107" t="s">
        <v>31</v>
      </c>
      <c r="C57" s="21">
        <v>9</v>
      </c>
      <c r="D57" s="21">
        <v>8844</v>
      </c>
      <c r="E57" s="35" t="s">
        <v>32</v>
      </c>
      <c r="F57" s="29" t="s">
        <v>20</v>
      </c>
    </row>
    <row r="58" spans="1:11" s="2" customFormat="1" x14ac:dyDescent="0.25">
      <c r="A58" s="25"/>
      <c r="B58" s="107" t="s">
        <v>115</v>
      </c>
      <c r="C58" s="21">
        <f>14.85+84.15</f>
        <v>99</v>
      </c>
      <c r="D58" s="21">
        <v>77000</v>
      </c>
      <c r="E58" s="35">
        <v>13234</v>
      </c>
      <c r="F58" s="36">
        <v>4116</v>
      </c>
    </row>
    <row r="59" spans="1:11" s="2" customFormat="1" x14ac:dyDescent="0.25">
      <c r="A59" s="25"/>
      <c r="B59" s="107" t="s">
        <v>33</v>
      </c>
      <c r="C59" s="21">
        <v>375.577</v>
      </c>
      <c r="D59" s="21">
        <f>19741.65+111869.35+117930+61337+64699</f>
        <v>375577</v>
      </c>
      <c r="E59" s="35">
        <v>13234</v>
      </c>
      <c r="F59" s="36">
        <v>4116</v>
      </c>
    </row>
    <row r="60" spans="1:11" s="2" customFormat="1" x14ac:dyDescent="0.25">
      <c r="A60" s="25"/>
      <c r="B60" s="107" t="s">
        <v>34</v>
      </c>
      <c r="C60" s="21">
        <v>102</v>
      </c>
      <c r="D60" s="21">
        <f>1761.3+9980.7+19049+11000+15882+22000+22000</f>
        <v>101673</v>
      </c>
      <c r="E60" s="35">
        <v>13234</v>
      </c>
      <c r="F60" s="36">
        <v>4116</v>
      </c>
    </row>
    <row r="61" spans="1:11" s="2" customFormat="1" x14ac:dyDescent="0.25">
      <c r="A61" s="25"/>
      <c r="B61" s="107" t="s">
        <v>35</v>
      </c>
      <c r="C61" s="21">
        <f>66+44</f>
        <v>110</v>
      </c>
      <c r="D61" s="21">
        <v>147882</v>
      </c>
      <c r="E61" s="35">
        <v>13234</v>
      </c>
      <c r="F61" s="36">
        <v>4116</v>
      </c>
    </row>
    <row r="62" spans="1:11" s="2" customFormat="1" x14ac:dyDescent="0.25">
      <c r="A62" s="25"/>
      <c r="B62" s="23"/>
      <c r="C62" s="37"/>
      <c r="D62" s="21"/>
      <c r="E62" s="35"/>
      <c r="F62" s="36"/>
    </row>
    <row r="63" spans="1:11" s="2" customFormat="1" x14ac:dyDescent="0.25">
      <c r="A63" s="25"/>
      <c r="B63" s="38" t="s">
        <v>36</v>
      </c>
      <c r="C63" s="39">
        <f>+SUM(C64:C104)</f>
        <v>23263</v>
      </c>
      <c r="D63" s="40">
        <f>+SUM(D64:D104)</f>
        <v>23263000</v>
      </c>
      <c r="E63" s="29"/>
      <c r="F63" s="36"/>
    </row>
    <row r="64" spans="1:11" s="2" customFormat="1" x14ac:dyDescent="0.25">
      <c r="A64" s="25">
        <v>41737</v>
      </c>
      <c r="B64" s="107" t="s">
        <v>158</v>
      </c>
      <c r="C64" s="20">
        <v>400</v>
      </c>
      <c r="D64" s="21">
        <v>400000</v>
      </c>
      <c r="E64" s="41">
        <v>34070</v>
      </c>
      <c r="F64" s="36">
        <v>4116</v>
      </c>
    </row>
    <row r="65" spans="1:6" s="2" customFormat="1" x14ac:dyDescent="0.25">
      <c r="A65" s="49">
        <v>41737</v>
      </c>
      <c r="B65" s="107" t="s">
        <v>157</v>
      </c>
      <c r="C65" s="20">
        <v>40</v>
      </c>
      <c r="D65" s="21">
        <v>40000</v>
      </c>
      <c r="E65" s="36">
        <v>34070</v>
      </c>
      <c r="F65" s="36">
        <v>4116</v>
      </c>
    </row>
    <row r="66" spans="1:6" s="2" customFormat="1" x14ac:dyDescent="0.25">
      <c r="A66" s="49">
        <v>41746</v>
      </c>
      <c r="B66" s="107" t="s">
        <v>99</v>
      </c>
      <c r="C66" s="20">
        <v>120</v>
      </c>
      <c r="D66" s="21">
        <v>120000</v>
      </c>
      <c r="E66" s="36">
        <v>34070</v>
      </c>
      <c r="F66" s="36">
        <v>4116</v>
      </c>
    </row>
    <row r="67" spans="1:6" s="2" customFormat="1" x14ac:dyDescent="0.25">
      <c r="A67" s="49">
        <v>41746</v>
      </c>
      <c r="B67" s="107" t="s">
        <v>97</v>
      </c>
      <c r="C67" s="20">
        <v>220</v>
      </c>
      <c r="D67" s="21">
        <v>220000</v>
      </c>
      <c r="E67" s="36">
        <v>34070</v>
      </c>
      <c r="F67" s="36">
        <v>4116</v>
      </c>
    </row>
    <row r="68" spans="1:6" s="2" customFormat="1" x14ac:dyDescent="0.25">
      <c r="A68" s="25">
        <v>41751</v>
      </c>
      <c r="B68" s="107" t="s">
        <v>95</v>
      </c>
      <c r="C68" s="20">
        <v>600</v>
      </c>
      <c r="D68" s="21">
        <v>600000</v>
      </c>
      <c r="E68" s="29">
        <v>34070</v>
      </c>
      <c r="F68" s="29">
        <v>4116</v>
      </c>
    </row>
    <row r="69" spans="1:6" s="2" customFormat="1" x14ac:dyDescent="0.25">
      <c r="A69" s="25">
        <v>41764</v>
      </c>
      <c r="B69" s="107" t="s">
        <v>100</v>
      </c>
      <c r="C69" s="20">
        <v>80</v>
      </c>
      <c r="D69" s="21">
        <v>80000</v>
      </c>
      <c r="E69" s="29">
        <v>34070</v>
      </c>
      <c r="F69" s="29">
        <v>4116</v>
      </c>
    </row>
    <row r="70" spans="1:6" s="2" customFormat="1" x14ac:dyDescent="0.25">
      <c r="A70" s="25">
        <v>41766</v>
      </c>
      <c r="B70" s="107" t="s">
        <v>135</v>
      </c>
      <c r="C70" s="20">
        <v>45</v>
      </c>
      <c r="D70" s="21">
        <v>45000</v>
      </c>
      <c r="E70" s="29">
        <v>34053</v>
      </c>
      <c r="F70" s="29">
        <v>4116</v>
      </c>
    </row>
    <row r="71" spans="1:6" s="2" customFormat="1" x14ac:dyDescent="0.25">
      <c r="A71" s="25">
        <v>41775</v>
      </c>
      <c r="B71" s="107" t="s">
        <v>136</v>
      </c>
      <c r="C71" s="20">
        <v>25</v>
      </c>
      <c r="D71" s="21">
        <v>25000</v>
      </c>
      <c r="E71" s="29">
        <v>34070</v>
      </c>
      <c r="F71" s="29">
        <v>4116</v>
      </c>
    </row>
    <row r="72" spans="1:6" s="2" customFormat="1" x14ac:dyDescent="0.25">
      <c r="A72" s="25">
        <v>41775</v>
      </c>
      <c r="B72" s="107" t="s">
        <v>113</v>
      </c>
      <c r="C72" s="20">
        <v>90</v>
      </c>
      <c r="D72" s="21">
        <v>90000</v>
      </c>
      <c r="E72" s="29">
        <v>34070</v>
      </c>
      <c r="F72" s="29">
        <v>4116</v>
      </c>
    </row>
    <row r="73" spans="1:6" s="2" customFormat="1" x14ac:dyDescent="0.25">
      <c r="A73" s="25">
        <v>41781</v>
      </c>
      <c r="B73" s="163" t="s">
        <v>352</v>
      </c>
      <c r="C73" s="20">
        <v>15</v>
      </c>
      <c r="D73" s="21">
        <v>15000</v>
      </c>
      <c r="E73" s="29">
        <v>34070</v>
      </c>
      <c r="F73" s="29">
        <v>4116</v>
      </c>
    </row>
    <row r="74" spans="1:6" s="2" customFormat="1" x14ac:dyDescent="0.25">
      <c r="A74" s="25">
        <v>41781</v>
      </c>
      <c r="B74" s="107" t="s">
        <v>112</v>
      </c>
      <c r="C74" s="20">
        <v>18</v>
      </c>
      <c r="D74" s="21">
        <v>18000</v>
      </c>
      <c r="E74" s="29">
        <v>34070</v>
      </c>
      <c r="F74" s="29">
        <v>4116</v>
      </c>
    </row>
    <row r="75" spans="1:6" s="2" customFormat="1" x14ac:dyDescent="0.25">
      <c r="A75" s="25">
        <v>41781</v>
      </c>
      <c r="B75" s="107" t="s">
        <v>138</v>
      </c>
      <c r="C75" s="20">
        <v>19</v>
      </c>
      <c r="D75" s="21">
        <v>19000</v>
      </c>
      <c r="E75" s="29">
        <v>34070</v>
      </c>
      <c r="F75" s="29">
        <v>4116</v>
      </c>
    </row>
    <row r="76" spans="1:6" s="2" customFormat="1" x14ac:dyDescent="0.25">
      <c r="A76" s="25">
        <v>41787</v>
      </c>
      <c r="B76" s="107" t="s">
        <v>105</v>
      </c>
      <c r="C76" s="20">
        <v>90</v>
      </c>
      <c r="D76" s="21">
        <v>90000</v>
      </c>
      <c r="E76" s="29">
        <v>34053</v>
      </c>
      <c r="F76" s="29">
        <v>4116</v>
      </c>
    </row>
    <row r="77" spans="1:6" s="2" customFormat="1" x14ac:dyDescent="0.25">
      <c r="A77" s="25">
        <v>41788</v>
      </c>
      <c r="B77" s="107" t="s">
        <v>139</v>
      </c>
      <c r="C77" s="46">
        <v>100</v>
      </c>
      <c r="D77" s="47">
        <v>100000</v>
      </c>
      <c r="E77" s="29">
        <v>34070</v>
      </c>
      <c r="F77" s="29">
        <v>4116</v>
      </c>
    </row>
    <row r="78" spans="1:6" s="2" customFormat="1" x14ac:dyDescent="0.25">
      <c r="A78" s="25">
        <v>41788</v>
      </c>
      <c r="B78" s="107" t="s">
        <v>140</v>
      </c>
      <c r="C78" s="46">
        <v>100</v>
      </c>
      <c r="D78" s="47">
        <v>100000</v>
      </c>
      <c r="E78" s="29">
        <v>34070</v>
      </c>
      <c r="F78" s="29">
        <v>4116</v>
      </c>
    </row>
    <row r="79" spans="1:6" s="2" customFormat="1" x14ac:dyDescent="0.25">
      <c r="A79" s="25">
        <v>41788</v>
      </c>
      <c r="B79" s="107" t="s">
        <v>141</v>
      </c>
      <c r="C79" s="46">
        <v>100</v>
      </c>
      <c r="D79" s="47">
        <v>100000</v>
      </c>
      <c r="E79" s="29">
        <v>34070</v>
      </c>
      <c r="F79" s="29">
        <v>4116</v>
      </c>
    </row>
    <row r="80" spans="1:6" s="2" customFormat="1" x14ac:dyDescent="0.25">
      <c r="A80" s="25">
        <v>41801</v>
      </c>
      <c r="B80" s="107" t="s">
        <v>124</v>
      </c>
      <c r="C80" s="46">
        <v>30</v>
      </c>
      <c r="D80" s="47">
        <v>30000</v>
      </c>
      <c r="E80" s="29">
        <v>34194</v>
      </c>
      <c r="F80" s="29">
        <v>4116</v>
      </c>
    </row>
    <row r="81" spans="1:6" s="2" customFormat="1" x14ac:dyDescent="0.25">
      <c r="A81" s="25">
        <v>41815</v>
      </c>
      <c r="B81" s="107" t="s">
        <v>142</v>
      </c>
      <c r="C81" s="20">
        <v>1100</v>
      </c>
      <c r="D81" s="21">
        <v>1100000</v>
      </c>
      <c r="E81" s="29">
        <v>34352</v>
      </c>
      <c r="F81" s="29">
        <v>4116</v>
      </c>
    </row>
    <row r="82" spans="1:6" s="2" customFormat="1" x14ac:dyDescent="0.25">
      <c r="A82" s="25">
        <v>41820</v>
      </c>
      <c r="B82" s="163" t="s">
        <v>353</v>
      </c>
      <c r="C82" s="20">
        <v>114</v>
      </c>
      <c r="D82" s="21">
        <v>114000</v>
      </c>
      <c r="E82" s="29">
        <v>34001</v>
      </c>
      <c r="F82" s="29">
        <v>4116</v>
      </c>
    </row>
    <row r="83" spans="1:6" s="2" customFormat="1" x14ac:dyDescent="0.25">
      <c r="A83" s="25">
        <v>41822</v>
      </c>
      <c r="B83" s="107" t="s">
        <v>164</v>
      </c>
      <c r="C83" s="20">
        <v>5920</v>
      </c>
      <c r="D83" s="21">
        <v>5920000</v>
      </c>
      <c r="E83" s="29">
        <v>34352</v>
      </c>
      <c r="F83" s="29">
        <v>4116</v>
      </c>
    </row>
    <row r="84" spans="1:6" s="2" customFormat="1" x14ac:dyDescent="0.25">
      <c r="A84" s="25">
        <v>41822</v>
      </c>
      <c r="B84" s="107" t="s">
        <v>165</v>
      </c>
      <c r="C84" s="20">
        <v>2340</v>
      </c>
      <c r="D84" s="21">
        <v>2340000</v>
      </c>
      <c r="E84" s="29">
        <v>34352</v>
      </c>
      <c r="F84" s="29">
        <v>4116</v>
      </c>
    </row>
    <row r="85" spans="1:6" s="2" customFormat="1" x14ac:dyDescent="0.25">
      <c r="A85" s="25">
        <v>41822</v>
      </c>
      <c r="B85" s="107" t="s">
        <v>166</v>
      </c>
      <c r="C85" s="20">
        <v>2330</v>
      </c>
      <c r="D85" s="21">
        <v>2330000</v>
      </c>
      <c r="E85" s="29">
        <v>34352</v>
      </c>
      <c r="F85" s="29">
        <v>4116</v>
      </c>
    </row>
    <row r="86" spans="1:6" s="2" customFormat="1" x14ac:dyDescent="0.25">
      <c r="A86" s="25">
        <v>41824</v>
      </c>
      <c r="B86" s="107" t="s">
        <v>174</v>
      </c>
      <c r="C86" s="20">
        <v>140</v>
      </c>
      <c r="D86" s="21">
        <v>140000</v>
      </c>
      <c r="E86" s="29">
        <v>34001</v>
      </c>
      <c r="F86" s="29">
        <v>4116</v>
      </c>
    </row>
    <row r="87" spans="1:6" s="2" customFormat="1" x14ac:dyDescent="0.25">
      <c r="A87" s="25">
        <v>41828</v>
      </c>
      <c r="B87" s="107" t="s">
        <v>176</v>
      </c>
      <c r="C87" s="20">
        <v>650</v>
      </c>
      <c r="D87" s="21">
        <v>650000</v>
      </c>
      <c r="E87" s="29">
        <v>34352</v>
      </c>
      <c r="F87" s="29">
        <v>4116</v>
      </c>
    </row>
    <row r="88" spans="1:6" s="2" customFormat="1" x14ac:dyDescent="0.25">
      <c r="A88" s="25">
        <v>41835</v>
      </c>
      <c r="B88" s="107" t="s">
        <v>178</v>
      </c>
      <c r="C88" s="20">
        <v>340</v>
      </c>
      <c r="D88" s="21">
        <v>340000</v>
      </c>
      <c r="E88" s="29">
        <v>34070</v>
      </c>
      <c r="F88" s="29">
        <v>4116</v>
      </c>
    </row>
    <row r="89" spans="1:6" s="2" customFormat="1" x14ac:dyDescent="0.25">
      <c r="A89" s="25">
        <v>41835</v>
      </c>
      <c r="B89" s="107" t="s">
        <v>179</v>
      </c>
      <c r="C89" s="20">
        <v>450</v>
      </c>
      <c r="D89" s="21">
        <v>450000</v>
      </c>
      <c r="E89" s="29">
        <v>34070</v>
      </c>
      <c r="F89" s="29">
        <v>4116</v>
      </c>
    </row>
    <row r="90" spans="1:6" s="2" customFormat="1" x14ac:dyDescent="0.25">
      <c r="A90" s="25">
        <v>41835</v>
      </c>
      <c r="B90" s="107" t="s">
        <v>180</v>
      </c>
      <c r="C90" s="20">
        <v>80</v>
      </c>
      <c r="D90" s="21">
        <v>80000</v>
      </c>
      <c r="E90" s="29">
        <v>34070</v>
      </c>
      <c r="F90" s="29">
        <v>4116</v>
      </c>
    </row>
    <row r="91" spans="1:6" s="2" customFormat="1" x14ac:dyDescent="0.25">
      <c r="A91" s="25">
        <v>41850</v>
      </c>
      <c r="B91" s="107" t="s">
        <v>170</v>
      </c>
      <c r="C91" s="20">
        <v>150</v>
      </c>
      <c r="D91" s="21">
        <v>150000</v>
      </c>
      <c r="E91" s="29">
        <v>34070</v>
      </c>
      <c r="F91" s="29">
        <v>4116</v>
      </c>
    </row>
    <row r="92" spans="1:6" s="2" customFormat="1" x14ac:dyDescent="0.25">
      <c r="A92" s="25">
        <v>41912</v>
      </c>
      <c r="B92" s="107" t="s">
        <v>211</v>
      </c>
      <c r="C92" s="20">
        <v>456</v>
      </c>
      <c r="D92" s="21">
        <v>456000</v>
      </c>
      <c r="E92" s="29">
        <v>34002</v>
      </c>
      <c r="F92" s="29">
        <v>4116</v>
      </c>
    </row>
    <row r="93" spans="1:6" s="2" customFormat="1" x14ac:dyDescent="0.25">
      <c r="A93" s="25">
        <v>41915</v>
      </c>
      <c r="B93" s="107" t="s">
        <v>232</v>
      </c>
      <c r="C93" s="20">
        <v>1880</v>
      </c>
      <c r="D93" s="21">
        <v>1880000</v>
      </c>
      <c r="E93" s="29">
        <v>34054</v>
      </c>
      <c r="F93" s="29">
        <v>4116</v>
      </c>
    </row>
    <row r="94" spans="1:6" s="2" customFormat="1" x14ac:dyDescent="0.25">
      <c r="A94" s="25">
        <v>41915</v>
      </c>
      <c r="B94" s="107" t="s">
        <v>233</v>
      </c>
      <c r="C94" s="20">
        <v>1446</v>
      </c>
      <c r="D94" s="21">
        <v>1446000</v>
      </c>
      <c r="E94" s="29">
        <v>34002</v>
      </c>
      <c r="F94" s="29">
        <v>4116</v>
      </c>
    </row>
    <row r="95" spans="1:6" s="2" customFormat="1" x14ac:dyDescent="0.25">
      <c r="A95" s="25">
        <v>41928</v>
      </c>
      <c r="B95" s="107" t="s">
        <v>231</v>
      </c>
      <c r="C95" s="20">
        <v>350</v>
      </c>
      <c r="D95" s="21">
        <v>350000</v>
      </c>
      <c r="E95" s="29">
        <v>34070</v>
      </c>
      <c r="F95" s="29">
        <v>4116</v>
      </c>
    </row>
    <row r="96" spans="1:6" s="2" customFormat="1" x14ac:dyDescent="0.25">
      <c r="A96" s="25">
        <v>41942</v>
      </c>
      <c r="B96" s="107" t="s">
        <v>249</v>
      </c>
      <c r="C96" s="20">
        <v>80</v>
      </c>
      <c r="D96" s="21">
        <v>80000</v>
      </c>
      <c r="E96" s="29">
        <v>34070</v>
      </c>
      <c r="F96" s="29">
        <v>4116</v>
      </c>
    </row>
    <row r="97" spans="1:8" s="2" customFormat="1" x14ac:dyDescent="0.25">
      <c r="A97" s="25">
        <v>41955</v>
      </c>
      <c r="B97" s="107" t="s">
        <v>176</v>
      </c>
      <c r="C97" s="20">
        <v>90</v>
      </c>
      <c r="D97" s="21">
        <v>90000</v>
      </c>
      <c r="E97" s="29">
        <v>34352</v>
      </c>
      <c r="F97" s="29">
        <v>4116</v>
      </c>
    </row>
    <row r="98" spans="1:8" s="2" customFormat="1" x14ac:dyDescent="0.25">
      <c r="A98" s="25">
        <v>41955</v>
      </c>
      <c r="B98" s="107" t="s">
        <v>164</v>
      </c>
      <c r="C98" s="20">
        <v>845</v>
      </c>
      <c r="D98" s="21">
        <v>845000</v>
      </c>
      <c r="E98" s="29">
        <v>34352</v>
      </c>
      <c r="F98" s="29">
        <v>4116</v>
      </c>
    </row>
    <row r="99" spans="1:8" s="2" customFormat="1" x14ac:dyDescent="0.25">
      <c r="A99" s="25">
        <v>41955</v>
      </c>
      <c r="B99" s="107" t="s">
        <v>165</v>
      </c>
      <c r="C99" s="20">
        <v>330</v>
      </c>
      <c r="D99" s="20">
        <v>330000</v>
      </c>
      <c r="E99" s="29">
        <v>34352</v>
      </c>
      <c r="F99" s="29">
        <v>4116</v>
      </c>
    </row>
    <row r="100" spans="1:8" s="2" customFormat="1" x14ac:dyDescent="0.25">
      <c r="A100" s="25">
        <v>41964</v>
      </c>
      <c r="B100" s="107" t="s">
        <v>271</v>
      </c>
      <c r="C100" s="20">
        <v>160</v>
      </c>
      <c r="D100" s="20">
        <v>160000</v>
      </c>
      <c r="E100" s="29">
        <v>34352</v>
      </c>
      <c r="F100" s="29">
        <v>4116</v>
      </c>
    </row>
    <row r="101" spans="1:8" s="2" customFormat="1" x14ac:dyDescent="0.25">
      <c r="A101" s="25">
        <v>41964</v>
      </c>
      <c r="B101" s="107" t="s">
        <v>270</v>
      </c>
      <c r="C101" s="20">
        <v>1050</v>
      </c>
      <c r="D101" s="20">
        <v>1050000</v>
      </c>
      <c r="E101" s="29">
        <v>34070</v>
      </c>
      <c r="F101" s="29">
        <v>4116</v>
      </c>
    </row>
    <row r="102" spans="1:8" s="2" customFormat="1" x14ac:dyDescent="0.25">
      <c r="A102" s="25">
        <v>41977</v>
      </c>
      <c r="B102" s="107" t="s">
        <v>288</v>
      </c>
      <c r="C102" s="20">
        <v>330</v>
      </c>
      <c r="D102" s="20">
        <v>330000</v>
      </c>
      <c r="E102" s="29">
        <v>34352</v>
      </c>
      <c r="F102" s="29">
        <v>4116</v>
      </c>
    </row>
    <row r="103" spans="1:8" s="2" customFormat="1" x14ac:dyDescent="0.25">
      <c r="A103" s="25"/>
      <c r="B103" s="107" t="s">
        <v>177</v>
      </c>
      <c r="C103" s="20">
        <f>470+70</f>
        <v>540</v>
      </c>
      <c r="D103" s="21">
        <f>470000+70000</f>
        <v>540000</v>
      </c>
      <c r="E103" s="29">
        <v>34352</v>
      </c>
      <c r="F103" s="29">
        <v>4116</v>
      </c>
    </row>
    <row r="104" spans="1:8" x14ac:dyDescent="0.25">
      <c r="A104" s="50"/>
      <c r="B104" s="107"/>
      <c r="C104" s="115"/>
      <c r="D104" s="21"/>
      <c r="E104" s="51"/>
      <c r="F104" s="51"/>
      <c r="G104" s="2"/>
      <c r="H104" s="2"/>
    </row>
    <row r="105" spans="1:8" s="2" customFormat="1" x14ac:dyDescent="0.25">
      <c r="A105" s="25"/>
      <c r="B105" s="38" t="s">
        <v>37</v>
      </c>
      <c r="C105" s="39">
        <f>SUM(C106:C117)</f>
        <v>25963.518090000001</v>
      </c>
      <c r="D105" s="40">
        <f>SUM(D106:D117)</f>
        <v>25963518.090000004</v>
      </c>
      <c r="E105" s="29"/>
      <c r="F105" s="36"/>
    </row>
    <row r="106" spans="1:8" s="2" customFormat="1" x14ac:dyDescent="0.25">
      <c r="A106" s="25">
        <v>41696</v>
      </c>
      <c r="B106" s="107" t="s">
        <v>73</v>
      </c>
      <c r="C106" s="52">
        <v>477.3768</v>
      </c>
      <c r="D106" s="53">
        <v>477376.8</v>
      </c>
      <c r="E106" s="29">
        <v>33123</v>
      </c>
      <c r="F106" s="36" t="s">
        <v>20</v>
      </c>
    </row>
    <row r="107" spans="1:8" s="2" customFormat="1" x14ac:dyDescent="0.25">
      <c r="A107" s="25">
        <v>41697</v>
      </c>
      <c r="B107" s="107" t="s">
        <v>74</v>
      </c>
      <c r="C107" s="52">
        <v>67.2</v>
      </c>
      <c r="D107" s="55">
        <v>67200</v>
      </c>
      <c r="E107" s="29">
        <v>33122</v>
      </c>
      <c r="F107" s="36">
        <v>4116</v>
      </c>
    </row>
    <row r="108" spans="1:8" s="2" customFormat="1" x14ac:dyDescent="0.25">
      <c r="A108" s="25">
        <v>41716</v>
      </c>
      <c r="B108" s="163" t="s">
        <v>354</v>
      </c>
      <c r="C108" s="52">
        <v>108.288</v>
      </c>
      <c r="D108" s="55">
        <v>108288</v>
      </c>
      <c r="E108" s="29">
        <v>33019</v>
      </c>
      <c r="F108" s="36">
        <v>4116</v>
      </c>
    </row>
    <row r="109" spans="1:8" s="2" customFormat="1" x14ac:dyDescent="0.25">
      <c r="A109" s="25">
        <v>41773</v>
      </c>
      <c r="B109" s="107" t="s">
        <v>159</v>
      </c>
      <c r="C109" s="52">
        <v>30</v>
      </c>
      <c r="D109" s="114">
        <v>30000</v>
      </c>
      <c r="E109" s="29">
        <v>33246</v>
      </c>
      <c r="F109" s="36">
        <v>4116</v>
      </c>
    </row>
    <row r="110" spans="1:8" s="2" customFormat="1" x14ac:dyDescent="0.25">
      <c r="A110" s="25">
        <v>41792</v>
      </c>
      <c r="B110" s="24" t="s">
        <v>118</v>
      </c>
      <c r="C110" s="52">
        <v>700.51199999999994</v>
      </c>
      <c r="D110" s="55">
        <v>700512</v>
      </c>
      <c r="E110" s="28">
        <v>33123</v>
      </c>
      <c r="F110" s="36">
        <v>4116</v>
      </c>
    </row>
    <row r="111" spans="1:8" s="2" customFormat="1" x14ac:dyDescent="0.25">
      <c r="A111" s="25">
        <v>41858</v>
      </c>
      <c r="B111" s="24" t="s">
        <v>188</v>
      </c>
      <c r="C111" s="53">
        <v>11999.833000000001</v>
      </c>
      <c r="D111" s="55">
        <f>10199858.05+1799974.95</f>
        <v>11999833</v>
      </c>
      <c r="E111" s="28">
        <v>33019</v>
      </c>
      <c r="F111" s="36">
        <v>4116</v>
      </c>
    </row>
    <row r="112" spans="1:8" s="2" customFormat="1" x14ac:dyDescent="0.25">
      <c r="A112" s="25">
        <v>41871</v>
      </c>
      <c r="B112" s="24" t="s">
        <v>196</v>
      </c>
      <c r="C112" s="53">
        <v>2673.1238199999998</v>
      </c>
      <c r="D112" s="55">
        <f>2272155.24+400968.58</f>
        <v>2673123.8200000003</v>
      </c>
      <c r="E112" s="28">
        <v>33019</v>
      </c>
      <c r="F112" s="36">
        <v>4116</v>
      </c>
    </row>
    <row r="113" spans="1:6" s="2" customFormat="1" x14ac:dyDescent="0.25">
      <c r="A113" s="25">
        <v>41877</v>
      </c>
      <c r="B113" s="24" t="s">
        <v>197</v>
      </c>
      <c r="C113" s="53">
        <v>1863.2159999999999</v>
      </c>
      <c r="D113" s="55">
        <v>1863216</v>
      </c>
      <c r="E113" s="28">
        <v>33019</v>
      </c>
      <c r="F113" s="36">
        <v>4116</v>
      </c>
    </row>
    <row r="114" spans="1:6" s="2" customFormat="1" x14ac:dyDescent="0.25">
      <c r="A114" s="25">
        <v>41964</v>
      </c>
      <c r="B114" s="24" t="s">
        <v>272</v>
      </c>
      <c r="C114" s="53">
        <v>2042.6949999999999</v>
      </c>
      <c r="D114" s="55">
        <f>1736290.74+306404.26</f>
        <v>2042695</v>
      </c>
      <c r="E114" s="28">
        <v>33019</v>
      </c>
      <c r="F114" s="36">
        <v>4116</v>
      </c>
    </row>
    <row r="115" spans="1:6" s="2" customFormat="1" x14ac:dyDescent="0.25">
      <c r="A115" s="25">
        <v>41981</v>
      </c>
      <c r="B115" s="24" t="s">
        <v>196</v>
      </c>
      <c r="C115" s="53">
        <v>1857.6276399999999</v>
      </c>
      <c r="D115" s="55">
        <v>1857627.64</v>
      </c>
      <c r="E115" s="28">
        <v>33019</v>
      </c>
      <c r="F115" s="36">
        <v>4116</v>
      </c>
    </row>
    <row r="116" spans="1:6" s="2" customFormat="1" x14ac:dyDescent="0.25">
      <c r="A116" s="25">
        <v>41990</v>
      </c>
      <c r="B116" s="24" t="s">
        <v>188</v>
      </c>
      <c r="C116" s="53">
        <v>4143.6458300000004</v>
      </c>
      <c r="D116" s="55">
        <v>4143645.83</v>
      </c>
      <c r="E116" s="28">
        <v>33019</v>
      </c>
      <c r="F116" s="36">
        <v>4116</v>
      </c>
    </row>
    <row r="117" spans="1:6" s="2" customFormat="1" x14ac:dyDescent="0.25">
      <c r="A117" s="25"/>
      <c r="B117" s="54"/>
      <c r="C117" s="47"/>
      <c r="D117" s="55"/>
      <c r="E117" s="28"/>
      <c r="F117" s="36"/>
    </row>
    <row r="118" spans="1:6" s="2" customFormat="1" x14ac:dyDescent="0.25">
      <c r="A118" s="25"/>
      <c r="B118" s="13" t="s">
        <v>38</v>
      </c>
      <c r="C118" s="30">
        <f>+SUM(C119:C122)</f>
        <v>5126.6240000000007</v>
      </c>
      <c r="D118" s="31">
        <f>+SUM(D119:D122)</f>
        <v>5126624</v>
      </c>
      <c r="E118" s="28"/>
      <c r="F118" s="29"/>
    </row>
    <row r="119" spans="1:6" s="2" customFormat="1" x14ac:dyDescent="0.25">
      <c r="A119" s="25">
        <v>41705</v>
      </c>
      <c r="B119" s="107" t="s">
        <v>78</v>
      </c>
      <c r="C119" s="52">
        <v>626.42600000000004</v>
      </c>
      <c r="D119" s="53">
        <v>626426</v>
      </c>
      <c r="E119" s="28">
        <v>17003</v>
      </c>
      <c r="F119" s="29" t="s">
        <v>20</v>
      </c>
    </row>
    <row r="120" spans="1:6" s="2" customFormat="1" x14ac:dyDescent="0.25">
      <c r="A120" s="25"/>
      <c r="B120" s="107" t="s">
        <v>332</v>
      </c>
      <c r="C120" s="52">
        <v>3500</v>
      </c>
      <c r="D120" s="53">
        <v>3500000</v>
      </c>
      <c r="E120" s="28">
        <v>17005</v>
      </c>
      <c r="F120" s="29">
        <v>4116</v>
      </c>
    </row>
    <row r="121" spans="1:6" s="2" customFormat="1" x14ac:dyDescent="0.25">
      <c r="A121" s="25"/>
      <c r="B121" s="107" t="s">
        <v>237</v>
      </c>
      <c r="C121" s="52">
        <v>1000.198</v>
      </c>
      <c r="D121" s="53">
        <v>1000198</v>
      </c>
      <c r="E121" s="28">
        <v>17005</v>
      </c>
      <c r="F121" s="29">
        <v>4116</v>
      </c>
    </row>
    <row r="122" spans="1:6" s="2" customFormat="1" x14ac:dyDescent="0.25">
      <c r="A122" s="25"/>
      <c r="B122" s="57"/>
      <c r="C122" s="52"/>
      <c r="D122" s="53"/>
      <c r="E122" s="28"/>
      <c r="F122" s="29"/>
    </row>
    <row r="123" spans="1:6" s="2" customFormat="1" x14ac:dyDescent="0.25">
      <c r="A123" s="25"/>
      <c r="B123" s="30" t="s">
        <v>39</v>
      </c>
      <c r="C123" s="30">
        <f>+SUM(C124:C137)</f>
        <v>88569.185320000019</v>
      </c>
      <c r="D123" s="31">
        <f>+SUM(D124:D137)</f>
        <v>88569181.11999999</v>
      </c>
      <c r="E123" s="28"/>
      <c r="F123" s="29"/>
    </row>
    <row r="124" spans="1:6" s="2" customFormat="1" x14ac:dyDescent="0.25">
      <c r="A124" s="25">
        <v>41722</v>
      </c>
      <c r="B124" s="19" t="s">
        <v>86</v>
      </c>
      <c r="C124" s="20">
        <v>16575.733</v>
      </c>
      <c r="D124" s="53">
        <v>16575733</v>
      </c>
      <c r="E124" s="28">
        <v>13011</v>
      </c>
      <c r="F124" s="29">
        <v>4116</v>
      </c>
    </row>
    <row r="125" spans="1:6" s="2" customFormat="1" x14ac:dyDescent="0.25">
      <c r="A125" s="25">
        <v>41737</v>
      </c>
      <c r="B125" s="19" t="s">
        <v>93</v>
      </c>
      <c r="C125" s="20">
        <v>5266</v>
      </c>
      <c r="D125" s="53">
        <v>5266000</v>
      </c>
      <c r="E125" s="28">
        <v>13305</v>
      </c>
      <c r="F125" s="29">
        <v>4116</v>
      </c>
    </row>
    <row r="126" spans="1:6" s="2" customFormat="1" x14ac:dyDescent="0.25">
      <c r="A126" s="25">
        <v>41813</v>
      </c>
      <c r="B126" s="19" t="s">
        <v>93</v>
      </c>
      <c r="C126" s="20">
        <v>3949.5</v>
      </c>
      <c r="D126" s="53">
        <v>3949500</v>
      </c>
      <c r="E126" s="28">
        <v>13305</v>
      </c>
      <c r="F126" s="29">
        <v>4116</v>
      </c>
    </row>
    <row r="127" spans="1:6" s="2" customFormat="1" x14ac:dyDescent="0.25">
      <c r="A127" s="25">
        <v>41834</v>
      </c>
      <c r="B127" s="19" t="s">
        <v>86</v>
      </c>
      <c r="C127" s="20">
        <v>19604.287</v>
      </c>
      <c r="D127" s="53">
        <v>19604287</v>
      </c>
      <c r="E127" s="28">
        <v>13011</v>
      </c>
      <c r="F127" s="29">
        <v>4116</v>
      </c>
    </row>
    <row r="128" spans="1:6" s="2" customFormat="1" ht="31.5" x14ac:dyDescent="0.25">
      <c r="A128" s="25">
        <v>41857</v>
      </c>
      <c r="B128" s="164" t="s">
        <v>191</v>
      </c>
      <c r="C128" s="20">
        <v>5207.2613099999999</v>
      </c>
      <c r="D128" s="53">
        <v>5207261.3099999996</v>
      </c>
      <c r="E128" s="28">
        <v>13011</v>
      </c>
      <c r="F128" s="29">
        <v>4116</v>
      </c>
    </row>
    <row r="129" spans="1:8" s="2" customFormat="1" x14ac:dyDescent="0.25">
      <c r="A129" s="25">
        <v>41914</v>
      </c>
      <c r="B129" s="19" t="s">
        <v>93</v>
      </c>
      <c r="C129" s="20">
        <v>3949.5</v>
      </c>
      <c r="D129" s="53">
        <v>3949500</v>
      </c>
      <c r="E129" s="28">
        <v>13305</v>
      </c>
      <c r="F129" s="29">
        <v>4116</v>
      </c>
    </row>
    <row r="130" spans="1:8" s="2" customFormat="1" x14ac:dyDescent="0.25">
      <c r="A130" s="25">
        <v>41914</v>
      </c>
      <c r="B130" s="19" t="s">
        <v>230</v>
      </c>
      <c r="C130" s="20">
        <v>22777.8</v>
      </c>
      <c r="D130" s="53">
        <v>22777800</v>
      </c>
      <c r="E130" s="28">
        <v>13305</v>
      </c>
      <c r="F130" s="29">
        <v>4116</v>
      </c>
    </row>
    <row r="131" spans="1:8" s="2" customFormat="1" x14ac:dyDescent="0.25">
      <c r="A131" s="25">
        <v>41989</v>
      </c>
      <c r="B131" s="19" t="s">
        <v>93</v>
      </c>
      <c r="C131" s="20">
        <v>115.7</v>
      </c>
      <c r="D131" s="53">
        <v>115700</v>
      </c>
      <c r="E131" s="28">
        <v>13305</v>
      </c>
      <c r="F131" s="29">
        <v>4116</v>
      </c>
    </row>
    <row r="132" spans="1:8" s="2" customFormat="1" x14ac:dyDescent="0.25">
      <c r="A132" s="25">
        <v>41989</v>
      </c>
      <c r="B132" s="19" t="s">
        <v>230</v>
      </c>
      <c r="C132" s="20">
        <v>4767</v>
      </c>
      <c r="D132" s="53">
        <v>4767000</v>
      </c>
      <c r="E132" s="28">
        <v>13305</v>
      </c>
      <c r="F132" s="29">
        <v>4116</v>
      </c>
    </row>
    <row r="133" spans="1:8" s="2" customFormat="1" x14ac:dyDescent="0.25">
      <c r="A133" s="25"/>
      <c r="B133" s="19" t="s">
        <v>225</v>
      </c>
      <c r="C133" s="20">
        <f>1293.3+263.8</f>
        <v>1557.1</v>
      </c>
      <c r="D133" s="53">
        <f>1293300+263800</f>
        <v>1557100</v>
      </c>
      <c r="E133" s="28">
        <v>13305</v>
      </c>
      <c r="F133" s="29">
        <v>4116</v>
      </c>
    </row>
    <row r="134" spans="1:8" s="2" customFormat="1" x14ac:dyDescent="0.25">
      <c r="A134" s="25"/>
      <c r="B134" s="19" t="s">
        <v>41</v>
      </c>
      <c r="C134" s="20">
        <v>2572.98</v>
      </c>
      <c r="D134" s="53">
        <f>1203617.34+63348.29+1240709.66+65300.51</f>
        <v>2572975.7999999998</v>
      </c>
      <c r="E134" s="28">
        <v>13233</v>
      </c>
      <c r="F134" s="29">
        <v>4116</v>
      </c>
    </row>
    <row r="135" spans="1:8" s="2" customFormat="1" x14ac:dyDescent="0.25">
      <c r="A135" s="25"/>
      <c r="B135" s="19" t="s">
        <v>42</v>
      </c>
      <c r="C135" s="20">
        <v>330.40613999999999</v>
      </c>
      <c r="D135" s="53">
        <f>84165.53+92536.49+130648.5+23055.62</f>
        <v>330406.14</v>
      </c>
      <c r="E135" s="28">
        <v>13233</v>
      </c>
      <c r="F135" s="29">
        <v>4116</v>
      </c>
    </row>
    <row r="136" spans="1:8" s="2" customFormat="1" x14ac:dyDescent="0.25">
      <c r="A136" s="25"/>
      <c r="B136" s="19" t="s">
        <v>160</v>
      </c>
      <c r="C136" s="52">
        <f>1163.76986-62.01137</f>
        <v>1101.7584900000002</v>
      </c>
      <c r="D136" s="53">
        <f>1163769.86-62011.37</f>
        <v>1101758.49</v>
      </c>
      <c r="E136" s="28">
        <v>13233</v>
      </c>
      <c r="F136" s="29">
        <v>4116</v>
      </c>
    </row>
    <row r="137" spans="1:8" s="2" customFormat="1" x14ac:dyDescent="0.25">
      <c r="A137" s="25"/>
      <c r="B137" s="23" t="s">
        <v>190</v>
      </c>
      <c r="C137" s="52">
        <f>473.776+320.38338</f>
        <v>794.15938000000006</v>
      </c>
      <c r="D137" s="53">
        <f>473776+320383.38</f>
        <v>794159.38</v>
      </c>
      <c r="E137" s="28">
        <v>13233</v>
      </c>
      <c r="F137" s="29">
        <v>4116</v>
      </c>
    </row>
    <row r="138" spans="1:8" x14ac:dyDescent="0.25">
      <c r="A138" s="50"/>
      <c r="B138" s="58"/>
      <c r="C138" s="46"/>
      <c r="D138" s="56"/>
      <c r="E138" s="60"/>
      <c r="F138" s="51"/>
      <c r="G138" s="2"/>
      <c r="H138" s="2"/>
    </row>
    <row r="139" spans="1:8" s="2" customFormat="1" x14ac:dyDescent="0.25">
      <c r="A139" s="25"/>
      <c r="B139" s="13" t="s">
        <v>43</v>
      </c>
      <c r="C139" s="30">
        <f>+C140</f>
        <v>600</v>
      </c>
      <c r="D139" s="31">
        <f>+D140</f>
        <v>600000</v>
      </c>
      <c r="E139" s="28"/>
      <c r="F139" s="29"/>
    </row>
    <row r="140" spans="1:8" s="2" customFormat="1" x14ac:dyDescent="0.25">
      <c r="A140" s="25">
        <v>41675</v>
      </c>
      <c r="B140" s="19" t="s">
        <v>44</v>
      </c>
      <c r="C140" s="46">
        <v>600</v>
      </c>
      <c r="D140" s="47">
        <v>600000</v>
      </c>
      <c r="E140" s="28">
        <v>22005</v>
      </c>
      <c r="F140" s="29" t="s">
        <v>20</v>
      </c>
    </row>
    <row r="141" spans="1:8" x14ac:dyDescent="0.25">
      <c r="A141" s="50"/>
      <c r="B141" s="61"/>
      <c r="C141" s="46"/>
      <c r="D141" s="56"/>
      <c r="E141" s="60"/>
      <c r="F141" s="51"/>
      <c r="G141" s="2"/>
      <c r="H141" s="2"/>
    </row>
    <row r="142" spans="1:8" s="2" customFormat="1" x14ac:dyDescent="0.25">
      <c r="A142" s="25"/>
      <c r="B142" s="13" t="s">
        <v>45</v>
      </c>
      <c r="C142" s="30">
        <f>SUM(C143:C154)</f>
        <v>3833.8881000000006</v>
      </c>
      <c r="D142" s="31">
        <f>SUM(D143:D154)</f>
        <v>3833888.1</v>
      </c>
      <c r="E142" s="28"/>
      <c r="F142" s="29"/>
    </row>
    <row r="143" spans="1:8" s="2" customFormat="1" x14ac:dyDescent="0.25">
      <c r="A143" s="25">
        <v>41737</v>
      </c>
      <c r="B143" s="24" t="s">
        <v>131</v>
      </c>
      <c r="C143" s="46">
        <v>72</v>
      </c>
      <c r="D143" s="47">
        <v>72000</v>
      </c>
      <c r="E143" s="28">
        <v>14336</v>
      </c>
      <c r="F143" s="29">
        <v>4116</v>
      </c>
    </row>
    <row r="144" spans="1:8" s="2" customFormat="1" ht="31.5" x14ac:dyDescent="0.25">
      <c r="A144" s="25">
        <v>41745</v>
      </c>
      <c r="B144" s="165" t="s">
        <v>355</v>
      </c>
      <c r="C144" s="46">
        <v>1972.26846</v>
      </c>
      <c r="D144" s="47">
        <v>1972268.46</v>
      </c>
      <c r="E144" s="28">
        <v>14013</v>
      </c>
      <c r="F144" s="29">
        <v>4116</v>
      </c>
    </row>
    <row r="145" spans="1:6" s="2" customFormat="1" x14ac:dyDescent="0.25">
      <c r="A145" s="25">
        <v>41766</v>
      </c>
      <c r="B145" s="24" t="s">
        <v>106</v>
      </c>
      <c r="C145" s="46">
        <v>66</v>
      </c>
      <c r="D145" s="47">
        <v>66000</v>
      </c>
      <c r="E145" s="28">
        <v>14336</v>
      </c>
      <c r="F145" s="29">
        <v>4116</v>
      </c>
    </row>
    <row r="146" spans="1:6" s="2" customFormat="1" x14ac:dyDescent="0.25">
      <c r="A146" s="25">
        <v>41788</v>
      </c>
      <c r="B146" s="24" t="s">
        <v>144</v>
      </c>
      <c r="C146" s="46">
        <v>523</v>
      </c>
      <c r="D146" s="47">
        <v>523000</v>
      </c>
      <c r="E146" s="28">
        <v>14018</v>
      </c>
      <c r="F146" s="29">
        <v>4116</v>
      </c>
    </row>
    <row r="147" spans="1:6" s="2" customFormat="1" x14ac:dyDescent="0.25">
      <c r="A147" s="25">
        <v>41814</v>
      </c>
      <c r="B147" s="24" t="s">
        <v>130</v>
      </c>
      <c r="C147" s="46">
        <v>54</v>
      </c>
      <c r="D147" s="47">
        <v>54000</v>
      </c>
      <c r="E147" s="28">
        <v>14336</v>
      </c>
      <c r="F147" s="29">
        <v>4116</v>
      </c>
    </row>
    <row r="148" spans="1:6" s="2" customFormat="1" x14ac:dyDescent="0.25">
      <c r="A148" s="25">
        <v>41821</v>
      </c>
      <c r="B148" s="24" t="s">
        <v>163</v>
      </c>
      <c r="C148" s="46">
        <v>701.08527000000004</v>
      </c>
      <c r="D148" s="47">
        <v>701085.27</v>
      </c>
      <c r="E148" s="28">
        <v>14013</v>
      </c>
      <c r="F148" s="29">
        <v>4116</v>
      </c>
    </row>
    <row r="149" spans="1:6" s="2" customFormat="1" x14ac:dyDescent="0.25">
      <c r="A149" s="25">
        <v>41927</v>
      </c>
      <c r="B149" s="24" t="s">
        <v>163</v>
      </c>
      <c r="C149" s="46">
        <v>270.87736999999998</v>
      </c>
      <c r="D149" s="47">
        <v>270877.37</v>
      </c>
      <c r="E149" s="28">
        <v>14013</v>
      </c>
      <c r="F149" s="29">
        <v>4116</v>
      </c>
    </row>
    <row r="150" spans="1:6" s="2" customFormat="1" x14ac:dyDescent="0.25">
      <c r="A150" s="25">
        <v>41921</v>
      </c>
      <c r="B150" s="24" t="s">
        <v>234</v>
      </c>
      <c r="C150" s="46">
        <v>36</v>
      </c>
      <c r="D150" s="47">
        <v>36000</v>
      </c>
      <c r="E150" s="28">
        <v>14336</v>
      </c>
      <c r="F150" s="29">
        <v>4116</v>
      </c>
    </row>
    <row r="151" spans="1:6" s="2" customFormat="1" x14ac:dyDescent="0.25">
      <c r="A151" s="25">
        <v>41975</v>
      </c>
      <c r="B151" s="24" t="s">
        <v>286</v>
      </c>
      <c r="C151" s="46">
        <v>58.351999999999997</v>
      </c>
      <c r="D151" s="47">
        <v>58352</v>
      </c>
      <c r="E151" s="28">
        <v>14023</v>
      </c>
      <c r="F151" s="29">
        <v>4116</v>
      </c>
    </row>
    <row r="152" spans="1:6" s="2" customFormat="1" x14ac:dyDescent="0.25">
      <c r="A152" s="25">
        <v>41985</v>
      </c>
      <c r="B152" s="171" t="s">
        <v>289</v>
      </c>
      <c r="C152" s="46">
        <v>-5.4960000000000004</v>
      </c>
      <c r="D152" s="47">
        <v>-5496</v>
      </c>
      <c r="E152" s="28">
        <v>14018</v>
      </c>
      <c r="F152" s="29">
        <v>4116</v>
      </c>
    </row>
    <row r="153" spans="1:6" s="2" customFormat="1" x14ac:dyDescent="0.25">
      <c r="A153" s="25">
        <v>41995</v>
      </c>
      <c r="B153" s="171" t="s">
        <v>286</v>
      </c>
      <c r="C153" s="46">
        <v>63.673000000000002</v>
      </c>
      <c r="D153" s="47">
        <v>63673</v>
      </c>
      <c r="E153" s="28">
        <v>14023</v>
      </c>
      <c r="F153" s="29">
        <v>4116</v>
      </c>
    </row>
    <row r="154" spans="1:6" s="2" customFormat="1" x14ac:dyDescent="0.25">
      <c r="A154" s="25"/>
      <c r="B154" s="171" t="s">
        <v>343</v>
      </c>
      <c r="C154" s="46">
        <f>5.328+4.216+5.976+6.608</f>
        <v>22.128</v>
      </c>
      <c r="D154" s="47">
        <f>5328+4216+5976+6608</f>
        <v>22128</v>
      </c>
      <c r="E154" s="28">
        <v>14137</v>
      </c>
      <c r="F154" s="29">
        <v>4116</v>
      </c>
    </row>
    <row r="155" spans="1:6" s="2" customFormat="1" x14ac:dyDescent="0.25">
      <c r="A155" s="25"/>
      <c r="B155" s="19"/>
      <c r="C155" s="116"/>
      <c r="D155" s="47"/>
      <c r="E155" s="28"/>
      <c r="F155" s="48"/>
    </row>
    <row r="156" spans="1:6" s="2" customFormat="1" x14ac:dyDescent="0.25">
      <c r="A156" s="25"/>
      <c r="B156" s="13" t="s">
        <v>46</v>
      </c>
      <c r="C156" s="30">
        <f>+SUM(C157:C171)</f>
        <v>591.61800000000005</v>
      </c>
      <c r="D156" s="30">
        <f>+SUM(D157:D171)</f>
        <v>591618</v>
      </c>
      <c r="E156" s="28"/>
      <c r="F156" s="48"/>
    </row>
    <row r="157" spans="1:6" s="2" customFormat="1" x14ac:dyDescent="0.25">
      <c r="A157" s="25">
        <v>41788</v>
      </c>
      <c r="B157" s="24" t="s">
        <v>241</v>
      </c>
      <c r="C157" s="46">
        <v>11.6875</v>
      </c>
      <c r="D157" s="47">
        <v>11687.5</v>
      </c>
      <c r="E157" s="28">
        <v>35019</v>
      </c>
      <c r="F157" s="48">
        <v>4116</v>
      </c>
    </row>
    <row r="158" spans="1:6" s="2" customFormat="1" x14ac:dyDescent="0.25">
      <c r="A158" s="25">
        <v>41788</v>
      </c>
      <c r="B158" s="24" t="s">
        <v>242</v>
      </c>
      <c r="C158" s="46">
        <v>19.325500000000002</v>
      </c>
      <c r="D158" s="47">
        <f>38651/2</f>
        <v>19325.5</v>
      </c>
      <c r="E158" s="28">
        <v>35019</v>
      </c>
      <c r="F158" s="48">
        <v>4116</v>
      </c>
    </row>
    <row r="159" spans="1:6" s="2" customFormat="1" x14ac:dyDescent="0.25">
      <c r="A159" s="25">
        <v>41788</v>
      </c>
      <c r="B159" s="24" t="s">
        <v>243</v>
      </c>
      <c r="C159" s="46">
        <v>185.5215</v>
      </c>
      <c r="D159" s="47">
        <f>371043/2</f>
        <v>185521.5</v>
      </c>
      <c r="E159" s="28">
        <v>35019</v>
      </c>
      <c r="F159" s="48">
        <v>4116</v>
      </c>
    </row>
    <row r="160" spans="1:6" s="2" customFormat="1" x14ac:dyDescent="0.25">
      <c r="A160" s="25">
        <v>41794</v>
      </c>
      <c r="B160" s="166" t="s">
        <v>244</v>
      </c>
      <c r="C160" s="46">
        <v>5</v>
      </c>
      <c r="D160" s="47">
        <v>5000</v>
      </c>
      <c r="E160" s="28">
        <v>35019</v>
      </c>
      <c r="F160" s="48">
        <v>4116</v>
      </c>
    </row>
    <row r="161" spans="1:6" s="2" customFormat="1" x14ac:dyDescent="0.25">
      <c r="A161" s="25">
        <v>41794</v>
      </c>
      <c r="B161" s="24" t="s">
        <v>241</v>
      </c>
      <c r="C161" s="46">
        <v>8.5719999999999992</v>
      </c>
      <c r="D161" s="47">
        <v>8572</v>
      </c>
      <c r="E161" s="28">
        <v>35019</v>
      </c>
      <c r="F161" s="48">
        <v>4116</v>
      </c>
    </row>
    <row r="162" spans="1:6" s="2" customFormat="1" x14ac:dyDescent="0.25">
      <c r="A162" s="25">
        <v>41794</v>
      </c>
      <c r="B162" s="24" t="s">
        <v>243</v>
      </c>
      <c r="C162" s="46">
        <v>14.285500000000001</v>
      </c>
      <c r="D162" s="47">
        <v>14285.5</v>
      </c>
      <c r="E162" s="28">
        <v>35019</v>
      </c>
      <c r="F162" s="48">
        <v>4116</v>
      </c>
    </row>
    <row r="163" spans="1:6" s="2" customFormat="1" x14ac:dyDescent="0.25">
      <c r="A163" s="25">
        <v>41913</v>
      </c>
      <c r="B163" s="24" t="s">
        <v>241</v>
      </c>
      <c r="C163" s="46">
        <v>11.6875</v>
      </c>
      <c r="D163" s="47">
        <v>11687.5</v>
      </c>
      <c r="E163" s="28">
        <v>35019</v>
      </c>
      <c r="F163" s="48">
        <v>4116</v>
      </c>
    </row>
    <row r="164" spans="1:6" s="2" customFormat="1" x14ac:dyDescent="0.25">
      <c r="A164" s="25">
        <v>41913</v>
      </c>
      <c r="B164" s="24" t="s">
        <v>242</v>
      </c>
      <c r="C164" s="46">
        <v>19.325500000000002</v>
      </c>
      <c r="D164" s="47">
        <f>38651/2</f>
        <v>19325.5</v>
      </c>
      <c r="E164" s="28">
        <v>35019</v>
      </c>
      <c r="F164" s="48">
        <v>4116</v>
      </c>
    </row>
    <row r="165" spans="1:6" s="2" customFormat="1" x14ac:dyDescent="0.25">
      <c r="A165" s="25">
        <v>41913</v>
      </c>
      <c r="B165" s="24" t="s">
        <v>243</v>
      </c>
      <c r="C165" s="46">
        <v>185.5215</v>
      </c>
      <c r="D165" s="47">
        <f>371043/2</f>
        <v>185521.5</v>
      </c>
      <c r="E165" s="28">
        <v>35019</v>
      </c>
      <c r="F165" s="48">
        <v>4116</v>
      </c>
    </row>
    <row r="166" spans="1:6" s="2" customFormat="1" x14ac:dyDescent="0.25">
      <c r="A166" s="25">
        <v>41914</v>
      </c>
      <c r="B166" s="166" t="s">
        <v>244</v>
      </c>
      <c r="C166" s="46">
        <v>5</v>
      </c>
      <c r="D166" s="47">
        <v>5000</v>
      </c>
      <c r="E166" s="28">
        <v>35019</v>
      </c>
      <c r="F166" s="48">
        <v>4116</v>
      </c>
    </row>
    <row r="167" spans="1:6" s="2" customFormat="1" x14ac:dyDescent="0.25">
      <c r="A167" s="25">
        <v>41914</v>
      </c>
      <c r="B167" s="24" t="s">
        <v>241</v>
      </c>
      <c r="C167" s="46">
        <v>8.5719999999999992</v>
      </c>
      <c r="D167" s="47">
        <v>8572</v>
      </c>
      <c r="E167" s="28">
        <v>35019</v>
      </c>
      <c r="F167" s="48">
        <v>4116</v>
      </c>
    </row>
    <row r="168" spans="1:6" s="2" customFormat="1" x14ac:dyDescent="0.25">
      <c r="A168" s="25">
        <v>41914</v>
      </c>
      <c r="B168" s="24" t="s">
        <v>243</v>
      </c>
      <c r="C168" s="46">
        <v>14.285500000000001</v>
      </c>
      <c r="D168" s="47">
        <v>14285.5</v>
      </c>
      <c r="E168" s="28">
        <v>35019</v>
      </c>
      <c r="F168" s="48">
        <v>4116</v>
      </c>
    </row>
    <row r="169" spans="1:6" s="2" customFormat="1" x14ac:dyDescent="0.25">
      <c r="A169" s="25">
        <v>41935</v>
      </c>
      <c r="B169" s="24" t="s">
        <v>243</v>
      </c>
      <c r="C169" s="46">
        <v>1</v>
      </c>
      <c r="D169" s="47">
        <v>1000</v>
      </c>
      <c r="E169" s="28">
        <v>35019</v>
      </c>
      <c r="F169" s="48">
        <v>4116</v>
      </c>
    </row>
    <row r="170" spans="1:6" s="2" customFormat="1" x14ac:dyDescent="0.25">
      <c r="A170" s="25">
        <v>41935</v>
      </c>
      <c r="B170" s="24" t="s">
        <v>240</v>
      </c>
      <c r="C170" s="46">
        <v>8.5</v>
      </c>
      <c r="D170" s="47">
        <v>8500</v>
      </c>
      <c r="E170" s="28">
        <v>35019</v>
      </c>
      <c r="F170" s="48">
        <v>4116</v>
      </c>
    </row>
    <row r="171" spans="1:6" s="2" customFormat="1" x14ac:dyDescent="0.25">
      <c r="A171" s="25">
        <v>41976</v>
      </c>
      <c r="B171" s="24" t="s">
        <v>312</v>
      </c>
      <c r="C171" s="46">
        <v>93.334000000000003</v>
      </c>
      <c r="D171" s="47">
        <v>93334</v>
      </c>
      <c r="E171" s="28">
        <v>35015</v>
      </c>
      <c r="F171" s="48">
        <v>4116</v>
      </c>
    </row>
    <row r="172" spans="1:6" s="2" customFormat="1" x14ac:dyDescent="0.25">
      <c r="A172" s="25"/>
      <c r="B172" s="24"/>
      <c r="C172" s="116"/>
      <c r="D172" s="47"/>
      <c r="E172" s="28"/>
      <c r="F172" s="48"/>
    </row>
    <row r="173" spans="1:6" s="2" customFormat="1" x14ac:dyDescent="0.25">
      <c r="A173" s="25"/>
      <c r="B173" s="13" t="s">
        <v>47</v>
      </c>
      <c r="C173" s="30">
        <f>+SUM(C174:C180)</f>
        <v>386.07499999999999</v>
      </c>
      <c r="D173" s="30">
        <f>+SUM(D174:D180)</f>
        <v>386075</v>
      </c>
      <c r="E173" s="28"/>
      <c r="F173" s="48"/>
    </row>
    <row r="174" spans="1:6" s="2" customFormat="1" x14ac:dyDescent="0.25">
      <c r="A174" s="25">
        <v>41751</v>
      </c>
      <c r="B174" s="24" t="s">
        <v>48</v>
      </c>
      <c r="C174" s="46">
        <v>86.159000000000006</v>
      </c>
      <c r="D174" s="47">
        <v>86159</v>
      </c>
      <c r="E174" s="28">
        <v>29008</v>
      </c>
      <c r="F174" s="48">
        <v>4116</v>
      </c>
    </row>
    <row r="175" spans="1:6" s="2" customFormat="1" x14ac:dyDescent="0.25">
      <c r="A175" s="25">
        <v>41815</v>
      </c>
      <c r="B175" s="24" t="s">
        <v>48</v>
      </c>
      <c r="C175" s="46">
        <v>84.284999999999997</v>
      </c>
      <c r="D175" s="47">
        <v>84285</v>
      </c>
      <c r="E175" s="28">
        <v>29008</v>
      </c>
      <c r="F175" s="48">
        <v>4116</v>
      </c>
    </row>
    <row r="176" spans="1:6" s="2" customFormat="1" x14ac:dyDescent="0.25">
      <c r="A176" s="25">
        <v>41822</v>
      </c>
      <c r="B176" s="24" t="s">
        <v>49</v>
      </c>
      <c r="C176" s="46">
        <v>9.85</v>
      </c>
      <c r="D176" s="47">
        <v>9850</v>
      </c>
      <c r="E176" s="28">
        <v>29004</v>
      </c>
      <c r="F176" s="48">
        <v>4116</v>
      </c>
    </row>
    <row r="177" spans="1:6" s="2" customFormat="1" x14ac:dyDescent="0.25">
      <c r="A177" s="25">
        <v>41886</v>
      </c>
      <c r="B177" s="24" t="s">
        <v>48</v>
      </c>
      <c r="C177" s="46">
        <v>85.221999999999994</v>
      </c>
      <c r="D177" s="47">
        <v>85222</v>
      </c>
      <c r="E177" s="28">
        <v>29008</v>
      </c>
      <c r="F177" s="48">
        <v>4116</v>
      </c>
    </row>
    <row r="178" spans="1:6" s="2" customFormat="1" x14ac:dyDescent="0.25">
      <c r="A178" s="25">
        <v>41955</v>
      </c>
      <c r="B178" s="24" t="s">
        <v>49</v>
      </c>
      <c r="C178" s="46">
        <v>34.4</v>
      </c>
      <c r="D178" s="47">
        <v>34400</v>
      </c>
      <c r="E178" s="28">
        <v>29004</v>
      </c>
      <c r="F178" s="48">
        <v>4116</v>
      </c>
    </row>
    <row r="179" spans="1:6" s="2" customFormat="1" x14ac:dyDescent="0.25">
      <c r="A179" s="25">
        <v>41962</v>
      </c>
      <c r="B179" s="24" t="s">
        <v>48</v>
      </c>
      <c r="C179" s="46">
        <v>86.159000000000006</v>
      </c>
      <c r="D179" s="47">
        <v>86159</v>
      </c>
      <c r="E179" s="28">
        <v>29008</v>
      </c>
      <c r="F179" s="48">
        <v>4116</v>
      </c>
    </row>
    <row r="180" spans="1:6" s="2" customFormat="1" x14ac:dyDescent="0.25">
      <c r="A180" s="25"/>
      <c r="B180" s="24"/>
      <c r="C180" s="116"/>
      <c r="D180" s="47"/>
      <c r="E180" s="28"/>
      <c r="F180" s="48"/>
    </row>
    <row r="181" spans="1:6" s="2" customFormat="1" x14ac:dyDescent="0.25">
      <c r="A181" s="25"/>
      <c r="B181" s="13" t="s">
        <v>50</v>
      </c>
      <c r="C181" s="30">
        <f>+SUM(C182:C207)</f>
        <v>13178.616349999998</v>
      </c>
      <c r="D181" s="31">
        <f>+SUM(D182:D207)</f>
        <v>13178621.15</v>
      </c>
      <c r="E181" s="28"/>
      <c r="F181" s="48"/>
    </row>
    <row r="182" spans="1:6" s="2" customFormat="1" x14ac:dyDescent="0.25">
      <c r="A182" s="25">
        <v>41904</v>
      </c>
      <c r="B182" s="24" t="s">
        <v>208</v>
      </c>
      <c r="C182" s="46">
        <v>821.68700000000001</v>
      </c>
      <c r="D182" s="47">
        <v>821687</v>
      </c>
      <c r="E182" s="28">
        <v>15065</v>
      </c>
      <c r="F182" s="48">
        <v>4116</v>
      </c>
    </row>
    <row r="183" spans="1:6" s="2" customFormat="1" x14ac:dyDescent="0.25">
      <c r="A183" s="25">
        <v>41954</v>
      </c>
      <c r="B183" s="24" t="s">
        <v>267</v>
      </c>
      <c r="C183" s="46">
        <v>44.099850000000004</v>
      </c>
      <c r="D183" s="47">
        <v>44099.85</v>
      </c>
      <c r="E183" s="28">
        <v>15320</v>
      </c>
      <c r="F183" s="48">
        <v>4116</v>
      </c>
    </row>
    <row r="184" spans="1:6" s="2" customFormat="1" x14ac:dyDescent="0.25">
      <c r="A184" s="25">
        <v>41954</v>
      </c>
      <c r="B184" s="24" t="s">
        <v>267</v>
      </c>
      <c r="C184" s="46">
        <v>749.69753000000003</v>
      </c>
      <c r="D184" s="47">
        <v>749697.53</v>
      </c>
      <c r="E184" s="28">
        <v>15321</v>
      </c>
      <c r="F184" s="48">
        <v>4116</v>
      </c>
    </row>
    <row r="185" spans="1:6" s="2" customFormat="1" x14ac:dyDescent="0.25">
      <c r="A185" s="25">
        <v>41984</v>
      </c>
      <c r="B185" s="24" t="s">
        <v>337</v>
      </c>
      <c r="C185" s="46">
        <v>1660.23615</v>
      </c>
      <c r="D185" s="47">
        <v>1660236.15</v>
      </c>
      <c r="E185" s="28">
        <v>15325</v>
      </c>
      <c r="F185" s="48">
        <v>4116</v>
      </c>
    </row>
    <row r="186" spans="1:6" s="2" customFormat="1" x14ac:dyDescent="0.25">
      <c r="A186" s="25">
        <v>41983</v>
      </c>
      <c r="B186" s="24" t="s">
        <v>290</v>
      </c>
      <c r="C186" s="46">
        <v>907.99109999999996</v>
      </c>
      <c r="D186" s="47">
        <v>907991.1</v>
      </c>
      <c r="E186" s="28">
        <v>15319</v>
      </c>
      <c r="F186" s="48">
        <v>4116</v>
      </c>
    </row>
    <row r="187" spans="1:6" s="2" customFormat="1" x14ac:dyDescent="0.25">
      <c r="A187" s="25">
        <v>41984</v>
      </c>
      <c r="B187" s="24" t="s">
        <v>291</v>
      </c>
      <c r="C187" s="46">
        <v>554.22495000000004</v>
      </c>
      <c r="D187" s="47">
        <v>554224.94999999995</v>
      </c>
      <c r="E187" s="28">
        <v>15319</v>
      </c>
      <c r="F187" s="48">
        <v>4116</v>
      </c>
    </row>
    <row r="188" spans="1:6" s="2" customFormat="1" x14ac:dyDescent="0.25">
      <c r="A188" s="12">
        <v>41984</v>
      </c>
      <c r="B188" s="24" t="s">
        <v>292</v>
      </c>
      <c r="C188" s="46">
        <v>1306.9070400000001</v>
      </c>
      <c r="D188" s="47">
        <v>1306907.04</v>
      </c>
      <c r="E188" s="28">
        <v>15319</v>
      </c>
      <c r="F188" s="48">
        <v>4116</v>
      </c>
    </row>
    <row r="189" spans="1:6" s="2" customFormat="1" x14ac:dyDescent="0.25">
      <c r="A189" s="12">
        <v>41984</v>
      </c>
      <c r="B189" s="24" t="s">
        <v>293</v>
      </c>
      <c r="C189" s="46">
        <v>207.74680000000001</v>
      </c>
      <c r="D189" s="47">
        <v>207746.8</v>
      </c>
      <c r="E189" s="28">
        <v>15319</v>
      </c>
      <c r="F189" s="48">
        <v>4116</v>
      </c>
    </row>
    <row r="190" spans="1:6" s="2" customFormat="1" x14ac:dyDescent="0.25">
      <c r="A190" s="12">
        <v>41984</v>
      </c>
      <c r="B190" s="24" t="s">
        <v>295</v>
      </c>
      <c r="C190" s="46">
        <v>1001.76549</v>
      </c>
      <c r="D190" s="47">
        <v>1001765.49</v>
      </c>
      <c r="E190" s="28">
        <v>15319</v>
      </c>
      <c r="F190" s="48">
        <v>4116</v>
      </c>
    </row>
    <row r="191" spans="1:6" s="2" customFormat="1" x14ac:dyDescent="0.25">
      <c r="A191" s="12">
        <v>41985</v>
      </c>
      <c r="B191" s="24" t="s">
        <v>296</v>
      </c>
      <c r="C191" s="46">
        <v>1788.92409</v>
      </c>
      <c r="D191" s="47">
        <v>1788924.09</v>
      </c>
      <c r="E191" s="28">
        <v>15319</v>
      </c>
      <c r="F191" s="48">
        <v>4116</v>
      </c>
    </row>
    <row r="192" spans="1:6" s="2" customFormat="1" x14ac:dyDescent="0.25">
      <c r="A192" s="12">
        <v>41983</v>
      </c>
      <c r="B192" s="24" t="s">
        <v>297</v>
      </c>
      <c r="C192" s="46">
        <v>2969.8052400000001</v>
      </c>
      <c r="D192" s="47">
        <v>2969805.24</v>
      </c>
      <c r="E192" s="28">
        <v>15319</v>
      </c>
      <c r="F192" s="48">
        <v>4116</v>
      </c>
    </row>
    <row r="193" spans="1:6" s="2" customFormat="1" x14ac:dyDescent="0.25">
      <c r="A193" s="25"/>
      <c r="B193" s="24" t="s">
        <v>108</v>
      </c>
      <c r="C193" s="46">
        <v>52.326000000000001</v>
      </c>
      <c r="D193" s="47">
        <v>52326</v>
      </c>
      <c r="E193" s="28">
        <v>15370</v>
      </c>
      <c r="F193" s="48">
        <v>4116</v>
      </c>
    </row>
    <row r="194" spans="1:6" s="2" customFormat="1" x14ac:dyDescent="0.25">
      <c r="A194" s="25"/>
      <c r="B194" s="24" t="s">
        <v>238</v>
      </c>
      <c r="C194" s="46">
        <v>301.47395</v>
      </c>
      <c r="D194" s="47">
        <v>301473.95</v>
      </c>
      <c r="E194" s="28">
        <v>15319</v>
      </c>
      <c r="F194" s="48">
        <v>4116</v>
      </c>
    </row>
    <row r="195" spans="1:6" s="2" customFormat="1" x14ac:dyDescent="0.25">
      <c r="A195" s="25"/>
      <c r="B195" s="24" t="s">
        <v>338</v>
      </c>
      <c r="C195" s="46">
        <v>1.5</v>
      </c>
      <c r="D195" s="47">
        <v>1500</v>
      </c>
      <c r="E195" s="28">
        <v>15320</v>
      </c>
      <c r="F195" s="48">
        <v>4116</v>
      </c>
    </row>
    <row r="196" spans="1:6" s="2" customFormat="1" x14ac:dyDescent="0.25">
      <c r="A196" s="25"/>
      <c r="B196" s="24" t="s">
        <v>338</v>
      </c>
      <c r="C196" s="46">
        <v>25.5</v>
      </c>
      <c r="D196" s="47">
        <v>25500</v>
      </c>
      <c r="E196" s="28">
        <v>15321</v>
      </c>
      <c r="F196" s="48">
        <v>4116</v>
      </c>
    </row>
    <row r="197" spans="1:6" s="2" customFormat="1" x14ac:dyDescent="0.25">
      <c r="A197" s="25"/>
      <c r="B197" s="24" t="s">
        <v>223</v>
      </c>
      <c r="C197" s="47">
        <v>1.4999899999999999</v>
      </c>
      <c r="D197" s="47">
        <v>1499.99</v>
      </c>
      <c r="E197" s="28">
        <v>15320</v>
      </c>
      <c r="F197" s="48">
        <v>4116</v>
      </c>
    </row>
    <row r="198" spans="1:6" s="2" customFormat="1" x14ac:dyDescent="0.25">
      <c r="A198" s="25"/>
      <c r="B198" s="24" t="s">
        <v>223</v>
      </c>
      <c r="C198" s="47">
        <v>25.49999</v>
      </c>
      <c r="D198" s="47">
        <v>25499.99</v>
      </c>
      <c r="E198" s="28">
        <v>15321</v>
      </c>
      <c r="F198" s="48">
        <v>4116</v>
      </c>
    </row>
    <row r="199" spans="1:6" s="2" customFormat="1" x14ac:dyDescent="0.25">
      <c r="A199" s="25"/>
      <c r="B199" s="24" t="s">
        <v>224</v>
      </c>
      <c r="C199" s="47">
        <v>1.5</v>
      </c>
      <c r="D199" s="47">
        <v>1500</v>
      </c>
      <c r="E199" s="28">
        <v>15320</v>
      </c>
      <c r="F199" s="48">
        <v>4116</v>
      </c>
    </row>
    <row r="200" spans="1:6" s="2" customFormat="1" x14ac:dyDescent="0.25">
      <c r="A200" s="25"/>
      <c r="B200" s="24" t="s">
        <v>224</v>
      </c>
      <c r="C200" s="47">
        <v>25.5</v>
      </c>
      <c r="D200" s="47">
        <v>25500</v>
      </c>
      <c r="E200" s="28">
        <v>15321</v>
      </c>
      <c r="F200" s="48">
        <v>4116</v>
      </c>
    </row>
    <row r="201" spans="1:6" s="2" customFormat="1" x14ac:dyDescent="0.25">
      <c r="A201" s="25"/>
      <c r="B201" s="24" t="s">
        <v>258</v>
      </c>
      <c r="C201" s="47">
        <v>1.4999899999999999</v>
      </c>
      <c r="D201" s="47">
        <v>1499.99</v>
      </c>
      <c r="E201" s="28">
        <v>15320</v>
      </c>
      <c r="F201" s="48">
        <v>4116</v>
      </c>
    </row>
    <row r="202" spans="1:6" s="2" customFormat="1" x14ac:dyDescent="0.25">
      <c r="A202" s="25"/>
      <c r="B202" s="24" t="s">
        <v>258</v>
      </c>
      <c r="C202" s="47">
        <v>25.49999</v>
      </c>
      <c r="D202" s="47">
        <v>25499.99</v>
      </c>
      <c r="E202" s="28">
        <v>15321</v>
      </c>
      <c r="F202" s="48">
        <v>4116</v>
      </c>
    </row>
    <row r="203" spans="1:6" s="2" customFormat="1" x14ac:dyDescent="0.25">
      <c r="A203" s="25"/>
      <c r="B203" s="24" t="s">
        <v>331</v>
      </c>
      <c r="C203" s="47">
        <v>654.68543</v>
      </c>
      <c r="D203" s="47">
        <v>654685.43000000005</v>
      </c>
      <c r="E203" s="28">
        <v>15319</v>
      </c>
      <c r="F203" s="48">
        <v>4116</v>
      </c>
    </row>
    <row r="204" spans="1:6" s="2" customFormat="1" x14ac:dyDescent="0.25">
      <c r="A204" s="25"/>
      <c r="B204" s="24" t="s">
        <v>279</v>
      </c>
      <c r="C204" s="47">
        <v>15.4275</v>
      </c>
      <c r="D204" s="47">
        <v>15427.5</v>
      </c>
      <c r="E204" s="28">
        <v>15370</v>
      </c>
      <c r="F204" s="48">
        <v>4116</v>
      </c>
    </row>
    <row r="205" spans="1:6" s="2" customFormat="1" x14ac:dyDescent="0.25">
      <c r="A205" s="25"/>
      <c r="B205" s="24" t="s">
        <v>111</v>
      </c>
      <c r="C205" s="46">
        <v>1.8679399999999999</v>
      </c>
      <c r="D205" s="47">
        <v>1867.94</v>
      </c>
      <c r="E205" s="28">
        <v>15324</v>
      </c>
      <c r="F205" s="48">
        <v>4116</v>
      </c>
    </row>
    <row r="206" spans="1:6" s="2" customFormat="1" x14ac:dyDescent="0.25">
      <c r="A206" s="12"/>
      <c r="B206" s="24" t="s">
        <v>111</v>
      </c>
      <c r="C206" s="46">
        <f>31.75513-0.0048</f>
        <v>31.750330000000002</v>
      </c>
      <c r="D206" s="47">
        <v>31755.13</v>
      </c>
      <c r="E206" s="28">
        <v>15325</v>
      </c>
      <c r="F206" s="48">
        <v>4116</v>
      </c>
    </row>
    <row r="207" spans="1:6" s="2" customFormat="1" x14ac:dyDescent="0.25">
      <c r="A207" s="12"/>
      <c r="B207" s="23"/>
      <c r="C207" s="47"/>
      <c r="D207" s="47"/>
      <c r="E207" s="28"/>
      <c r="F207" s="48"/>
    </row>
    <row r="208" spans="1:6" s="2" customFormat="1" x14ac:dyDescent="0.25">
      <c r="A208" s="25"/>
      <c r="B208" s="30" t="s">
        <v>51</v>
      </c>
      <c r="C208" s="30">
        <f>+SUM(C209:C210)</f>
        <v>163.22820999999999</v>
      </c>
      <c r="D208" s="31">
        <f>+SUM(D209:D210)</f>
        <v>163228.21</v>
      </c>
      <c r="E208" s="28"/>
      <c r="F208" s="48"/>
    </row>
    <row r="209" spans="1:8" x14ac:dyDescent="0.25">
      <c r="A209" s="25">
        <v>41696</v>
      </c>
      <c r="B209" s="24" t="s">
        <v>75</v>
      </c>
      <c r="C209" s="46">
        <v>163.22820999999999</v>
      </c>
      <c r="D209" s="47">
        <v>163228.21</v>
      </c>
      <c r="E209" s="60"/>
      <c r="F209" s="48" t="s">
        <v>52</v>
      </c>
      <c r="G209" s="2"/>
      <c r="H209" s="2"/>
    </row>
    <row r="210" spans="1:8" x14ac:dyDescent="0.25">
      <c r="A210" s="25"/>
      <c r="B210" s="24"/>
      <c r="C210" s="46"/>
      <c r="D210" s="47"/>
      <c r="E210" s="60"/>
      <c r="F210" s="48"/>
      <c r="G210" s="2"/>
      <c r="H210" s="2"/>
    </row>
    <row r="211" spans="1:8" s="2" customFormat="1" x14ac:dyDescent="0.25">
      <c r="A211" s="25"/>
      <c r="B211" s="13" t="s">
        <v>53</v>
      </c>
      <c r="C211" s="27">
        <f>SUM(C212:C322)</f>
        <v>45867.940510000008</v>
      </c>
      <c r="D211" s="27">
        <f>SUM(D212:D322)</f>
        <v>45867940.510000005</v>
      </c>
      <c r="E211" s="28"/>
      <c r="F211" s="22"/>
    </row>
    <row r="212" spans="1:8" s="2" customFormat="1" x14ac:dyDescent="0.25">
      <c r="A212" s="25">
        <v>41674</v>
      </c>
      <c r="B212" s="24" t="s">
        <v>151</v>
      </c>
      <c r="C212" s="53">
        <v>190.81503000000001</v>
      </c>
      <c r="D212" s="55">
        <f>162192.77+28622.26</f>
        <v>190815.03</v>
      </c>
      <c r="E212" s="28">
        <v>33030</v>
      </c>
      <c r="F212" s="48" t="s">
        <v>54</v>
      </c>
    </row>
    <row r="213" spans="1:8" s="2" customFormat="1" x14ac:dyDescent="0.25">
      <c r="A213" s="25">
        <v>41674</v>
      </c>
      <c r="B213" s="24" t="s">
        <v>148</v>
      </c>
      <c r="C213" s="53">
        <v>323.42325</v>
      </c>
      <c r="D213" s="55">
        <f>274909.76+48513.49</f>
        <v>323423.25</v>
      </c>
      <c r="E213" s="28">
        <v>33030</v>
      </c>
      <c r="F213" s="48" t="s">
        <v>54</v>
      </c>
    </row>
    <row r="214" spans="1:8" s="2" customFormat="1" x14ac:dyDescent="0.25">
      <c r="A214" s="25">
        <v>41674</v>
      </c>
      <c r="B214" s="24" t="s">
        <v>145</v>
      </c>
      <c r="C214" s="53">
        <v>386.86772000000002</v>
      </c>
      <c r="D214" s="55">
        <f>328837.56+58030.16</f>
        <v>386867.72</v>
      </c>
      <c r="E214" s="28">
        <v>33030</v>
      </c>
      <c r="F214" s="48">
        <v>4122</v>
      </c>
    </row>
    <row r="215" spans="1:8" s="2" customFormat="1" x14ac:dyDescent="0.25">
      <c r="A215" s="25">
        <v>41681</v>
      </c>
      <c r="B215" s="24" t="s">
        <v>92</v>
      </c>
      <c r="C215" s="55">
        <v>291.00630000000001</v>
      </c>
      <c r="D215" s="55">
        <f>247355.35+43650.95</f>
        <v>291006.3</v>
      </c>
      <c r="E215" s="28">
        <v>33030</v>
      </c>
      <c r="F215" s="48">
        <v>4122</v>
      </c>
    </row>
    <row r="216" spans="1:8" s="2" customFormat="1" x14ac:dyDescent="0.25">
      <c r="A216" s="25">
        <v>41690</v>
      </c>
      <c r="B216" s="24" t="s">
        <v>72</v>
      </c>
      <c r="C216" s="55">
        <v>371.75425000000001</v>
      </c>
      <c r="D216" s="55">
        <f>315991.11+55763.14</f>
        <v>371754.25</v>
      </c>
      <c r="E216" s="28">
        <v>33030</v>
      </c>
      <c r="F216" s="48">
        <v>4122</v>
      </c>
    </row>
    <row r="217" spans="1:8" s="2" customFormat="1" x14ac:dyDescent="0.25">
      <c r="A217" s="25">
        <v>41702</v>
      </c>
      <c r="B217" s="24" t="s">
        <v>77</v>
      </c>
      <c r="C217" s="52">
        <v>17.375</v>
      </c>
      <c r="D217" s="55">
        <v>17375</v>
      </c>
      <c r="E217" s="28">
        <v>14011</v>
      </c>
      <c r="F217" s="48">
        <v>4122</v>
      </c>
    </row>
    <row r="218" spans="1:8" s="2" customFormat="1" x14ac:dyDescent="0.25">
      <c r="A218" s="25">
        <v>41717</v>
      </c>
      <c r="B218" s="24" t="s">
        <v>80</v>
      </c>
      <c r="C218" s="52">
        <v>451.86489999999998</v>
      </c>
      <c r="D218" s="55">
        <f>384085.16+67779.74</f>
        <v>451864.89999999997</v>
      </c>
      <c r="E218" s="28">
        <v>33030</v>
      </c>
      <c r="F218" s="48">
        <v>4122</v>
      </c>
    </row>
    <row r="219" spans="1:8" s="2" customFormat="1" x14ac:dyDescent="0.25">
      <c r="A219" s="25">
        <v>41717</v>
      </c>
      <c r="B219" s="24" t="s">
        <v>81</v>
      </c>
      <c r="C219" s="52">
        <v>555.22578999999996</v>
      </c>
      <c r="D219" s="55">
        <f>471941.92+83283.87</f>
        <v>555225.79</v>
      </c>
      <c r="E219" s="28">
        <v>33030</v>
      </c>
      <c r="F219" s="48">
        <v>4122</v>
      </c>
    </row>
    <row r="220" spans="1:8" s="2" customFormat="1" x14ac:dyDescent="0.25">
      <c r="A220" s="25">
        <v>41724</v>
      </c>
      <c r="B220" s="24" t="s">
        <v>87</v>
      </c>
      <c r="C220" s="52">
        <v>362.62306999999998</v>
      </c>
      <c r="D220" s="55">
        <v>362623.07</v>
      </c>
      <c r="E220" s="28">
        <v>33030</v>
      </c>
      <c r="F220" s="48">
        <v>4122</v>
      </c>
    </row>
    <row r="221" spans="1:8" s="2" customFormat="1" x14ac:dyDescent="0.25">
      <c r="A221" s="25">
        <v>41731</v>
      </c>
      <c r="B221" s="24" t="s">
        <v>146</v>
      </c>
      <c r="C221" s="52">
        <v>4220.5246800000004</v>
      </c>
      <c r="D221" s="55">
        <f>3587445.97+633078.71</f>
        <v>4220524.68</v>
      </c>
      <c r="E221" s="28">
        <v>33030</v>
      </c>
      <c r="F221" s="48">
        <v>4122</v>
      </c>
    </row>
    <row r="222" spans="1:8" s="2" customFormat="1" x14ac:dyDescent="0.25">
      <c r="A222" s="25">
        <v>41740</v>
      </c>
      <c r="B222" s="24" t="s">
        <v>94</v>
      </c>
      <c r="C222" s="52">
        <v>200</v>
      </c>
      <c r="D222" s="55">
        <v>200000</v>
      </c>
      <c r="E222" s="28">
        <v>539</v>
      </c>
      <c r="F222" s="48">
        <v>4122</v>
      </c>
    </row>
    <row r="223" spans="1:8" s="2" customFormat="1" x14ac:dyDescent="0.25">
      <c r="A223" s="25">
        <v>41753</v>
      </c>
      <c r="B223" s="24" t="s">
        <v>162</v>
      </c>
      <c r="C223" s="52">
        <v>473.07794000000001</v>
      </c>
      <c r="D223" s="55">
        <v>473077.94</v>
      </c>
      <c r="E223" s="28">
        <v>33030</v>
      </c>
      <c r="F223" s="48">
        <v>4122</v>
      </c>
    </row>
    <row r="224" spans="1:8" s="2" customFormat="1" x14ac:dyDescent="0.25">
      <c r="A224" s="25">
        <v>41753</v>
      </c>
      <c r="B224" s="24" t="s">
        <v>96</v>
      </c>
      <c r="C224" s="52">
        <v>136.73121</v>
      </c>
      <c r="D224" s="55">
        <v>136731.21</v>
      </c>
      <c r="E224" s="28">
        <v>33030</v>
      </c>
      <c r="F224" s="48">
        <v>4122</v>
      </c>
    </row>
    <row r="225" spans="1:6" s="2" customFormat="1" x14ac:dyDescent="0.25">
      <c r="A225" s="25">
        <v>41765</v>
      </c>
      <c r="B225" s="24" t="s">
        <v>147</v>
      </c>
      <c r="C225" s="52">
        <v>534.51513</v>
      </c>
      <c r="D225" s="55">
        <f>454337.86+80177.27</f>
        <v>534515.13</v>
      </c>
      <c r="E225" s="28">
        <v>33030</v>
      </c>
      <c r="F225" s="48">
        <v>4122</v>
      </c>
    </row>
    <row r="226" spans="1:6" s="2" customFormat="1" x14ac:dyDescent="0.25">
      <c r="A226" s="25">
        <v>41765</v>
      </c>
      <c r="B226" s="24" t="s">
        <v>149</v>
      </c>
      <c r="C226" s="52">
        <v>1377.5491</v>
      </c>
      <c r="D226" s="55">
        <f>1170916.73+206632.37</f>
        <v>1377549.1</v>
      </c>
      <c r="E226" s="28">
        <v>33030</v>
      </c>
      <c r="F226" s="48">
        <v>4122</v>
      </c>
    </row>
    <row r="227" spans="1:6" s="2" customFormat="1" x14ac:dyDescent="0.25">
      <c r="A227" s="25">
        <v>41765</v>
      </c>
      <c r="B227" s="24" t="s">
        <v>150</v>
      </c>
      <c r="C227" s="52">
        <v>326.74684999999999</v>
      </c>
      <c r="D227" s="55">
        <f>277734.82+49012.03</f>
        <v>326746.84999999998</v>
      </c>
      <c r="E227" s="28">
        <v>33030</v>
      </c>
      <c r="F227" s="48">
        <v>4122</v>
      </c>
    </row>
    <row r="228" spans="1:6" s="2" customFormat="1" x14ac:dyDescent="0.25">
      <c r="A228" s="49">
        <v>41771</v>
      </c>
      <c r="B228" s="24" t="s">
        <v>145</v>
      </c>
      <c r="C228" s="167">
        <v>452.33542</v>
      </c>
      <c r="D228" s="168">
        <f>384485.1+67850.32</f>
        <v>452335.42</v>
      </c>
      <c r="E228" s="62">
        <v>33030</v>
      </c>
      <c r="F228" s="169">
        <v>4122</v>
      </c>
    </row>
    <row r="229" spans="1:6" s="2" customFormat="1" x14ac:dyDescent="0.25">
      <c r="A229" s="25">
        <v>41775</v>
      </c>
      <c r="B229" s="171" t="s">
        <v>71</v>
      </c>
      <c r="C229" s="172">
        <v>641.55130999999994</v>
      </c>
      <c r="D229" s="56">
        <v>641551.31000000006</v>
      </c>
      <c r="E229" s="28">
        <v>33030</v>
      </c>
      <c r="F229" s="29">
        <v>4122</v>
      </c>
    </row>
    <row r="230" spans="1:6" s="2" customFormat="1" x14ac:dyDescent="0.25">
      <c r="A230" s="25">
        <v>41787</v>
      </c>
      <c r="B230" s="171" t="s">
        <v>152</v>
      </c>
      <c r="C230" s="172">
        <v>950</v>
      </c>
      <c r="D230" s="56">
        <v>950000</v>
      </c>
      <c r="E230" s="28">
        <v>331</v>
      </c>
      <c r="F230" s="29">
        <v>4122</v>
      </c>
    </row>
    <row r="231" spans="1:6" s="2" customFormat="1" x14ac:dyDescent="0.25">
      <c r="A231" s="25">
        <v>41787</v>
      </c>
      <c r="B231" s="171" t="s">
        <v>153</v>
      </c>
      <c r="C231" s="172">
        <v>200</v>
      </c>
      <c r="D231" s="56">
        <v>200000</v>
      </c>
      <c r="E231" s="28">
        <v>331</v>
      </c>
      <c r="F231" s="29">
        <v>4122</v>
      </c>
    </row>
    <row r="232" spans="1:6" s="2" customFormat="1" x14ac:dyDescent="0.25">
      <c r="A232" s="25">
        <v>41787</v>
      </c>
      <c r="B232" s="171" t="s">
        <v>154</v>
      </c>
      <c r="C232" s="172">
        <v>80</v>
      </c>
      <c r="D232" s="56">
        <v>80000</v>
      </c>
      <c r="E232" s="28">
        <v>331</v>
      </c>
      <c r="F232" s="29">
        <v>4122</v>
      </c>
    </row>
    <row r="233" spans="1:6" s="2" customFormat="1" x14ac:dyDescent="0.25">
      <c r="A233" s="25">
        <v>41787</v>
      </c>
      <c r="B233" s="171" t="s">
        <v>155</v>
      </c>
      <c r="C233" s="172">
        <v>600</v>
      </c>
      <c r="D233" s="56">
        <v>600000</v>
      </c>
      <c r="E233" s="28">
        <v>331</v>
      </c>
      <c r="F233" s="29">
        <v>4122</v>
      </c>
    </row>
    <row r="234" spans="1:6" s="2" customFormat="1" x14ac:dyDescent="0.25">
      <c r="A234" s="25">
        <v>41787</v>
      </c>
      <c r="B234" s="171" t="s">
        <v>104</v>
      </c>
      <c r="C234" s="172">
        <v>120</v>
      </c>
      <c r="D234" s="56">
        <v>120000</v>
      </c>
      <c r="E234" s="28">
        <v>331</v>
      </c>
      <c r="F234" s="29">
        <v>4122</v>
      </c>
    </row>
    <row r="235" spans="1:6" s="2" customFormat="1" x14ac:dyDescent="0.25">
      <c r="A235" s="12">
        <v>41793</v>
      </c>
      <c r="B235" s="7" t="s">
        <v>116</v>
      </c>
      <c r="C235" s="52">
        <v>372.29502000000002</v>
      </c>
      <c r="D235" s="170">
        <v>372295.02</v>
      </c>
      <c r="E235" s="22">
        <v>33030</v>
      </c>
      <c r="F235" s="48">
        <v>4122</v>
      </c>
    </row>
    <row r="236" spans="1:6" s="2" customFormat="1" x14ac:dyDescent="0.25">
      <c r="A236" s="25">
        <v>41793</v>
      </c>
      <c r="B236" s="24" t="s">
        <v>117</v>
      </c>
      <c r="C236" s="52">
        <v>752.71591999999998</v>
      </c>
      <c r="D236" s="55">
        <v>752715.92</v>
      </c>
      <c r="E236" s="28">
        <v>33030</v>
      </c>
      <c r="F236" s="48">
        <v>4122</v>
      </c>
    </row>
    <row r="237" spans="1:6" s="2" customFormat="1" x14ac:dyDescent="0.25">
      <c r="A237" s="25">
        <v>41799</v>
      </c>
      <c r="B237" s="24" t="s">
        <v>121</v>
      </c>
      <c r="C237" s="52">
        <v>50</v>
      </c>
      <c r="D237" s="55">
        <v>50000</v>
      </c>
      <c r="E237" s="28">
        <v>311</v>
      </c>
      <c r="F237" s="48">
        <v>4122</v>
      </c>
    </row>
    <row r="238" spans="1:6" s="2" customFormat="1" x14ac:dyDescent="0.25">
      <c r="A238" s="25">
        <v>41799</v>
      </c>
      <c r="B238" s="24" t="s">
        <v>122</v>
      </c>
      <c r="C238" s="52">
        <v>50</v>
      </c>
      <c r="D238" s="55">
        <v>50000</v>
      </c>
      <c r="E238" s="28">
        <v>311</v>
      </c>
      <c r="F238" s="48">
        <v>4122</v>
      </c>
    </row>
    <row r="239" spans="1:6" s="2" customFormat="1" x14ac:dyDescent="0.25">
      <c r="A239" s="25">
        <v>41799</v>
      </c>
      <c r="B239" s="24" t="s">
        <v>123</v>
      </c>
      <c r="C239" s="52">
        <v>55</v>
      </c>
      <c r="D239" s="55">
        <v>55000</v>
      </c>
      <c r="E239" s="28">
        <v>311</v>
      </c>
      <c r="F239" s="48">
        <v>4122</v>
      </c>
    </row>
    <row r="240" spans="1:6" s="2" customFormat="1" x14ac:dyDescent="0.25">
      <c r="A240" s="25">
        <v>41801</v>
      </c>
      <c r="B240" s="24" t="s">
        <v>125</v>
      </c>
      <c r="C240" s="52">
        <v>80</v>
      </c>
      <c r="D240" s="55">
        <v>80000</v>
      </c>
      <c r="E240" s="28">
        <v>331</v>
      </c>
      <c r="F240" s="48">
        <v>4122</v>
      </c>
    </row>
    <row r="241" spans="1:6" s="2" customFormat="1" x14ac:dyDescent="0.25">
      <c r="A241" s="25">
        <v>41806</v>
      </c>
      <c r="B241" s="24" t="s">
        <v>119</v>
      </c>
      <c r="C241" s="52">
        <v>379.5077</v>
      </c>
      <c r="D241" s="55">
        <v>379507.7</v>
      </c>
      <c r="E241" s="28">
        <v>33030</v>
      </c>
      <c r="F241" s="48">
        <v>4122</v>
      </c>
    </row>
    <row r="242" spans="1:6" s="2" customFormat="1" x14ac:dyDescent="0.25">
      <c r="A242" s="25">
        <v>41806</v>
      </c>
      <c r="B242" s="24" t="s">
        <v>120</v>
      </c>
      <c r="C242" s="52">
        <v>371.00876</v>
      </c>
      <c r="D242" s="55">
        <v>371008.76</v>
      </c>
      <c r="E242" s="28">
        <v>33030</v>
      </c>
      <c r="F242" s="48">
        <v>4122</v>
      </c>
    </row>
    <row r="243" spans="1:6" s="2" customFormat="1" x14ac:dyDescent="0.25">
      <c r="A243" s="25">
        <v>41807</v>
      </c>
      <c r="B243" s="24" t="s">
        <v>126</v>
      </c>
      <c r="C243" s="52">
        <v>145.38300000000001</v>
      </c>
      <c r="D243" s="55">
        <v>145383</v>
      </c>
      <c r="E243" s="28">
        <v>33030</v>
      </c>
      <c r="F243" s="48">
        <v>4122</v>
      </c>
    </row>
    <row r="244" spans="1:6" s="2" customFormat="1" x14ac:dyDescent="0.25">
      <c r="A244" s="25">
        <v>41809</v>
      </c>
      <c r="B244" s="24" t="s">
        <v>77</v>
      </c>
      <c r="C244" s="52">
        <v>49.92</v>
      </c>
      <c r="D244" s="55">
        <v>49920</v>
      </c>
      <c r="E244" s="28">
        <v>14011</v>
      </c>
      <c r="F244" s="48">
        <v>4122</v>
      </c>
    </row>
    <row r="245" spans="1:6" s="2" customFormat="1" x14ac:dyDescent="0.25">
      <c r="A245" s="25">
        <v>41814</v>
      </c>
      <c r="B245" s="166" t="s">
        <v>356</v>
      </c>
      <c r="C245" s="52">
        <v>180</v>
      </c>
      <c r="D245" s="55">
        <v>180000</v>
      </c>
      <c r="E245" s="28">
        <v>435</v>
      </c>
      <c r="F245" s="48">
        <v>4122</v>
      </c>
    </row>
    <row r="246" spans="1:6" s="2" customFormat="1" x14ac:dyDescent="0.25">
      <c r="A246" s="25">
        <v>41814</v>
      </c>
      <c r="B246" s="24" t="s">
        <v>129</v>
      </c>
      <c r="C246" s="52">
        <v>60</v>
      </c>
      <c r="D246" s="55">
        <v>60000</v>
      </c>
      <c r="E246" s="28">
        <v>331</v>
      </c>
      <c r="F246" s="48">
        <v>4122</v>
      </c>
    </row>
    <row r="247" spans="1:6" s="2" customFormat="1" x14ac:dyDescent="0.25">
      <c r="A247" s="25">
        <v>41816</v>
      </c>
      <c r="B247" s="24" t="s">
        <v>80</v>
      </c>
      <c r="C247" s="52">
        <v>436.70456000000001</v>
      </c>
      <c r="D247" s="55">
        <v>436704.56</v>
      </c>
      <c r="E247" s="28">
        <v>33030</v>
      </c>
      <c r="F247" s="48">
        <v>4122</v>
      </c>
    </row>
    <row r="248" spans="1:6" s="2" customFormat="1" x14ac:dyDescent="0.25">
      <c r="A248" s="25">
        <v>41817</v>
      </c>
      <c r="B248" s="166" t="s">
        <v>132</v>
      </c>
      <c r="C248" s="52">
        <v>3128.0374700000002</v>
      </c>
      <c r="D248" s="55">
        <v>3128037.47</v>
      </c>
      <c r="E248" s="28">
        <v>33030</v>
      </c>
      <c r="F248" s="48">
        <v>4122</v>
      </c>
    </row>
    <row r="249" spans="1:6" s="2" customFormat="1" x14ac:dyDescent="0.25">
      <c r="A249" s="25">
        <v>41822</v>
      </c>
      <c r="B249" s="24" t="s">
        <v>167</v>
      </c>
      <c r="C249" s="52">
        <v>1000</v>
      </c>
      <c r="D249" s="55">
        <v>1000000</v>
      </c>
      <c r="E249" s="28">
        <v>331</v>
      </c>
      <c r="F249" s="48">
        <v>4122</v>
      </c>
    </row>
    <row r="250" spans="1:6" s="2" customFormat="1" x14ac:dyDescent="0.25">
      <c r="A250" s="25">
        <v>41823</v>
      </c>
      <c r="B250" s="24" t="s">
        <v>87</v>
      </c>
      <c r="C250" s="52">
        <v>211.45779999999999</v>
      </c>
      <c r="D250" s="55">
        <f>179739.13+31718.67</f>
        <v>211457.8</v>
      </c>
      <c r="E250" s="28">
        <v>33030</v>
      </c>
      <c r="F250" s="48">
        <v>4122</v>
      </c>
    </row>
    <row r="251" spans="1:6" s="2" customFormat="1" x14ac:dyDescent="0.25">
      <c r="A251" s="25">
        <v>41823</v>
      </c>
      <c r="B251" s="24" t="s">
        <v>162</v>
      </c>
      <c r="C251" s="52">
        <v>325.18011000000001</v>
      </c>
      <c r="D251" s="55">
        <v>325180.11</v>
      </c>
      <c r="E251" s="28">
        <v>33030</v>
      </c>
      <c r="F251" s="48">
        <v>4122</v>
      </c>
    </row>
    <row r="252" spans="1:6" s="2" customFormat="1" x14ac:dyDescent="0.25">
      <c r="A252" s="25">
        <v>41824</v>
      </c>
      <c r="B252" s="24" t="s">
        <v>145</v>
      </c>
      <c r="C252" s="52">
        <v>392.42531000000002</v>
      </c>
      <c r="D252" s="55">
        <v>392425.31</v>
      </c>
      <c r="E252" s="28">
        <v>33030</v>
      </c>
      <c r="F252" s="48">
        <v>4122</v>
      </c>
    </row>
    <row r="253" spans="1:6" s="2" customFormat="1" x14ac:dyDescent="0.25">
      <c r="A253" s="25">
        <v>41824</v>
      </c>
      <c r="B253" s="24" t="s">
        <v>173</v>
      </c>
      <c r="C253" s="52">
        <v>304.06526000000002</v>
      </c>
      <c r="D253" s="55">
        <f>258455.47+45609.79</f>
        <v>304065.26</v>
      </c>
      <c r="E253" s="28">
        <v>33030</v>
      </c>
      <c r="F253" s="48">
        <v>4122</v>
      </c>
    </row>
    <row r="254" spans="1:6" s="2" customFormat="1" x14ac:dyDescent="0.25">
      <c r="A254" s="25">
        <v>41824</v>
      </c>
      <c r="B254" s="24" t="s">
        <v>168</v>
      </c>
      <c r="C254" s="52">
        <v>44</v>
      </c>
      <c r="D254" s="55">
        <v>44000</v>
      </c>
      <c r="E254" s="28">
        <v>331</v>
      </c>
      <c r="F254" s="48">
        <v>4122</v>
      </c>
    </row>
    <row r="255" spans="1:6" s="2" customFormat="1" x14ac:dyDescent="0.25">
      <c r="A255" s="25">
        <v>41824</v>
      </c>
      <c r="B255" s="24" t="s">
        <v>169</v>
      </c>
      <c r="C255" s="52">
        <v>68</v>
      </c>
      <c r="D255" s="55">
        <v>68000</v>
      </c>
      <c r="E255" s="28">
        <v>331</v>
      </c>
      <c r="F255" s="48">
        <v>4122</v>
      </c>
    </row>
    <row r="256" spans="1:6" s="2" customFormat="1" x14ac:dyDescent="0.25">
      <c r="A256" s="25">
        <v>41824</v>
      </c>
      <c r="B256" s="24" t="s">
        <v>170</v>
      </c>
      <c r="C256" s="52">
        <v>55</v>
      </c>
      <c r="D256" s="55">
        <v>55000</v>
      </c>
      <c r="E256" s="28">
        <v>331</v>
      </c>
      <c r="F256" s="48">
        <v>4122</v>
      </c>
    </row>
    <row r="257" spans="1:6" s="2" customFormat="1" x14ac:dyDescent="0.25">
      <c r="A257" s="25">
        <v>41824</v>
      </c>
      <c r="B257" s="24" t="s">
        <v>171</v>
      </c>
      <c r="C257" s="52">
        <v>25</v>
      </c>
      <c r="D257" s="55">
        <v>25000</v>
      </c>
      <c r="E257" s="28">
        <v>331</v>
      </c>
      <c r="F257" s="48">
        <v>4122</v>
      </c>
    </row>
    <row r="258" spans="1:6" s="2" customFormat="1" x14ac:dyDescent="0.25">
      <c r="A258" s="25">
        <v>41824</v>
      </c>
      <c r="B258" s="24" t="s">
        <v>172</v>
      </c>
      <c r="C258" s="52">
        <v>48</v>
      </c>
      <c r="D258" s="55">
        <v>48000</v>
      </c>
      <c r="E258" s="28">
        <v>331</v>
      </c>
      <c r="F258" s="48">
        <v>4122</v>
      </c>
    </row>
    <row r="259" spans="1:6" s="2" customFormat="1" x14ac:dyDescent="0.25">
      <c r="A259" s="25">
        <v>41844</v>
      </c>
      <c r="B259" s="24" t="s">
        <v>187</v>
      </c>
      <c r="C259" s="55">
        <v>19.8</v>
      </c>
      <c r="D259" s="55">
        <v>19800</v>
      </c>
      <c r="E259" s="28">
        <v>359</v>
      </c>
      <c r="F259" s="48">
        <v>4122</v>
      </c>
    </row>
    <row r="260" spans="1:6" s="2" customFormat="1" x14ac:dyDescent="0.25">
      <c r="A260" s="25">
        <v>41845</v>
      </c>
      <c r="B260" s="24" t="s">
        <v>92</v>
      </c>
      <c r="C260" s="55">
        <v>556.37405999999999</v>
      </c>
      <c r="D260" s="55">
        <f>472917.95+83456.11</f>
        <v>556374.06000000006</v>
      </c>
      <c r="E260" s="28">
        <v>33030</v>
      </c>
      <c r="F260" s="48">
        <v>4122</v>
      </c>
    </row>
    <row r="261" spans="1:6" s="2" customFormat="1" x14ac:dyDescent="0.25">
      <c r="A261" s="25">
        <v>41849</v>
      </c>
      <c r="B261" s="24" t="s">
        <v>184</v>
      </c>
      <c r="C261" s="55">
        <v>100</v>
      </c>
      <c r="D261" s="55">
        <v>100000</v>
      </c>
      <c r="E261" s="28">
        <v>539</v>
      </c>
      <c r="F261" s="48">
        <v>4122</v>
      </c>
    </row>
    <row r="262" spans="1:6" s="2" customFormat="1" x14ac:dyDescent="0.25">
      <c r="A262" s="25">
        <v>41849</v>
      </c>
      <c r="B262" s="24" t="s">
        <v>185</v>
      </c>
      <c r="C262" s="55">
        <v>73</v>
      </c>
      <c r="D262" s="55">
        <v>73000</v>
      </c>
      <c r="E262" s="28">
        <v>539</v>
      </c>
      <c r="F262" s="48">
        <v>4122</v>
      </c>
    </row>
    <row r="263" spans="1:6" s="2" customFormat="1" x14ac:dyDescent="0.25">
      <c r="A263" s="25">
        <v>41849</v>
      </c>
      <c r="B263" s="24" t="s">
        <v>186</v>
      </c>
      <c r="C263" s="55">
        <v>66</v>
      </c>
      <c r="D263" s="55">
        <v>66000</v>
      </c>
      <c r="E263" s="28">
        <v>539</v>
      </c>
      <c r="F263" s="48">
        <v>4122</v>
      </c>
    </row>
    <row r="264" spans="1:6" s="2" customFormat="1" x14ac:dyDescent="0.25">
      <c r="A264" s="25">
        <v>41857</v>
      </c>
      <c r="B264" s="24" t="s">
        <v>149</v>
      </c>
      <c r="C264" s="55">
        <v>1062.93398</v>
      </c>
      <c r="D264" s="55">
        <f>903493.88+159440.1</f>
        <v>1062933.98</v>
      </c>
      <c r="E264" s="28">
        <v>33030</v>
      </c>
      <c r="F264" s="48">
        <v>4122</v>
      </c>
    </row>
    <row r="265" spans="1:6" s="2" customFormat="1" x14ac:dyDescent="0.25">
      <c r="A265" s="25">
        <v>41862</v>
      </c>
      <c r="B265" s="24" t="s">
        <v>189</v>
      </c>
      <c r="C265" s="55">
        <v>876.99243999999999</v>
      </c>
      <c r="D265" s="55">
        <f>745443.57+131548.87</f>
        <v>876992.44</v>
      </c>
      <c r="E265" s="28">
        <v>33030</v>
      </c>
      <c r="F265" s="48">
        <v>4122</v>
      </c>
    </row>
    <row r="266" spans="1:6" s="2" customFormat="1" x14ac:dyDescent="0.25">
      <c r="A266" s="25">
        <v>41865</v>
      </c>
      <c r="B266" s="24" t="s">
        <v>195</v>
      </c>
      <c r="C266" s="55">
        <v>100</v>
      </c>
      <c r="D266" s="55">
        <v>100000</v>
      </c>
      <c r="E266" s="28">
        <v>539</v>
      </c>
      <c r="F266" s="48">
        <v>4122</v>
      </c>
    </row>
    <row r="267" spans="1:6" s="2" customFormat="1" x14ac:dyDescent="0.25">
      <c r="A267" s="25">
        <v>41876</v>
      </c>
      <c r="B267" s="24" t="s">
        <v>162</v>
      </c>
      <c r="C267" s="52">
        <v>40.484209999999997</v>
      </c>
      <c r="D267" s="55">
        <f>34411.57+6072.64</f>
        <v>40484.21</v>
      </c>
      <c r="E267" s="28">
        <v>33030</v>
      </c>
      <c r="F267" s="48">
        <v>4122</v>
      </c>
    </row>
    <row r="268" spans="1:6" s="2" customFormat="1" x14ac:dyDescent="0.25">
      <c r="A268" s="25">
        <v>41877</v>
      </c>
      <c r="B268" s="24" t="s">
        <v>77</v>
      </c>
      <c r="C268" s="52">
        <v>81.12</v>
      </c>
      <c r="D268" s="55">
        <v>81120</v>
      </c>
      <c r="E268" s="28">
        <v>14011</v>
      </c>
      <c r="F268" s="48">
        <v>4122</v>
      </c>
    </row>
    <row r="269" spans="1:6" s="2" customFormat="1" x14ac:dyDescent="0.25">
      <c r="A269" s="25">
        <v>41885</v>
      </c>
      <c r="B269" s="24" t="s">
        <v>200</v>
      </c>
      <c r="C269" s="52">
        <v>60</v>
      </c>
      <c r="D269" s="55">
        <v>60000</v>
      </c>
      <c r="E269" s="28">
        <v>214</v>
      </c>
      <c r="F269" s="48">
        <v>4122</v>
      </c>
    </row>
    <row r="270" spans="1:6" s="2" customFormat="1" x14ac:dyDescent="0.25">
      <c r="A270" s="25">
        <v>41886</v>
      </c>
      <c r="B270" s="24" t="s">
        <v>209</v>
      </c>
      <c r="C270" s="52">
        <v>2000</v>
      </c>
      <c r="D270" s="55">
        <v>2000000</v>
      </c>
      <c r="E270" s="28">
        <v>331</v>
      </c>
      <c r="F270" s="48">
        <v>4122</v>
      </c>
    </row>
    <row r="271" spans="1:6" s="2" customFormat="1" ht="31.5" x14ac:dyDescent="0.25">
      <c r="A271" s="25">
        <v>41908</v>
      </c>
      <c r="B271" s="165" t="s">
        <v>357</v>
      </c>
      <c r="C271" s="52">
        <v>120</v>
      </c>
      <c r="D271" s="55">
        <v>120000</v>
      </c>
      <c r="E271" s="22">
        <v>311</v>
      </c>
      <c r="F271" s="48">
        <v>4122</v>
      </c>
    </row>
    <row r="272" spans="1:6" s="2" customFormat="1" x14ac:dyDescent="0.25">
      <c r="A272" s="25">
        <v>41939</v>
      </c>
      <c r="B272" s="24" t="s">
        <v>248</v>
      </c>
      <c r="C272" s="52">
        <v>367.26477</v>
      </c>
      <c r="D272" s="55">
        <v>367264.77</v>
      </c>
      <c r="E272" s="22">
        <v>33030</v>
      </c>
      <c r="F272" s="48">
        <v>4122</v>
      </c>
    </row>
    <row r="273" spans="1:8" s="2" customFormat="1" x14ac:dyDescent="0.25">
      <c r="A273" s="25">
        <v>41948</v>
      </c>
      <c r="B273" s="24" t="s">
        <v>92</v>
      </c>
      <c r="C273" s="52">
        <v>59.492049999999999</v>
      </c>
      <c r="D273" s="55">
        <v>59492.05</v>
      </c>
      <c r="E273" s="22">
        <v>33030</v>
      </c>
      <c r="F273" s="48">
        <v>4122</v>
      </c>
    </row>
    <row r="274" spans="1:8" s="2" customFormat="1" x14ac:dyDescent="0.25">
      <c r="A274" s="25">
        <v>41948</v>
      </c>
      <c r="B274" s="24" t="s">
        <v>101</v>
      </c>
      <c r="C274" s="52">
        <v>479.05074000000002</v>
      </c>
      <c r="D274" s="55">
        <f>407193.12+71857.62</f>
        <v>479050.74</v>
      </c>
      <c r="E274" s="22">
        <v>33030</v>
      </c>
      <c r="F274" s="48">
        <v>4122</v>
      </c>
    </row>
    <row r="275" spans="1:8" s="2" customFormat="1" x14ac:dyDescent="0.25">
      <c r="A275" s="25">
        <v>41948</v>
      </c>
      <c r="B275" s="24" t="s">
        <v>146</v>
      </c>
      <c r="C275" s="52">
        <v>2226.5305499999999</v>
      </c>
      <c r="D275" s="55">
        <v>2226530.5499999998</v>
      </c>
      <c r="E275" s="22">
        <v>33030</v>
      </c>
      <c r="F275" s="48">
        <v>4122</v>
      </c>
    </row>
    <row r="276" spans="1:8" s="2" customFormat="1" x14ac:dyDescent="0.25">
      <c r="A276" s="25">
        <v>41948</v>
      </c>
      <c r="B276" s="24" t="s">
        <v>145</v>
      </c>
      <c r="C276" s="52">
        <v>350.97582999999997</v>
      </c>
      <c r="D276" s="55">
        <v>350975.83</v>
      </c>
      <c r="E276" s="22">
        <v>33030</v>
      </c>
      <c r="F276" s="48">
        <v>4122</v>
      </c>
    </row>
    <row r="277" spans="1:8" s="2" customFormat="1" x14ac:dyDescent="0.25">
      <c r="A277" s="25">
        <v>41957</v>
      </c>
      <c r="B277" s="24" t="s">
        <v>72</v>
      </c>
      <c r="C277" s="52">
        <v>148.68736999999999</v>
      </c>
      <c r="D277" s="55">
        <f>126384.25+22303.12</f>
        <v>148687.37</v>
      </c>
      <c r="E277" s="22">
        <v>33030</v>
      </c>
      <c r="F277" s="48">
        <v>4122</v>
      </c>
    </row>
    <row r="278" spans="1:8" s="2" customFormat="1" x14ac:dyDescent="0.25">
      <c r="A278" s="25">
        <v>41957</v>
      </c>
      <c r="B278" s="24" t="s">
        <v>81</v>
      </c>
      <c r="C278" s="52">
        <v>385.09258999999997</v>
      </c>
      <c r="D278" s="55">
        <v>385092.59</v>
      </c>
      <c r="E278" s="22">
        <v>33030</v>
      </c>
      <c r="F278" s="48">
        <v>4122</v>
      </c>
    </row>
    <row r="279" spans="1:8" s="2" customFormat="1" x14ac:dyDescent="0.25">
      <c r="A279" s="25">
        <v>41969</v>
      </c>
      <c r="B279" s="24" t="s">
        <v>276</v>
      </c>
      <c r="C279" s="52">
        <v>580</v>
      </c>
      <c r="D279" s="55">
        <v>580000</v>
      </c>
      <c r="E279" s="22">
        <v>331</v>
      </c>
      <c r="F279" s="48">
        <v>4122</v>
      </c>
    </row>
    <row r="280" spans="1:8" s="2" customFormat="1" x14ac:dyDescent="0.25">
      <c r="A280" s="25">
        <v>41969</v>
      </c>
      <c r="B280" s="24" t="s">
        <v>277</v>
      </c>
      <c r="C280" s="52">
        <v>20</v>
      </c>
      <c r="D280" s="55">
        <v>20000</v>
      </c>
      <c r="E280" s="22">
        <v>331</v>
      </c>
      <c r="F280" s="48">
        <v>4122</v>
      </c>
      <c r="H280" s="1"/>
    </row>
    <row r="281" spans="1:8" s="2" customFormat="1" x14ac:dyDescent="0.25">
      <c r="A281" s="25">
        <v>41969</v>
      </c>
      <c r="B281" s="24" t="s">
        <v>278</v>
      </c>
      <c r="C281" s="52">
        <v>240</v>
      </c>
      <c r="D281" s="55">
        <v>240000</v>
      </c>
      <c r="E281" s="22">
        <v>331</v>
      </c>
      <c r="F281" s="48">
        <v>4122</v>
      </c>
      <c r="H281" s="1"/>
    </row>
    <row r="282" spans="1:8" s="2" customFormat="1" x14ac:dyDescent="0.25">
      <c r="A282" s="25">
        <v>41969</v>
      </c>
      <c r="B282" s="24" t="s">
        <v>283</v>
      </c>
      <c r="C282" s="52">
        <v>1800</v>
      </c>
      <c r="D282" s="55">
        <v>1800000</v>
      </c>
      <c r="E282" s="22">
        <v>222</v>
      </c>
      <c r="F282" s="48">
        <v>4122</v>
      </c>
      <c r="H282" s="1"/>
    </row>
    <row r="283" spans="1:8" s="2" customFormat="1" x14ac:dyDescent="0.25">
      <c r="A283" s="25">
        <v>41976</v>
      </c>
      <c r="B283" s="24" t="s">
        <v>103</v>
      </c>
      <c r="C283" s="52">
        <v>306.74346000000003</v>
      </c>
      <c r="D283" s="55">
        <f>260731.94+46011.52</f>
        <v>306743.46000000002</v>
      </c>
      <c r="E283" s="22">
        <v>33030</v>
      </c>
      <c r="F283" s="48">
        <v>4122</v>
      </c>
      <c r="H283" s="1"/>
    </row>
    <row r="284" spans="1:8" s="2" customFormat="1" x14ac:dyDescent="0.25">
      <c r="A284" s="25">
        <v>41976</v>
      </c>
      <c r="B284" s="24" t="s">
        <v>119</v>
      </c>
      <c r="C284" s="52">
        <v>278.21814999999998</v>
      </c>
      <c r="D284" s="55">
        <f>236485.42+41732.73</f>
        <v>278218.15000000002</v>
      </c>
      <c r="E284" s="22">
        <v>33030</v>
      </c>
      <c r="F284" s="48">
        <v>4122</v>
      </c>
      <c r="H284" s="1"/>
    </row>
    <row r="285" spans="1:8" s="2" customFormat="1" x14ac:dyDescent="0.25">
      <c r="A285" s="25">
        <v>41984</v>
      </c>
      <c r="B285" s="24" t="s">
        <v>102</v>
      </c>
      <c r="C285" s="52">
        <v>785.92787999999996</v>
      </c>
      <c r="D285" s="55">
        <v>785927.88</v>
      </c>
      <c r="E285" s="22">
        <v>33030</v>
      </c>
      <c r="F285" s="48">
        <v>4122</v>
      </c>
      <c r="H285" s="1"/>
    </row>
    <row r="286" spans="1:8" s="2" customFormat="1" x14ac:dyDescent="0.25">
      <c r="A286" s="25">
        <v>41991</v>
      </c>
      <c r="B286" s="24" t="s">
        <v>77</v>
      </c>
      <c r="C286" s="52">
        <v>44.2</v>
      </c>
      <c r="D286" s="55">
        <v>44200</v>
      </c>
      <c r="E286" s="22">
        <v>14011</v>
      </c>
      <c r="F286" s="48">
        <v>4122</v>
      </c>
      <c r="H286" s="1"/>
    </row>
    <row r="287" spans="1:8" s="2" customFormat="1" x14ac:dyDescent="0.25">
      <c r="A287" s="25">
        <v>41992</v>
      </c>
      <c r="B287" s="24" t="s">
        <v>80</v>
      </c>
      <c r="C287" s="52">
        <v>93.969849999999994</v>
      </c>
      <c r="D287" s="55">
        <v>93969.85</v>
      </c>
      <c r="E287" s="22">
        <v>33030</v>
      </c>
      <c r="F287" s="48">
        <v>4122</v>
      </c>
      <c r="H287" s="1"/>
    </row>
    <row r="288" spans="1:8" s="2" customFormat="1" x14ac:dyDescent="0.25">
      <c r="A288" s="25">
        <v>41992</v>
      </c>
      <c r="B288" s="24" t="s">
        <v>306</v>
      </c>
      <c r="C288" s="52">
        <v>188.25846999999999</v>
      </c>
      <c r="D288" s="55">
        <f>160019.69+28238.78</f>
        <v>188258.47</v>
      </c>
      <c r="E288" s="22">
        <v>33030</v>
      </c>
      <c r="F288" s="48">
        <v>4122</v>
      </c>
      <c r="H288" s="1"/>
    </row>
    <row r="289" spans="1:8" s="2" customFormat="1" x14ac:dyDescent="0.25">
      <c r="A289" s="25">
        <v>41992</v>
      </c>
      <c r="B289" s="24" t="s">
        <v>69</v>
      </c>
      <c r="C289" s="52">
        <v>0.99221999999999999</v>
      </c>
      <c r="D289" s="55">
        <f>843.38+148.84</f>
        <v>992.22</v>
      </c>
      <c r="E289" s="22">
        <v>33030</v>
      </c>
      <c r="F289" s="48">
        <v>4122</v>
      </c>
      <c r="H289" s="1"/>
    </row>
    <row r="290" spans="1:8" s="2" customFormat="1" x14ac:dyDescent="0.25">
      <c r="A290" s="25">
        <v>41992</v>
      </c>
      <c r="B290" s="24" t="s">
        <v>117</v>
      </c>
      <c r="C290" s="52">
        <v>848.11527999999998</v>
      </c>
      <c r="D290" s="55">
        <f>720897.98+127217.3</f>
        <v>848115.28</v>
      </c>
      <c r="E290" s="22">
        <v>33030</v>
      </c>
      <c r="F290" s="48">
        <v>4122</v>
      </c>
      <c r="H290" s="1"/>
    </row>
    <row r="291" spans="1:8" s="2" customFormat="1" x14ac:dyDescent="0.25">
      <c r="A291" s="25">
        <v>41992</v>
      </c>
      <c r="B291" s="24" t="s">
        <v>116</v>
      </c>
      <c r="C291" s="52">
        <v>323.90965999999997</v>
      </c>
      <c r="D291" s="55">
        <f>275323.21+48586.45</f>
        <v>323909.66000000003</v>
      </c>
      <c r="E291" s="22">
        <v>33030</v>
      </c>
      <c r="F291" s="48">
        <v>4122</v>
      </c>
      <c r="H291" s="1"/>
    </row>
    <row r="292" spans="1:8" s="2" customFormat="1" x14ac:dyDescent="0.25">
      <c r="A292" s="25">
        <v>41992</v>
      </c>
      <c r="B292" s="24" t="s">
        <v>70</v>
      </c>
      <c r="C292" s="52">
        <v>636.83671000000004</v>
      </c>
      <c r="D292" s="55">
        <f>541311.2+95525.51</f>
        <v>636836.71</v>
      </c>
      <c r="E292" s="22">
        <v>33030</v>
      </c>
      <c r="F292" s="48">
        <v>4122</v>
      </c>
      <c r="H292" s="1"/>
    </row>
    <row r="293" spans="1:8" s="2" customFormat="1" x14ac:dyDescent="0.25">
      <c r="A293" s="25">
        <v>41992</v>
      </c>
      <c r="B293" s="24" t="s">
        <v>88</v>
      </c>
      <c r="C293" s="52">
        <v>2073.7684199999999</v>
      </c>
      <c r="D293" s="55">
        <f>1762703.15+311065.27</f>
        <v>2073768.42</v>
      </c>
      <c r="E293" s="22">
        <v>33030</v>
      </c>
      <c r="F293" s="48">
        <v>4122</v>
      </c>
      <c r="H293" s="1"/>
    </row>
    <row r="294" spans="1:8" s="2" customFormat="1" x14ac:dyDescent="0.25">
      <c r="A294" s="25"/>
      <c r="B294" s="24" t="s">
        <v>317</v>
      </c>
      <c r="C294" s="52">
        <v>6.976</v>
      </c>
      <c r="D294" s="55">
        <v>6976</v>
      </c>
      <c r="E294" s="22">
        <v>14004</v>
      </c>
      <c r="F294" s="48">
        <v>4122</v>
      </c>
      <c r="H294" s="1"/>
    </row>
    <row r="295" spans="1:8" s="2" customFormat="1" x14ac:dyDescent="0.25">
      <c r="A295" s="25"/>
      <c r="B295" s="24" t="s">
        <v>255</v>
      </c>
      <c r="C295" s="52">
        <v>64</v>
      </c>
      <c r="D295" s="55">
        <v>64000</v>
      </c>
      <c r="E295" s="22">
        <v>551</v>
      </c>
      <c r="F295" s="48">
        <v>4122</v>
      </c>
      <c r="H295" s="1"/>
    </row>
    <row r="296" spans="1:8" s="2" customFormat="1" x14ac:dyDescent="0.25">
      <c r="A296" s="25"/>
      <c r="B296" s="24" t="s">
        <v>324</v>
      </c>
      <c r="C296" s="52">
        <v>6.8</v>
      </c>
      <c r="D296" s="55">
        <v>6800</v>
      </c>
      <c r="E296" s="22">
        <v>14004</v>
      </c>
      <c r="F296" s="48">
        <v>4122</v>
      </c>
      <c r="H296" s="1"/>
    </row>
    <row r="297" spans="1:8" s="2" customFormat="1" x14ac:dyDescent="0.25">
      <c r="A297" s="25"/>
      <c r="B297" s="24" t="s">
        <v>274</v>
      </c>
      <c r="C297" s="52">
        <v>102.53</v>
      </c>
      <c r="D297" s="55">
        <v>102530</v>
      </c>
      <c r="E297" s="22">
        <v>14004</v>
      </c>
      <c r="F297" s="48">
        <v>4122</v>
      </c>
      <c r="H297" s="1"/>
    </row>
    <row r="298" spans="1:8" s="2" customFormat="1" x14ac:dyDescent="0.25">
      <c r="A298" s="25"/>
      <c r="B298" s="24" t="s">
        <v>321</v>
      </c>
      <c r="C298" s="52">
        <v>6.8</v>
      </c>
      <c r="D298" s="55">
        <v>6800</v>
      </c>
      <c r="E298" s="22">
        <v>14004</v>
      </c>
      <c r="F298" s="48">
        <v>4122</v>
      </c>
      <c r="H298" s="1"/>
    </row>
    <row r="299" spans="1:8" s="2" customFormat="1" x14ac:dyDescent="0.25">
      <c r="A299" s="25"/>
      <c r="B299" s="24" t="s">
        <v>316</v>
      </c>
      <c r="C299" s="52">
        <v>0.8</v>
      </c>
      <c r="D299" s="55">
        <v>800</v>
      </c>
      <c r="E299" s="22">
        <v>14004</v>
      </c>
      <c r="F299" s="48">
        <v>4122</v>
      </c>
      <c r="H299" s="1"/>
    </row>
    <row r="300" spans="1:8" s="2" customFormat="1" x14ac:dyDescent="0.25">
      <c r="A300" s="25"/>
      <c r="B300" s="24" t="s">
        <v>325</v>
      </c>
      <c r="C300" s="52">
        <v>3.6</v>
      </c>
      <c r="D300" s="55">
        <v>3600</v>
      </c>
      <c r="E300" s="22">
        <v>14004</v>
      </c>
      <c r="F300" s="48">
        <v>4122</v>
      </c>
      <c r="H300" s="1"/>
    </row>
    <row r="301" spans="1:8" s="2" customFormat="1" x14ac:dyDescent="0.25">
      <c r="A301" s="25"/>
      <c r="B301" s="24" t="s">
        <v>256</v>
      </c>
      <c r="C301" s="52">
        <v>140</v>
      </c>
      <c r="D301" s="55">
        <v>140000</v>
      </c>
      <c r="E301" s="22">
        <v>551</v>
      </c>
      <c r="F301" s="48">
        <v>4122</v>
      </c>
      <c r="H301" s="1"/>
    </row>
    <row r="302" spans="1:8" s="2" customFormat="1" x14ac:dyDescent="0.25">
      <c r="A302" s="25"/>
      <c r="B302" s="24" t="s">
        <v>322</v>
      </c>
      <c r="C302" s="52">
        <v>11.499000000000001</v>
      </c>
      <c r="D302" s="55">
        <v>11499</v>
      </c>
      <c r="E302" s="22">
        <v>14004</v>
      </c>
      <c r="F302" s="48">
        <v>4122</v>
      </c>
      <c r="H302" s="1"/>
    </row>
    <row r="303" spans="1:8" s="2" customFormat="1" x14ac:dyDescent="0.25">
      <c r="A303" s="49"/>
      <c r="B303" s="24" t="s">
        <v>226</v>
      </c>
      <c r="C303" s="167">
        <v>3000</v>
      </c>
      <c r="D303" s="168">
        <v>3000000</v>
      </c>
      <c r="E303" s="173">
        <v>311</v>
      </c>
      <c r="F303" s="169">
        <v>4122</v>
      </c>
      <c r="H303" s="1"/>
    </row>
    <row r="304" spans="1:8" s="2" customFormat="1" x14ac:dyDescent="0.25">
      <c r="A304" s="25"/>
      <c r="B304" s="171" t="s">
        <v>257</v>
      </c>
      <c r="C304" s="172">
        <v>70</v>
      </c>
      <c r="D304" s="56">
        <v>70000</v>
      </c>
      <c r="E304" s="28">
        <v>551</v>
      </c>
      <c r="F304" s="29">
        <v>4122</v>
      </c>
      <c r="H304" s="1"/>
    </row>
    <row r="305" spans="1:8" s="2" customFormat="1" x14ac:dyDescent="0.25">
      <c r="A305" s="25"/>
      <c r="B305" s="171" t="s">
        <v>318</v>
      </c>
      <c r="C305" s="172">
        <v>2.8</v>
      </c>
      <c r="D305" s="56">
        <v>2800</v>
      </c>
      <c r="E305" s="28">
        <v>14004</v>
      </c>
      <c r="F305" s="29">
        <v>4122</v>
      </c>
      <c r="H305" s="1"/>
    </row>
    <row r="306" spans="1:8" s="2" customFormat="1" x14ac:dyDescent="0.25">
      <c r="A306" s="25"/>
      <c r="B306" s="171" t="s">
        <v>246</v>
      </c>
      <c r="C306" s="172">
        <v>300</v>
      </c>
      <c r="D306" s="56">
        <v>300000</v>
      </c>
      <c r="E306" s="28">
        <v>342</v>
      </c>
      <c r="F306" s="29">
        <v>4122</v>
      </c>
      <c r="H306" s="1"/>
    </row>
    <row r="307" spans="1:8" s="2" customFormat="1" x14ac:dyDescent="0.25">
      <c r="A307" s="25"/>
      <c r="B307" s="171" t="s">
        <v>323</v>
      </c>
      <c r="C307" s="172">
        <v>1.494</v>
      </c>
      <c r="D307" s="56">
        <v>1494</v>
      </c>
      <c r="E307" s="28">
        <v>14004</v>
      </c>
      <c r="F307" s="29">
        <v>4122</v>
      </c>
      <c r="H307" s="1"/>
    </row>
    <row r="308" spans="1:8" s="2" customFormat="1" x14ac:dyDescent="0.25">
      <c r="A308" s="25"/>
      <c r="B308" s="171" t="s">
        <v>201</v>
      </c>
      <c r="C308" s="56">
        <f>827.37418+607.38541+107.18567+726.1137</f>
        <v>2268.0589600000003</v>
      </c>
      <c r="D308" s="56">
        <f>827374.18+714571.08+726113.7</f>
        <v>2268058.96</v>
      </c>
      <c r="E308" s="28">
        <v>33030</v>
      </c>
      <c r="F308" s="29">
        <v>4122</v>
      </c>
      <c r="H308" s="1"/>
    </row>
    <row r="309" spans="1:8" s="2" customFormat="1" x14ac:dyDescent="0.25">
      <c r="A309" s="12"/>
      <c r="B309" s="7" t="s">
        <v>253</v>
      </c>
      <c r="C309" s="170">
        <v>27</v>
      </c>
      <c r="D309" s="170">
        <v>27000</v>
      </c>
      <c r="E309" s="22">
        <v>551</v>
      </c>
      <c r="F309" s="48">
        <v>4122</v>
      </c>
      <c r="H309" s="1"/>
    </row>
    <row r="310" spans="1:8" s="2" customFormat="1" x14ac:dyDescent="0.25">
      <c r="A310" s="25"/>
      <c r="B310" s="24" t="s">
        <v>327</v>
      </c>
      <c r="C310" s="55">
        <v>42.597000000000001</v>
      </c>
      <c r="D310" s="55">
        <v>42597</v>
      </c>
      <c r="E310" s="28">
        <v>14004</v>
      </c>
      <c r="F310" s="48">
        <v>4122</v>
      </c>
      <c r="H310" s="1"/>
    </row>
    <row r="311" spans="1:8" s="2" customFormat="1" x14ac:dyDescent="0.25">
      <c r="A311" s="25"/>
      <c r="B311" s="24" t="s">
        <v>315</v>
      </c>
      <c r="C311" s="55">
        <v>33.359000000000002</v>
      </c>
      <c r="D311" s="55">
        <v>33359</v>
      </c>
      <c r="E311" s="28">
        <v>14004</v>
      </c>
      <c r="F311" s="48">
        <v>4122</v>
      </c>
      <c r="H311" s="1"/>
    </row>
    <row r="312" spans="1:8" s="2" customFormat="1" x14ac:dyDescent="0.25">
      <c r="A312" s="25"/>
      <c r="B312" s="24" t="s">
        <v>194</v>
      </c>
      <c r="C312" s="55">
        <v>30</v>
      </c>
      <c r="D312" s="55">
        <v>30000</v>
      </c>
      <c r="E312" s="28">
        <v>331</v>
      </c>
      <c r="F312" s="48">
        <v>4122</v>
      </c>
      <c r="H312" s="1"/>
    </row>
    <row r="313" spans="1:8" s="2" customFormat="1" x14ac:dyDescent="0.25">
      <c r="A313" s="25"/>
      <c r="B313" s="24" t="s">
        <v>314</v>
      </c>
      <c r="C313" s="55">
        <v>3.2</v>
      </c>
      <c r="D313" s="55">
        <v>3200</v>
      </c>
      <c r="E313" s="28">
        <v>14004</v>
      </c>
      <c r="F313" s="48">
        <v>4122</v>
      </c>
      <c r="H313" s="1"/>
    </row>
    <row r="314" spans="1:8" s="2" customFormat="1" x14ac:dyDescent="0.25">
      <c r="A314" s="25"/>
      <c r="B314" s="24" t="s">
        <v>227</v>
      </c>
      <c r="C314" s="55">
        <v>25</v>
      </c>
      <c r="D314" s="55">
        <v>25000</v>
      </c>
      <c r="E314" s="28">
        <v>331</v>
      </c>
      <c r="F314" s="48">
        <v>4122</v>
      </c>
      <c r="H314" s="1"/>
    </row>
    <row r="315" spans="1:8" s="2" customFormat="1" x14ac:dyDescent="0.25">
      <c r="A315" s="25"/>
      <c r="B315" s="24" t="s">
        <v>228</v>
      </c>
      <c r="C315" s="55">
        <v>50</v>
      </c>
      <c r="D315" s="55">
        <v>50000</v>
      </c>
      <c r="E315" s="28">
        <v>342</v>
      </c>
      <c r="F315" s="48">
        <v>4122</v>
      </c>
      <c r="H315" s="1"/>
    </row>
    <row r="316" spans="1:8" s="2" customFormat="1" x14ac:dyDescent="0.25">
      <c r="A316" s="25"/>
      <c r="B316" s="24" t="s">
        <v>229</v>
      </c>
      <c r="C316" s="55">
        <v>70</v>
      </c>
      <c r="D316" s="55">
        <v>70000</v>
      </c>
      <c r="E316" s="28">
        <v>101</v>
      </c>
      <c r="F316" s="48">
        <v>4122</v>
      </c>
      <c r="H316" s="1"/>
    </row>
    <row r="317" spans="1:8" s="2" customFormat="1" x14ac:dyDescent="0.25">
      <c r="A317" s="25"/>
      <c r="B317" s="24" t="s">
        <v>339</v>
      </c>
      <c r="C317" s="55">
        <v>70</v>
      </c>
      <c r="D317" s="55">
        <v>70000</v>
      </c>
      <c r="E317" s="28">
        <v>551</v>
      </c>
      <c r="F317" s="48">
        <v>4122</v>
      </c>
      <c r="H317" s="1"/>
    </row>
    <row r="318" spans="1:8" s="2" customFormat="1" x14ac:dyDescent="0.25">
      <c r="A318" s="25"/>
      <c r="B318" s="24" t="s">
        <v>328</v>
      </c>
      <c r="C318" s="55">
        <v>2</v>
      </c>
      <c r="D318" s="55">
        <v>2000</v>
      </c>
      <c r="E318" s="28">
        <v>14004</v>
      </c>
      <c r="F318" s="48">
        <v>4122</v>
      </c>
      <c r="H318" s="1"/>
    </row>
    <row r="319" spans="1:8" s="2" customFormat="1" x14ac:dyDescent="0.25">
      <c r="A319" s="25"/>
      <c r="B319" s="24" t="s">
        <v>199</v>
      </c>
      <c r="C319" s="55">
        <v>185</v>
      </c>
      <c r="D319" s="55">
        <v>185000</v>
      </c>
      <c r="E319" s="28">
        <v>435</v>
      </c>
      <c r="F319" s="48">
        <v>4122</v>
      </c>
      <c r="H319" s="1"/>
    </row>
    <row r="320" spans="1:8" s="2" customFormat="1" x14ac:dyDescent="0.25">
      <c r="A320" s="25"/>
      <c r="B320" s="24" t="s">
        <v>259</v>
      </c>
      <c r="C320" s="55">
        <v>90</v>
      </c>
      <c r="D320" s="55">
        <v>90000</v>
      </c>
      <c r="E320" s="28">
        <v>551</v>
      </c>
      <c r="F320" s="48">
        <v>4122</v>
      </c>
    </row>
    <row r="321" spans="1:8" s="2" customFormat="1" x14ac:dyDescent="0.25">
      <c r="A321" s="25"/>
      <c r="B321" s="24" t="s">
        <v>329</v>
      </c>
      <c r="C321" s="55">
        <v>11.2</v>
      </c>
      <c r="D321" s="55">
        <v>11200</v>
      </c>
      <c r="E321" s="28">
        <v>14004</v>
      </c>
      <c r="F321" s="48">
        <v>4122</v>
      </c>
    </row>
    <row r="322" spans="1:8" s="2" customFormat="1" x14ac:dyDescent="0.25">
      <c r="A322" s="25"/>
      <c r="B322" s="24" t="s">
        <v>326</v>
      </c>
      <c r="C322" s="55">
        <v>0.8</v>
      </c>
      <c r="D322" s="55">
        <v>800</v>
      </c>
      <c r="E322" s="28">
        <v>14004</v>
      </c>
      <c r="F322" s="48">
        <v>4122</v>
      </c>
    </row>
    <row r="323" spans="1:8" s="2" customFormat="1" x14ac:dyDescent="0.25">
      <c r="A323" s="25"/>
      <c r="B323" s="24"/>
      <c r="C323" s="55"/>
      <c r="D323" s="55"/>
      <c r="E323" s="28"/>
      <c r="F323" s="29"/>
    </row>
    <row r="324" spans="1:8" s="2" customFormat="1" x14ac:dyDescent="0.25">
      <c r="A324" s="25"/>
      <c r="B324" s="30" t="s">
        <v>55</v>
      </c>
      <c r="C324" s="26">
        <f>SUM(C325:C329)</f>
        <v>1855.9939900000002</v>
      </c>
      <c r="D324" s="27">
        <f>+SUM(D325:D329)</f>
        <v>1855993.99</v>
      </c>
      <c r="E324" s="28"/>
      <c r="F324" s="29"/>
    </row>
    <row r="325" spans="1:8" s="2" customFormat="1" x14ac:dyDescent="0.25">
      <c r="A325" s="12">
        <v>41768</v>
      </c>
      <c r="B325" s="24" t="s">
        <v>107</v>
      </c>
      <c r="C325" s="52">
        <v>1052.0603000000001</v>
      </c>
      <c r="D325" s="55">
        <v>1052060.3</v>
      </c>
      <c r="E325" s="22">
        <v>86005</v>
      </c>
      <c r="F325" s="48">
        <v>4123</v>
      </c>
    </row>
    <row r="326" spans="1:8" s="2" customFormat="1" x14ac:dyDescent="0.25">
      <c r="A326" s="49">
        <v>41768</v>
      </c>
      <c r="B326" s="24" t="s">
        <v>107</v>
      </c>
      <c r="C326" s="52">
        <v>92.828850000000003</v>
      </c>
      <c r="D326" s="55">
        <v>92828.85</v>
      </c>
      <c r="E326" s="62">
        <v>86001</v>
      </c>
      <c r="F326" s="48">
        <v>4123</v>
      </c>
    </row>
    <row r="327" spans="1:8" s="2" customFormat="1" x14ac:dyDescent="0.25">
      <c r="A327" s="49">
        <v>41835</v>
      </c>
      <c r="B327" s="24" t="s">
        <v>181</v>
      </c>
      <c r="C327" s="52">
        <v>653.44768999999997</v>
      </c>
      <c r="D327" s="55">
        <v>653447.68999999994</v>
      </c>
      <c r="E327" s="62">
        <v>86005</v>
      </c>
      <c r="F327" s="48">
        <v>4123</v>
      </c>
    </row>
    <row r="328" spans="1:8" s="2" customFormat="1" x14ac:dyDescent="0.25">
      <c r="A328" s="49">
        <v>41835</v>
      </c>
      <c r="B328" s="24" t="s">
        <v>181</v>
      </c>
      <c r="C328" s="52">
        <v>57.657150000000001</v>
      </c>
      <c r="D328" s="55">
        <v>57657.15</v>
      </c>
      <c r="E328" s="62">
        <v>86001</v>
      </c>
      <c r="F328" s="48">
        <v>4123</v>
      </c>
    </row>
    <row r="329" spans="1:8" x14ac:dyDescent="0.25">
      <c r="A329" s="50"/>
      <c r="B329" s="64"/>
      <c r="C329" s="65"/>
      <c r="D329" s="56"/>
      <c r="E329" s="60"/>
      <c r="F329" s="48"/>
      <c r="G329" s="2"/>
      <c r="H329" s="2"/>
    </row>
    <row r="330" spans="1:8" s="2" customFormat="1" x14ac:dyDescent="0.25">
      <c r="A330" s="25"/>
      <c r="B330" s="66" t="s">
        <v>56</v>
      </c>
      <c r="C330" s="30">
        <f>+C331</f>
        <v>328</v>
      </c>
      <c r="D330" s="31">
        <f>+D331</f>
        <v>327409.55</v>
      </c>
      <c r="E330" s="28"/>
      <c r="F330" s="29"/>
    </row>
    <row r="331" spans="1:8" s="45" customFormat="1" x14ac:dyDescent="0.25">
      <c r="A331" s="43">
        <v>41669</v>
      </c>
      <c r="B331" s="44" t="s">
        <v>57</v>
      </c>
      <c r="C331" s="47">
        <v>328</v>
      </c>
      <c r="D331" s="47">
        <v>327409.55</v>
      </c>
      <c r="E331" s="67"/>
      <c r="F331" s="68">
        <v>4151</v>
      </c>
      <c r="G331" s="2"/>
      <c r="H331" s="2"/>
    </row>
    <row r="332" spans="1:8" s="2" customFormat="1" x14ac:dyDescent="0.25">
      <c r="A332" s="25"/>
      <c r="B332" s="23"/>
      <c r="C332" s="46"/>
      <c r="D332" s="47"/>
      <c r="E332" s="28"/>
      <c r="F332" s="48"/>
    </row>
    <row r="333" spans="1:8" s="2" customFormat="1" x14ac:dyDescent="0.25">
      <c r="A333" s="25"/>
      <c r="B333" s="69" t="s">
        <v>58</v>
      </c>
      <c r="C333" s="30">
        <f>+SUM(C334:C337)</f>
        <v>5888</v>
      </c>
      <c r="D333" s="31">
        <f>+SUM(D334:D337)</f>
        <v>5886167.8700000001</v>
      </c>
      <c r="E333" s="28"/>
      <c r="F333" s="48"/>
    </row>
    <row r="334" spans="1:8" s="45" customFormat="1" x14ac:dyDescent="0.25">
      <c r="A334" s="43">
        <v>41661</v>
      </c>
      <c r="B334" s="24" t="s">
        <v>60</v>
      </c>
      <c r="C334" s="53">
        <v>448</v>
      </c>
      <c r="D334" s="55">
        <v>447498.68</v>
      </c>
      <c r="E334" s="67"/>
      <c r="F334" s="68">
        <v>4152</v>
      </c>
      <c r="G334" s="2"/>
      <c r="H334" s="2"/>
    </row>
    <row r="335" spans="1:8" s="45" customFormat="1" x14ac:dyDescent="0.25">
      <c r="A335" s="43">
        <v>41670</v>
      </c>
      <c r="B335" s="24" t="s">
        <v>59</v>
      </c>
      <c r="C335" s="53">
        <v>2852</v>
      </c>
      <c r="D335" s="55">
        <v>2851674.69</v>
      </c>
      <c r="E335" s="67"/>
      <c r="F335" s="68">
        <v>4152</v>
      </c>
      <c r="G335" s="2"/>
      <c r="H335" s="2"/>
    </row>
    <row r="336" spans="1:8" s="45" customFormat="1" x14ac:dyDescent="0.25">
      <c r="A336" s="43">
        <v>41773</v>
      </c>
      <c r="B336" s="24" t="s">
        <v>110</v>
      </c>
      <c r="C336" s="53">
        <v>2097</v>
      </c>
      <c r="D336" s="55">
        <v>2096090.44</v>
      </c>
      <c r="E336" s="67"/>
      <c r="F336" s="68">
        <v>4152</v>
      </c>
      <c r="G336" s="2"/>
      <c r="H336" s="2"/>
    </row>
    <row r="337" spans="1:8" s="45" customFormat="1" x14ac:dyDescent="0.25">
      <c r="A337" s="43">
        <v>41810</v>
      </c>
      <c r="B337" s="24" t="s">
        <v>127</v>
      </c>
      <c r="C337" s="53">
        <v>491</v>
      </c>
      <c r="D337" s="55">
        <v>490904.06</v>
      </c>
      <c r="E337" s="67"/>
      <c r="F337" s="68">
        <v>4152</v>
      </c>
      <c r="G337" s="2"/>
      <c r="H337" s="2"/>
    </row>
    <row r="338" spans="1:8" x14ac:dyDescent="0.25">
      <c r="A338" s="50"/>
      <c r="B338" s="24"/>
      <c r="C338" s="59"/>
      <c r="D338" s="55"/>
      <c r="E338" s="60"/>
      <c r="F338" s="63"/>
      <c r="G338" s="2"/>
      <c r="H338" s="2"/>
    </row>
    <row r="339" spans="1:8" s="2" customFormat="1" x14ac:dyDescent="0.25">
      <c r="A339" s="25"/>
      <c r="B339" s="70" t="s">
        <v>61</v>
      </c>
      <c r="C339" s="26">
        <f>+C333+C211+C142+C139+C118+C105+C37+C11+C7+C123+C330+C324+C208+C63+C156+C181+C19+C173+C33</f>
        <v>261773.67747000002</v>
      </c>
      <c r="D339" s="27">
        <f>+D333+D211+D142+D139+D118+D105+D37+D11+D7+D123+D330+D324+D208+D63+D156+D181+D19+D173+D33</f>
        <v>263072819.49000004</v>
      </c>
      <c r="E339" s="71"/>
      <c r="F339" s="22"/>
    </row>
    <row r="340" spans="1:8" s="2" customFormat="1" ht="16.5" thickBot="1" x14ac:dyDescent="0.3">
      <c r="A340" s="72"/>
      <c r="B340" s="73"/>
      <c r="C340" s="74"/>
      <c r="D340" s="75"/>
      <c r="E340" s="76"/>
      <c r="F340" s="77"/>
    </row>
    <row r="341" spans="1:8" s="2" customFormat="1" x14ac:dyDescent="0.25">
      <c r="A341" s="78"/>
      <c r="B341" s="7"/>
      <c r="C341" s="7"/>
      <c r="D341" s="79"/>
      <c r="E341" s="80"/>
      <c r="F341" s="80"/>
    </row>
    <row r="342" spans="1:8" s="2" customFormat="1" ht="16.5" thickBot="1" x14ac:dyDescent="0.3">
      <c r="A342" s="78"/>
      <c r="B342" s="7"/>
      <c r="C342" s="7"/>
      <c r="D342" s="79"/>
      <c r="E342" s="80"/>
      <c r="F342" s="80"/>
    </row>
    <row r="343" spans="1:8" s="2" customFormat="1" x14ac:dyDescent="0.25">
      <c r="A343" s="3"/>
      <c r="B343" s="4"/>
      <c r="C343" s="4"/>
      <c r="D343" s="5"/>
      <c r="E343" s="81"/>
      <c r="F343" s="81"/>
    </row>
    <row r="344" spans="1:8" s="2" customFormat="1" ht="16.5" thickBot="1" x14ac:dyDescent="0.3">
      <c r="A344" s="8" t="s">
        <v>1</v>
      </c>
      <c r="B344" s="9" t="s">
        <v>62</v>
      </c>
      <c r="C344" s="9" t="s">
        <v>3</v>
      </c>
      <c r="D344" s="10" t="s">
        <v>4</v>
      </c>
      <c r="E344" s="82" t="s">
        <v>5</v>
      </c>
      <c r="F344" s="82" t="s">
        <v>6</v>
      </c>
    </row>
    <row r="345" spans="1:8" s="2" customFormat="1" x14ac:dyDescent="0.25">
      <c r="A345" s="25"/>
      <c r="B345" s="13" t="s">
        <v>16</v>
      </c>
      <c r="C345" s="39">
        <f>+SUM(C346:C378)</f>
        <v>21565.72265</v>
      </c>
      <c r="D345" s="40">
        <f>+SUM(D346:D378)</f>
        <v>21424166.930000007</v>
      </c>
      <c r="E345" s="48"/>
      <c r="F345" s="48"/>
    </row>
    <row r="346" spans="1:8" s="2" customFormat="1" x14ac:dyDescent="0.25">
      <c r="A346" s="25">
        <v>41918</v>
      </c>
      <c r="B346" s="44" t="s">
        <v>76</v>
      </c>
      <c r="C346" s="53">
        <f>11668.6787+10153.37841-4196.97595</f>
        <v>17625.081160000002</v>
      </c>
      <c r="D346" s="47">
        <v>17625081.16</v>
      </c>
      <c r="E346" s="48">
        <v>90877</v>
      </c>
      <c r="F346" s="48">
        <v>4213</v>
      </c>
    </row>
    <row r="347" spans="1:8" s="2" customFormat="1" x14ac:dyDescent="0.25">
      <c r="A347" s="25">
        <v>41856</v>
      </c>
      <c r="B347" s="44" t="s">
        <v>193</v>
      </c>
      <c r="C347" s="53">
        <v>7.2996499999999997</v>
      </c>
      <c r="D347" s="21">
        <v>7299.65</v>
      </c>
      <c r="E347" s="48">
        <v>90877</v>
      </c>
      <c r="F347" s="48">
        <v>4213</v>
      </c>
    </row>
    <row r="348" spans="1:8" s="2" customFormat="1" x14ac:dyDescent="0.25">
      <c r="A348" s="25">
        <v>41894</v>
      </c>
      <c r="B348" s="44" t="s">
        <v>193</v>
      </c>
      <c r="C348" s="53">
        <v>20.533110000000001</v>
      </c>
      <c r="D348" s="21">
        <v>20533.11</v>
      </c>
      <c r="E348" s="48">
        <v>90877</v>
      </c>
      <c r="F348" s="48">
        <v>4213</v>
      </c>
    </row>
    <row r="349" spans="1:8" s="2" customFormat="1" x14ac:dyDescent="0.25">
      <c r="A349" s="25">
        <v>41964</v>
      </c>
      <c r="B349" s="44" t="s">
        <v>268</v>
      </c>
      <c r="C349" s="53">
        <v>5.4450000000000003</v>
      </c>
      <c r="D349" s="21">
        <v>5445</v>
      </c>
      <c r="E349" s="48">
        <v>90877</v>
      </c>
      <c r="F349" s="48">
        <v>4213</v>
      </c>
    </row>
    <row r="350" spans="1:8" s="2" customFormat="1" x14ac:dyDescent="0.25">
      <c r="A350" s="25">
        <v>41969</v>
      </c>
      <c r="B350" s="44" t="s">
        <v>269</v>
      </c>
      <c r="C350" s="53">
        <v>100.00698</v>
      </c>
      <c r="D350" s="21">
        <v>100006.98</v>
      </c>
      <c r="E350" s="48">
        <v>90877</v>
      </c>
      <c r="F350" s="48">
        <v>4213</v>
      </c>
    </row>
    <row r="351" spans="1:8" s="2" customFormat="1" x14ac:dyDescent="0.25">
      <c r="A351" s="25">
        <v>41971</v>
      </c>
      <c r="B351" s="44" t="s">
        <v>275</v>
      </c>
      <c r="C351" s="53">
        <v>100.88712</v>
      </c>
      <c r="D351" s="20">
        <v>100887.12</v>
      </c>
      <c r="E351" s="48">
        <v>90877</v>
      </c>
      <c r="F351" s="48">
        <v>4213</v>
      </c>
    </row>
    <row r="352" spans="1:8" s="2" customFormat="1" x14ac:dyDescent="0.25">
      <c r="A352" s="25">
        <v>41975</v>
      </c>
      <c r="B352" s="44" t="s">
        <v>280</v>
      </c>
      <c r="C352" s="53">
        <v>98.087739999999997</v>
      </c>
      <c r="D352" s="20">
        <v>98087.74</v>
      </c>
      <c r="E352" s="48">
        <v>90877</v>
      </c>
      <c r="F352" s="48">
        <v>4213</v>
      </c>
    </row>
    <row r="353" spans="1:6" s="2" customFormat="1" x14ac:dyDescent="0.25">
      <c r="A353" s="25">
        <v>41975</v>
      </c>
      <c r="B353" s="44" t="s">
        <v>281</v>
      </c>
      <c r="C353" s="53">
        <v>69.997870000000006</v>
      </c>
      <c r="D353" s="20">
        <v>69997.87</v>
      </c>
      <c r="E353" s="48">
        <v>90877</v>
      </c>
      <c r="F353" s="48">
        <v>4213</v>
      </c>
    </row>
    <row r="354" spans="1:6" s="2" customFormat="1" x14ac:dyDescent="0.25">
      <c r="A354" s="25">
        <v>41976</v>
      </c>
      <c r="B354" s="44" t="s">
        <v>309</v>
      </c>
      <c r="C354" s="53">
        <v>478.53451999999999</v>
      </c>
      <c r="D354" s="20">
        <v>478534.52</v>
      </c>
      <c r="E354" s="48">
        <v>90877</v>
      </c>
      <c r="F354" s="48">
        <v>4213</v>
      </c>
    </row>
    <row r="355" spans="1:6" s="2" customFormat="1" x14ac:dyDescent="0.25">
      <c r="A355" s="25">
        <v>41983</v>
      </c>
      <c r="B355" s="44" t="s">
        <v>294</v>
      </c>
      <c r="C355" s="53">
        <v>0.4</v>
      </c>
      <c r="D355" s="20">
        <v>400</v>
      </c>
      <c r="E355" s="48">
        <v>90877</v>
      </c>
      <c r="F355" s="48">
        <v>4213</v>
      </c>
    </row>
    <row r="356" spans="1:6" s="2" customFormat="1" x14ac:dyDescent="0.25">
      <c r="A356" s="25">
        <v>41983</v>
      </c>
      <c r="B356" s="44" t="s">
        <v>275</v>
      </c>
      <c r="C356" s="53">
        <v>0.30249999999999999</v>
      </c>
      <c r="D356" s="20">
        <v>302.5</v>
      </c>
      <c r="E356" s="48">
        <v>90877</v>
      </c>
      <c r="F356" s="48">
        <v>4213</v>
      </c>
    </row>
    <row r="357" spans="1:6" s="2" customFormat="1" x14ac:dyDescent="0.25">
      <c r="A357" s="25">
        <v>41984</v>
      </c>
      <c r="B357" s="44" t="s">
        <v>268</v>
      </c>
      <c r="C357" s="53">
        <v>100.69473000000001</v>
      </c>
      <c r="D357" s="20">
        <v>100694.73</v>
      </c>
      <c r="E357" s="48">
        <v>90877</v>
      </c>
      <c r="F357" s="48">
        <v>4213</v>
      </c>
    </row>
    <row r="358" spans="1:6" s="2" customFormat="1" x14ac:dyDescent="0.25">
      <c r="A358" s="25">
        <v>41989</v>
      </c>
      <c r="B358" s="44" t="s">
        <v>299</v>
      </c>
      <c r="C358" s="53">
        <v>546.33384999999998</v>
      </c>
      <c r="D358" s="20">
        <v>546333.85</v>
      </c>
      <c r="E358" s="48">
        <v>90877</v>
      </c>
      <c r="F358" s="48">
        <v>4213</v>
      </c>
    </row>
    <row r="359" spans="1:6" s="2" customFormat="1" x14ac:dyDescent="0.25">
      <c r="A359" s="25">
        <v>41984</v>
      </c>
      <c r="B359" s="44" t="s">
        <v>300</v>
      </c>
      <c r="C359" s="53">
        <v>5.2560900000000004</v>
      </c>
      <c r="D359" s="20">
        <v>5256.09</v>
      </c>
      <c r="E359" s="48">
        <v>90877</v>
      </c>
      <c r="F359" s="48">
        <v>4213</v>
      </c>
    </row>
    <row r="360" spans="1:6" s="2" customFormat="1" x14ac:dyDescent="0.25">
      <c r="A360" s="25">
        <v>41984</v>
      </c>
      <c r="B360" s="44" t="s">
        <v>302</v>
      </c>
      <c r="C360" s="53">
        <v>358.07350000000002</v>
      </c>
      <c r="D360" s="20">
        <v>358073.5</v>
      </c>
      <c r="E360" s="48">
        <v>90877</v>
      </c>
      <c r="F360" s="48">
        <v>4213</v>
      </c>
    </row>
    <row r="361" spans="1:6" s="2" customFormat="1" x14ac:dyDescent="0.25">
      <c r="A361" s="25">
        <v>41984</v>
      </c>
      <c r="B361" s="44" t="s">
        <v>303</v>
      </c>
      <c r="C361" s="53">
        <v>157.00241</v>
      </c>
      <c r="D361" s="20">
        <v>157002.41</v>
      </c>
      <c r="E361" s="48">
        <v>90877</v>
      </c>
      <c r="F361" s="48">
        <v>4213</v>
      </c>
    </row>
    <row r="362" spans="1:6" s="2" customFormat="1" x14ac:dyDescent="0.25">
      <c r="A362" s="25">
        <v>41989</v>
      </c>
      <c r="B362" s="44" t="s">
        <v>304</v>
      </c>
      <c r="C362" s="53">
        <v>406.53928000000002</v>
      </c>
      <c r="D362" s="20">
        <v>406539.28</v>
      </c>
      <c r="E362" s="48">
        <v>90877</v>
      </c>
      <c r="F362" s="48">
        <v>4213</v>
      </c>
    </row>
    <row r="363" spans="1:6" s="2" customFormat="1" x14ac:dyDescent="0.25">
      <c r="A363" s="25"/>
      <c r="B363" s="44" t="s">
        <v>301</v>
      </c>
      <c r="C363" s="53">
        <v>141.55572000000001</v>
      </c>
      <c r="D363" s="20">
        <v>0</v>
      </c>
      <c r="E363" s="48">
        <v>90877</v>
      </c>
      <c r="F363" s="48">
        <v>4213</v>
      </c>
    </row>
    <row r="364" spans="1:6" s="2" customFormat="1" x14ac:dyDescent="0.25">
      <c r="A364" s="25"/>
      <c r="B364" s="44" t="s">
        <v>108</v>
      </c>
      <c r="C364" s="20">
        <v>64.382350000000002</v>
      </c>
      <c r="D364" s="21">
        <v>64382.35</v>
      </c>
      <c r="E364" s="48">
        <v>90877</v>
      </c>
      <c r="F364" s="48">
        <v>4213</v>
      </c>
    </row>
    <row r="365" spans="1:6" s="2" customFormat="1" x14ac:dyDescent="0.25">
      <c r="A365" s="25"/>
      <c r="B365" s="24" t="s">
        <v>220</v>
      </c>
      <c r="C365" s="20">
        <v>11.04843</v>
      </c>
      <c r="D365" s="21">
        <v>11048.43</v>
      </c>
      <c r="E365" s="48">
        <v>90877</v>
      </c>
      <c r="F365" s="48">
        <v>4213</v>
      </c>
    </row>
    <row r="366" spans="1:6" s="2" customFormat="1" x14ac:dyDescent="0.25">
      <c r="A366" s="25"/>
      <c r="B366" s="44" t="s">
        <v>219</v>
      </c>
      <c r="C366" s="20">
        <v>10.3956</v>
      </c>
      <c r="D366" s="21">
        <v>10395.6</v>
      </c>
      <c r="E366" s="48">
        <v>90877</v>
      </c>
      <c r="F366" s="48">
        <v>4213</v>
      </c>
    </row>
    <row r="367" spans="1:6" s="2" customFormat="1" x14ac:dyDescent="0.25">
      <c r="A367" s="25"/>
      <c r="B367" s="44" t="s">
        <v>310</v>
      </c>
      <c r="C367" s="20">
        <f>94.51408+39.20247</f>
        <v>133.71655000000001</v>
      </c>
      <c r="D367" s="21">
        <f>94514.08+39202.47</f>
        <v>133716.54999999999</v>
      </c>
      <c r="E367" s="48">
        <v>90877</v>
      </c>
      <c r="F367" s="48">
        <v>4213</v>
      </c>
    </row>
    <row r="368" spans="1:6" s="2" customFormat="1" x14ac:dyDescent="0.25">
      <c r="A368" s="25"/>
      <c r="B368" s="44" t="s">
        <v>260</v>
      </c>
      <c r="C368" s="20">
        <f>103.50656+11.88548</f>
        <v>115.39203999999999</v>
      </c>
      <c r="D368" s="21">
        <f>103506.56+11885.48</f>
        <v>115392.04</v>
      </c>
      <c r="E368" s="48">
        <v>90877</v>
      </c>
      <c r="F368" s="48">
        <v>4213</v>
      </c>
    </row>
    <row r="369" spans="1:6" s="2" customFormat="1" x14ac:dyDescent="0.25">
      <c r="A369" s="25"/>
      <c r="B369" s="44" t="s">
        <v>91</v>
      </c>
      <c r="C369" s="20">
        <v>137.28941</v>
      </c>
      <c r="D369" s="21">
        <f>79742.49+57546.92</f>
        <v>137289.41</v>
      </c>
      <c r="E369" s="48">
        <v>90877</v>
      </c>
      <c r="F369" s="48">
        <v>4213</v>
      </c>
    </row>
    <row r="370" spans="1:6" s="2" customFormat="1" x14ac:dyDescent="0.25">
      <c r="A370" s="25"/>
      <c r="B370" s="44" t="s">
        <v>330</v>
      </c>
      <c r="C370" s="20">
        <v>182.40674000000001</v>
      </c>
      <c r="D370" s="21">
        <v>182406.74</v>
      </c>
      <c r="E370" s="48">
        <v>90877</v>
      </c>
      <c r="F370" s="48">
        <v>4213</v>
      </c>
    </row>
    <row r="371" spans="1:6" s="2" customFormat="1" x14ac:dyDescent="0.25">
      <c r="A371" s="25"/>
      <c r="B371" s="44" t="s">
        <v>279</v>
      </c>
      <c r="C371" s="20">
        <f>70.88837+13.42543</f>
        <v>84.313800000000001</v>
      </c>
      <c r="D371" s="21">
        <f>70888.37+13425.43</f>
        <v>84313.799999999988</v>
      </c>
      <c r="E371" s="48">
        <v>90877</v>
      </c>
      <c r="F371" s="48">
        <v>4213</v>
      </c>
    </row>
    <row r="372" spans="1:6" s="2" customFormat="1" x14ac:dyDescent="0.25">
      <c r="A372" s="25"/>
      <c r="B372" s="44" t="s">
        <v>334</v>
      </c>
      <c r="C372" s="20">
        <v>82.043350000000004</v>
      </c>
      <c r="D372" s="21">
        <v>82043.350000000006</v>
      </c>
      <c r="E372" s="48">
        <v>90877</v>
      </c>
      <c r="F372" s="48">
        <v>4213</v>
      </c>
    </row>
    <row r="373" spans="1:6" s="2" customFormat="1" x14ac:dyDescent="0.25">
      <c r="A373" s="25"/>
      <c r="B373" s="44" t="s">
        <v>319</v>
      </c>
      <c r="C373" s="20">
        <v>48.514249999999997</v>
      </c>
      <c r="D373" s="21">
        <v>48514.25</v>
      </c>
      <c r="E373" s="48">
        <v>90877</v>
      </c>
      <c r="F373" s="48">
        <v>4213</v>
      </c>
    </row>
    <row r="374" spans="1:6" s="2" customFormat="1" x14ac:dyDescent="0.25">
      <c r="A374" s="25"/>
      <c r="B374" s="44" t="s">
        <v>335</v>
      </c>
      <c r="C374" s="20">
        <v>186.83074999999999</v>
      </c>
      <c r="D374" s="21">
        <v>186830.75</v>
      </c>
      <c r="E374" s="48">
        <v>90877</v>
      </c>
      <c r="F374" s="48">
        <v>4213</v>
      </c>
    </row>
    <row r="375" spans="1:6" s="2" customFormat="1" x14ac:dyDescent="0.25">
      <c r="A375" s="25"/>
      <c r="B375" s="44" t="s">
        <v>320</v>
      </c>
      <c r="C375" s="20">
        <v>83.733040000000003</v>
      </c>
      <c r="D375" s="21">
        <v>83733.039999999994</v>
      </c>
      <c r="E375" s="48">
        <v>90877</v>
      </c>
      <c r="F375" s="48">
        <v>4213</v>
      </c>
    </row>
    <row r="376" spans="1:6" s="2" customFormat="1" x14ac:dyDescent="0.25">
      <c r="A376" s="25"/>
      <c r="B376" s="44" t="s">
        <v>336</v>
      </c>
      <c r="C376" s="20">
        <v>80.275009999999995</v>
      </c>
      <c r="D376" s="21">
        <v>80275.009999999995</v>
      </c>
      <c r="E376" s="48">
        <v>90877</v>
      </c>
      <c r="F376" s="48">
        <v>4213</v>
      </c>
    </row>
    <row r="377" spans="1:6" s="2" customFormat="1" x14ac:dyDescent="0.25">
      <c r="A377" s="25"/>
      <c r="B377" s="44" t="s">
        <v>161</v>
      </c>
      <c r="C377" s="20">
        <v>123.3501</v>
      </c>
      <c r="D377" s="21">
        <f>118388.1+4962</f>
        <v>123350.1</v>
      </c>
      <c r="E377" s="48">
        <v>90877</v>
      </c>
      <c r="F377" s="48">
        <v>4213</v>
      </c>
    </row>
    <row r="378" spans="1:6" s="2" customFormat="1" x14ac:dyDescent="0.25">
      <c r="A378" s="25"/>
      <c r="B378" s="44"/>
      <c r="C378" s="20"/>
      <c r="D378" s="40"/>
      <c r="E378" s="48"/>
      <c r="F378" s="48"/>
    </row>
    <row r="379" spans="1:6" s="2" customFormat="1" x14ac:dyDescent="0.25">
      <c r="A379" s="25"/>
      <c r="B379" s="23"/>
      <c r="C379" s="20"/>
      <c r="D379" s="40"/>
      <c r="E379" s="48"/>
      <c r="F379" s="48"/>
    </row>
    <row r="380" spans="1:6" s="2" customFormat="1" x14ac:dyDescent="0.25">
      <c r="A380" s="25"/>
      <c r="B380" s="13" t="s">
        <v>50</v>
      </c>
      <c r="C380" s="39">
        <f>+SUM(C381:C432)</f>
        <v>385953.16154000006</v>
      </c>
      <c r="D380" s="40">
        <f>+SUM(D381:D432)</f>
        <v>385953161.5399999</v>
      </c>
      <c r="E380" s="48"/>
      <c r="F380" s="48"/>
    </row>
    <row r="381" spans="1:6" s="2" customFormat="1" x14ac:dyDescent="0.25">
      <c r="A381" s="25">
        <v>41920</v>
      </c>
      <c r="B381" s="44" t="s">
        <v>76</v>
      </c>
      <c r="C381" s="53">
        <f>198367.53729+172607.43311-71348.59103</f>
        <v>299626.37936999998</v>
      </c>
      <c r="D381" s="21">
        <v>299626379.37</v>
      </c>
      <c r="E381" s="48">
        <v>15825</v>
      </c>
      <c r="F381" s="48">
        <v>4216</v>
      </c>
    </row>
    <row r="382" spans="1:6" s="2" customFormat="1" x14ac:dyDescent="0.25">
      <c r="A382" s="25">
        <v>41856</v>
      </c>
      <c r="B382" s="44" t="s">
        <v>193</v>
      </c>
      <c r="C382" s="53">
        <v>124.09405</v>
      </c>
      <c r="D382" s="21">
        <v>124094.05</v>
      </c>
      <c r="E382" s="48">
        <v>15827</v>
      </c>
      <c r="F382" s="48">
        <v>4216</v>
      </c>
    </row>
    <row r="383" spans="1:6" s="2" customFormat="1" x14ac:dyDescent="0.25">
      <c r="A383" s="25">
        <v>41894</v>
      </c>
      <c r="B383" s="44" t="s">
        <v>193</v>
      </c>
      <c r="C383" s="53">
        <v>349.06297999999998</v>
      </c>
      <c r="D383" s="21">
        <v>349062.98</v>
      </c>
      <c r="E383" s="48">
        <v>15827</v>
      </c>
      <c r="F383" s="48">
        <v>4216</v>
      </c>
    </row>
    <row r="384" spans="1:6" s="2" customFormat="1" x14ac:dyDescent="0.25">
      <c r="A384" s="25">
        <v>41950</v>
      </c>
      <c r="B384" s="44" t="s">
        <v>344</v>
      </c>
      <c r="C384" s="53">
        <v>521.48518999999999</v>
      </c>
      <c r="D384" s="21">
        <v>521485.19</v>
      </c>
      <c r="E384" s="48">
        <v>15829</v>
      </c>
      <c r="F384" s="48">
        <v>4216</v>
      </c>
    </row>
    <row r="385" spans="1:6" s="2" customFormat="1" x14ac:dyDescent="0.25">
      <c r="A385" s="25">
        <v>41950</v>
      </c>
      <c r="B385" s="44" t="s">
        <v>344</v>
      </c>
      <c r="C385" s="53">
        <v>30.67559</v>
      </c>
      <c r="D385" s="21">
        <v>30675.59</v>
      </c>
      <c r="E385" s="48">
        <v>15828</v>
      </c>
      <c r="F385" s="48">
        <v>4216</v>
      </c>
    </row>
    <row r="386" spans="1:6" s="2" customFormat="1" x14ac:dyDescent="0.25">
      <c r="A386" s="25">
        <v>41964</v>
      </c>
      <c r="B386" s="44" t="s">
        <v>268</v>
      </c>
      <c r="C386" s="53">
        <v>92.564999999999998</v>
      </c>
      <c r="D386" s="21">
        <v>92565</v>
      </c>
      <c r="E386" s="48">
        <v>15835</v>
      </c>
      <c r="F386" s="48">
        <v>4216</v>
      </c>
    </row>
    <row r="387" spans="1:6" s="2" customFormat="1" x14ac:dyDescent="0.25">
      <c r="A387" s="25">
        <v>41969</v>
      </c>
      <c r="B387" s="44" t="s">
        <v>269</v>
      </c>
      <c r="C387" s="53">
        <v>1700.11871</v>
      </c>
      <c r="D387" s="21">
        <v>1700118.71</v>
      </c>
      <c r="E387" s="48">
        <v>15835</v>
      </c>
      <c r="F387" s="48">
        <v>4216</v>
      </c>
    </row>
    <row r="388" spans="1:6" s="2" customFormat="1" x14ac:dyDescent="0.25">
      <c r="A388" s="25">
        <v>41971</v>
      </c>
      <c r="B388" s="44" t="s">
        <v>275</v>
      </c>
      <c r="C388" s="53">
        <v>1715.0811699999999</v>
      </c>
      <c r="D388" s="21">
        <v>1715081.17</v>
      </c>
      <c r="E388" s="48">
        <v>15835</v>
      </c>
      <c r="F388" s="48">
        <v>4216</v>
      </c>
    </row>
    <row r="389" spans="1:6" s="2" customFormat="1" x14ac:dyDescent="0.25">
      <c r="A389" s="25">
        <v>41975</v>
      </c>
      <c r="B389" s="44" t="s">
        <v>280</v>
      </c>
      <c r="C389" s="53">
        <v>1667.49171</v>
      </c>
      <c r="D389" s="21">
        <v>1667491.71</v>
      </c>
      <c r="E389" s="48">
        <v>15835</v>
      </c>
      <c r="F389" s="48">
        <v>4216</v>
      </c>
    </row>
    <row r="390" spans="1:6" s="2" customFormat="1" x14ac:dyDescent="0.25">
      <c r="A390" s="25">
        <v>41975</v>
      </c>
      <c r="B390" s="44" t="s">
        <v>281</v>
      </c>
      <c r="C390" s="53">
        <v>1189.9638199999999</v>
      </c>
      <c r="D390" s="21">
        <v>1189963.82</v>
      </c>
      <c r="E390" s="48">
        <v>15835</v>
      </c>
      <c r="F390" s="48">
        <v>4216</v>
      </c>
    </row>
    <row r="391" spans="1:6" s="2" customFormat="1" x14ac:dyDescent="0.25">
      <c r="A391" s="25">
        <v>41975</v>
      </c>
      <c r="B391" s="44" t="s">
        <v>309</v>
      </c>
      <c r="C391" s="53">
        <v>8135.0870000000004</v>
      </c>
      <c r="D391" s="21">
        <v>8135087</v>
      </c>
      <c r="E391" s="48">
        <v>15835</v>
      </c>
      <c r="F391" s="48">
        <v>4216</v>
      </c>
    </row>
    <row r="392" spans="1:6" s="2" customFormat="1" x14ac:dyDescent="0.25">
      <c r="A392" s="25">
        <v>41983</v>
      </c>
      <c r="B392" s="44" t="s">
        <v>275</v>
      </c>
      <c r="C392" s="53">
        <v>5.1425000000000001</v>
      </c>
      <c r="D392" s="21">
        <v>5142.5</v>
      </c>
      <c r="E392" s="48">
        <v>15835</v>
      </c>
      <c r="F392" s="48">
        <v>4216</v>
      </c>
    </row>
    <row r="393" spans="1:6" s="2" customFormat="1" x14ac:dyDescent="0.25">
      <c r="A393" s="25">
        <v>41982</v>
      </c>
      <c r="B393" s="44" t="s">
        <v>294</v>
      </c>
      <c r="C393" s="53">
        <v>6.8</v>
      </c>
      <c r="D393" s="21">
        <v>6800</v>
      </c>
      <c r="E393" s="48">
        <v>15827</v>
      </c>
      <c r="F393" s="48">
        <v>4216</v>
      </c>
    </row>
    <row r="394" spans="1:6" s="2" customFormat="1" x14ac:dyDescent="0.25">
      <c r="A394" s="25">
        <v>41983</v>
      </c>
      <c r="B394" s="44" t="s">
        <v>305</v>
      </c>
      <c r="C394" s="53">
        <v>537.73640999999998</v>
      </c>
      <c r="D394" s="21">
        <v>537736.41</v>
      </c>
      <c r="E394" s="48">
        <v>15828</v>
      </c>
      <c r="F394" s="48">
        <v>4216</v>
      </c>
    </row>
    <row r="395" spans="1:6" s="2" customFormat="1" x14ac:dyDescent="0.25">
      <c r="A395" s="25">
        <v>41983</v>
      </c>
      <c r="B395" s="44" t="s">
        <v>305</v>
      </c>
      <c r="C395" s="53">
        <v>9141.5190600000005</v>
      </c>
      <c r="D395" s="21">
        <v>9141519.0600000005</v>
      </c>
      <c r="E395" s="48">
        <v>15829</v>
      </c>
      <c r="F395" s="48">
        <v>4216</v>
      </c>
    </row>
    <row r="396" spans="1:6" s="2" customFormat="1" x14ac:dyDescent="0.25">
      <c r="A396" s="25">
        <v>41984</v>
      </c>
      <c r="B396" s="44" t="s">
        <v>268</v>
      </c>
      <c r="C396" s="53">
        <v>1711.8104699999999</v>
      </c>
      <c r="D396" s="21">
        <v>1711810.47</v>
      </c>
      <c r="E396" s="48">
        <v>15835</v>
      </c>
      <c r="F396" s="48">
        <v>4216</v>
      </c>
    </row>
    <row r="397" spans="1:6" s="2" customFormat="1" x14ac:dyDescent="0.25">
      <c r="A397" s="25">
        <v>41984</v>
      </c>
      <c r="B397" s="44" t="s">
        <v>300</v>
      </c>
      <c r="C397" s="53">
        <v>89.353589999999997</v>
      </c>
      <c r="D397" s="21">
        <v>89353.59</v>
      </c>
      <c r="E397" s="48">
        <v>15835</v>
      </c>
      <c r="F397" s="48">
        <v>4216</v>
      </c>
    </row>
    <row r="398" spans="1:6" s="2" customFormat="1" x14ac:dyDescent="0.25">
      <c r="A398" s="25">
        <v>41984</v>
      </c>
      <c r="B398" s="44" t="s">
        <v>302</v>
      </c>
      <c r="C398" s="53">
        <v>6087.24964</v>
      </c>
      <c r="D398" s="21">
        <v>6087249.6399999997</v>
      </c>
      <c r="E398" s="48">
        <v>15835</v>
      </c>
      <c r="F398" s="48">
        <v>4216</v>
      </c>
    </row>
    <row r="399" spans="1:6" s="2" customFormat="1" x14ac:dyDescent="0.25">
      <c r="A399" s="25">
        <v>41985</v>
      </c>
      <c r="B399" s="44" t="s">
        <v>299</v>
      </c>
      <c r="C399" s="53">
        <v>9287.6755699999994</v>
      </c>
      <c r="D399" s="21">
        <v>9287675.5700000003</v>
      </c>
      <c r="E399" s="48">
        <v>15835</v>
      </c>
      <c r="F399" s="48">
        <v>4216</v>
      </c>
    </row>
    <row r="400" spans="1:6" s="2" customFormat="1" x14ac:dyDescent="0.25">
      <c r="A400" s="25">
        <v>41985</v>
      </c>
      <c r="B400" s="44" t="s">
        <v>301</v>
      </c>
      <c r="C400" s="53">
        <v>2406.4472900000001</v>
      </c>
      <c r="D400" s="21">
        <v>2406447.29</v>
      </c>
      <c r="E400" s="48">
        <v>15835</v>
      </c>
      <c r="F400" s="48">
        <v>4216</v>
      </c>
    </row>
    <row r="401" spans="1:6" s="2" customFormat="1" x14ac:dyDescent="0.25">
      <c r="A401" s="25">
        <v>41985</v>
      </c>
      <c r="B401" s="44" t="s">
        <v>303</v>
      </c>
      <c r="C401" s="53">
        <v>2669.0410900000002</v>
      </c>
      <c r="D401" s="21">
        <v>2669041.09</v>
      </c>
      <c r="E401" s="48">
        <v>15835</v>
      </c>
      <c r="F401" s="48">
        <v>4216</v>
      </c>
    </row>
    <row r="402" spans="1:6" s="2" customFormat="1" x14ac:dyDescent="0.25">
      <c r="A402" s="25">
        <v>41985</v>
      </c>
      <c r="B402" s="44" t="s">
        <v>304</v>
      </c>
      <c r="C402" s="53">
        <v>6911.1678499999998</v>
      </c>
      <c r="D402" s="21">
        <v>6911167.8499999996</v>
      </c>
      <c r="E402" s="48">
        <v>15835</v>
      </c>
      <c r="F402" s="48">
        <v>4216</v>
      </c>
    </row>
    <row r="403" spans="1:6" s="2" customFormat="1" x14ac:dyDescent="0.25">
      <c r="A403" s="25"/>
      <c r="B403" s="44" t="s">
        <v>108</v>
      </c>
      <c r="C403" s="20">
        <v>1094.4999499999999</v>
      </c>
      <c r="D403" s="21">
        <v>1094499.95</v>
      </c>
      <c r="E403" s="48">
        <v>15835</v>
      </c>
      <c r="F403" s="48">
        <v>4216</v>
      </c>
    </row>
    <row r="404" spans="1:6" s="2" customFormat="1" x14ac:dyDescent="0.25">
      <c r="A404" s="25"/>
      <c r="B404" s="44" t="s">
        <v>220</v>
      </c>
      <c r="C404" s="20">
        <v>187.82330999999999</v>
      </c>
      <c r="D404" s="21">
        <v>187823.31</v>
      </c>
      <c r="E404" s="48">
        <v>15835</v>
      </c>
      <c r="F404" s="48">
        <v>4216</v>
      </c>
    </row>
    <row r="405" spans="1:6" s="2" customFormat="1" x14ac:dyDescent="0.25">
      <c r="A405" s="25"/>
      <c r="B405" s="44" t="s">
        <v>219</v>
      </c>
      <c r="C405" s="20">
        <v>176.72532000000001</v>
      </c>
      <c r="D405" s="21">
        <v>176725.32</v>
      </c>
      <c r="E405" s="48">
        <v>15835</v>
      </c>
      <c r="F405" s="48">
        <v>4216</v>
      </c>
    </row>
    <row r="406" spans="1:6" s="2" customFormat="1" x14ac:dyDescent="0.25">
      <c r="A406" s="25"/>
      <c r="B406" s="24" t="s">
        <v>310</v>
      </c>
      <c r="C406" s="20">
        <f>1606.73951+666.44207</f>
        <v>2273.1815799999999</v>
      </c>
      <c r="D406" s="47">
        <f>1606739.51+666442.07</f>
        <v>2273181.58</v>
      </c>
      <c r="E406" s="48">
        <v>15835</v>
      </c>
      <c r="F406" s="48">
        <v>4216</v>
      </c>
    </row>
    <row r="407" spans="1:6" s="2" customFormat="1" x14ac:dyDescent="0.25">
      <c r="A407" s="25"/>
      <c r="B407" s="24" t="s">
        <v>260</v>
      </c>
      <c r="C407" s="20">
        <f>1759.61162+202.05322</f>
        <v>1961.6648399999999</v>
      </c>
      <c r="D407" s="47">
        <f>1759611.62+202053.22</f>
        <v>1961664.84</v>
      </c>
      <c r="E407" s="48">
        <v>15835</v>
      </c>
      <c r="F407" s="48">
        <v>4216</v>
      </c>
    </row>
    <row r="408" spans="1:6" s="2" customFormat="1" x14ac:dyDescent="0.25">
      <c r="A408" s="25"/>
      <c r="B408" s="24" t="s">
        <v>91</v>
      </c>
      <c r="C408" s="20">
        <v>2333.9210200000002</v>
      </c>
      <c r="D408" s="47">
        <f>1355622.95+978298.07</f>
        <v>2333921.02</v>
      </c>
      <c r="E408" s="48">
        <v>15835</v>
      </c>
      <c r="F408" s="48">
        <v>4216</v>
      </c>
    </row>
    <row r="409" spans="1:6" s="2" customFormat="1" x14ac:dyDescent="0.25">
      <c r="A409" s="25"/>
      <c r="B409" s="44" t="s">
        <v>330</v>
      </c>
      <c r="C409" s="20">
        <v>3100.9145800000001</v>
      </c>
      <c r="D409" s="47">
        <v>3100914.58</v>
      </c>
      <c r="E409" s="48">
        <v>15835</v>
      </c>
      <c r="F409" s="48">
        <v>4216</v>
      </c>
    </row>
    <row r="410" spans="1:6" s="2" customFormat="1" x14ac:dyDescent="0.25">
      <c r="A410" s="25"/>
      <c r="B410" s="24" t="s">
        <v>198</v>
      </c>
      <c r="C410" s="20">
        <f>20.94975+4.39944</f>
        <v>25.34919</v>
      </c>
      <c r="D410" s="47">
        <f>20949.75+4399.44</f>
        <v>25349.19</v>
      </c>
      <c r="E410" s="48">
        <v>15828</v>
      </c>
      <c r="F410" s="48">
        <v>4216</v>
      </c>
    </row>
    <row r="411" spans="1:6" s="2" customFormat="1" x14ac:dyDescent="0.25">
      <c r="A411" s="25"/>
      <c r="B411" s="24" t="s">
        <v>198</v>
      </c>
      <c r="C411" s="53">
        <f>356.14575+74.7906</f>
        <v>430.93635</v>
      </c>
      <c r="D411" s="47">
        <f>356145.75+74790.6</f>
        <v>430936.35</v>
      </c>
      <c r="E411" s="48">
        <v>15829</v>
      </c>
      <c r="F411" s="48">
        <v>4216</v>
      </c>
    </row>
    <row r="412" spans="1:6" s="2" customFormat="1" x14ac:dyDescent="0.25">
      <c r="A412" s="25"/>
      <c r="B412" s="24" t="s">
        <v>258</v>
      </c>
      <c r="C412" s="53">
        <f>79.78237+16.75429</f>
        <v>96.536659999999998</v>
      </c>
      <c r="D412" s="47">
        <f>79782.37+16754.29</f>
        <v>96536.66</v>
      </c>
      <c r="E412" s="48">
        <v>15828</v>
      </c>
      <c r="F412" s="48">
        <v>4216</v>
      </c>
    </row>
    <row r="413" spans="1:6" s="2" customFormat="1" x14ac:dyDescent="0.25">
      <c r="A413" s="25"/>
      <c r="B413" s="24" t="s">
        <v>258</v>
      </c>
      <c r="C413" s="53">
        <f>1356.30041+284.82309</f>
        <v>1641.1235000000001</v>
      </c>
      <c r="D413" s="21">
        <f>1356300.41+284823.09</f>
        <v>1641123.5</v>
      </c>
      <c r="E413" s="48">
        <v>15829</v>
      </c>
      <c r="F413" s="48">
        <v>4216</v>
      </c>
    </row>
    <row r="414" spans="1:6" s="2" customFormat="1" x14ac:dyDescent="0.25">
      <c r="A414" s="25"/>
      <c r="B414" s="24" t="s">
        <v>338</v>
      </c>
      <c r="C414" s="53">
        <f>49.83205+10.46473</f>
        <v>60.296779999999998</v>
      </c>
      <c r="D414" s="21">
        <f>49832.05+10464.73</f>
        <v>60296.78</v>
      </c>
      <c r="E414" s="48">
        <v>15828</v>
      </c>
      <c r="F414" s="48">
        <v>4216</v>
      </c>
    </row>
    <row r="415" spans="1:6" s="2" customFormat="1" x14ac:dyDescent="0.25">
      <c r="A415" s="25"/>
      <c r="B415" s="24" t="s">
        <v>338</v>
      </c>
      <c r="C415" s="53">
        <f>847.14485+177.90041</f>
        <v>1025.0452600000001</v>
      </c>
      <c r="D415" s="21">
        <f>847144.85+177900.41</f>
        <v>1025045.26</v>
      </c>
      <c r="E415" s="48">
        <v>15829</v>
      </c>
      <c r="F415" s="48">
        <v>4216</v>
      </c>
    </row>
    <row r="416" spans="1:6" s="2" customFormat="1" x14ac:dyDescent="0.25">
      <c r="A416" s="25"/>
      <c r="B416" s="24" t="s">
        <v>250</v>
      </c>
      <c r="C416" s="53">
        <v>53.484169999999999</v>
      </c>
      <c r="D416" s="21">
        <f>44201.8+9282.37</f>
        <v>53484.170000000006</v>
      </c>
      <c r="E416" s="48">
        <v>15828</v>
      </c>
      <c r="F416" s="48">
        <v>4216</v>
      </c>
    </row>
    <row r="417" spans="1:6" s="2" customFormat="1" x14ac:dyDescent="0.25">
      <c r="A417" s="25"/>
      <c r="B417" s="24" t="s">
        <v>250</v>
      </c>
      <c r="C417" s="53">
        <v>909.23101999999994</v>
      </c>
      <c r="D417" s="21">
        <f>751430.6+157800.42</f>
        <v>909231.02</v>
      </c>
      <c r="E417" s="48">
        <v>15829</v>
      </c>
      <c r="F417" s="48">
        <v>4216</v>
      </c>
    </row>
    <row r="418" spans="1:6" s="2" customFormat="1" x14ac:dyDescent="0.25">
      <c r="A418" s="25"/>
      <c r="B418" s="24" t="s">
        <v>251</v>
      </c>
      <c r="C418" s="53">
        <v>66.446920000000006</v>
      </c>
      <c r="D418" s="21">
        <f>54914.81+11532.11</f>
        <v>66446.92</v>
      </c>
      <c r="E418" s="48">
        <v>15828</v>
      </c>
      <c r="F418" s="48">
        <v>4216</v>
      </c>
    </row>
    <row r="419" spans="1:6" s="2" customFormat="1" x14ac:dyDescent="0.25">
      <c r="A419" s="25"/>
      <c r="B419" s="24" t="s">
        <v>252</v>
      </c>
      <c r="C419" s="53">
        <v>1129.5976900000001</v>
      </c>
      <c r="D419" s="21">
        <f>933551.81+196045.88</f>
        <v>1129597.69</v>
      </c>
      <c r="E419" s="48">
        <v>15829</v>
      </c>
      <c r="F419" s="48">
        <v>4216</v>
      </c>
    </row>
    <row r="420" spans="1:6" s="2" customFormat="1" x14ac:dyDescent="0.25">
      <c r="A420" s="25"/>
      <c r="B420" s="24" t="s">
        <v>279</v>
      </c>
      <c r="C420" s="53">
        <f>1205.10229+228.23231</f>
        <v>1433.3346000000001</v>
      </c>
      <c r="D420" s="21">
        <f>1205102.29+228232.31</f>
        <v>1433334.6</v>
      </c>
      <c r="E420" s="48">
        <v>15835</v>
      </c>
      <c r="F420" s="48">
        <v>4216</v>
      </c>
    </row>
    <row r="421" spans="1:6" s="2" customFormat="1" x14ac:dyDescent="0.25">
      <c r="A421" s="25"/>
      <c r="B421" s="24" t="s">
        <v>311</v>
      </c>
      <c r="C421" s="53">
        <f>1284.15983+263.57516</f>
        <v>1547.7349899999999</v>
      </c>
      <c r="D421" s="21">
        <f>1284159.83+263575.16</f>
        <v>1547734.99</v>
      </c>
      <c r="E421" s="48">
        <v>15835</v>
      </c>
      <c r="F421" s="48">
        <v>4216</v>
      </c>
    </row>
    <row r="422" spans="1:6" s="2" customFormat="1" x14ac:dyDescent="0.25">
      <c r="A422" s="25"/>
      <c r="B422" s="24" t="s">
        <v>313</v>
      </c>
      <c r="C422" s="53">
        <v>1230.6502499999999</v>
      </c>
      <c r="D422" s="21">
        <v>1230650.25</v>
      </c>
      <c r="E422" s="48">
        <v>15827</v>
      </c>
      <c r="F422" s="48">
        <v>4216</v>
      </c>
    </row>
    <row r="423" spans="1:6" s="2" customFormat="1" x14ac:dyDescent="0.25">
      <c r="A423" s="25"/>
      <c r="B423" s="24" t="s">
        <v>341</v>
      </c>
      <c r="C423" s="53">
        <v>49.904000000000003</v>
      </c>
      <c r="D423" s="21">
        <v>49904</v>
      </c>
      <c r="E423" s="48">
        <v>15828</v>
      </c>
      <c r="F423" s="48">
        <v>4216</v>
      </c>
    </row>
    <row r="424" spans="1:6" s="2" customFormat="1" x14ac:dyDescent="0.25">
      <c r="A424" s="25"/>
      <c r="B424" s="24" t="s">
        <v>341</v>
      </c>
      <c r="C424" s="53">
        <v>848.36800000000005</v>
      </c>
      <c r="D424" s="21">
        <v>848368</v>
      </c>
      <c r="E424" s="48">
        <v>15829</v>
      </c>
      <c r="F424" s="48">
        <v>4216</v>
      </c>
    </row>
    <row r="425" spans="1:6" s="2" customFormat="1" x14ac:dyDescent="0.25">
      <c r="A425" s="25"/>
      <c r="B425" s="24" t="s">
        <v>319</v>
      </c>
      <c r="C425" s="53">
        <v>824.74225000000001</v>
      </c>
      <c r="D425" s="21">
        <v>824742.25</v>
      </c>
      <c r="E425" s="48">
        <v>15835</v>
      </c>
      <c r="F425" s="48">
        <v>4216</v>
      </c>
    </row>
    <row r="426" spans="1:6" s="2" customFormat="1" x14ac:dyDescent="0.25">
      <c r="A426" s="25"/>
      <c r="B426" s="24" t="s">
        <v>335</v>
      </c>
      <c r="C426" s="53">
        <v>3176.12275</v>
      </c>
      <c r="D426" s="21">
        <v>3176122.75</v>
      </c>
      <c r="E426" s="48">
        <v>15835</v>
      </c>
      <c r="F426" s="48">
        <v>4216</v>
      </c>
    </row>
    <row r="427" spans="1:6" s="2" customFormat="1" x14ac:dyDescent="0.25">
      <c r="A427" s="25"/>
      <c r="B427" s="24" t="s">
        <v>320</v>
      </c>
      <c r="C427" s="53">
        <v>1423.4618399999999</v>
      </c>
      <c r="D427" s="21">
        <v>1423461.84</v>
      </c>
      <c r="E427" s="48">
        <v>15835</v>
      </c>
      <c r="F427" s="48">
        <v>4216</v>
      </c>
    </row>
    <row r="428" spans="1:6" s="2" customFormat="1" x14ac:dyDescent="0.25">
      <c r="A428" s="25"/>
      <c r="B428" s="24" t="s">
        <v>336</v>
      </c>
      <c r="C428" s="53">
        <v>1364.6790100000001</v>
      </c>
      <c r="D428" s="21">
        <v>1364679.01</v>
      </c>
      <c r="E428" s="48">
        <v>15835</v>
      </c>
      <c r="F428" s="48">
        <v>4216</v>
      </c>
    </row>
    <row r="429" spans="1:6" s="2" customFormat="1" x14ac:dyDescent="0.25">
      <c r="A429" s="25"/>
      <c r="B429" s="24" t="s">
        <v>273</v>
      </c>
      <c r="C429" s="53">
        <v>76.915880000000001</v>
      </c>
      <c r="D429" s="21">
        <v>76915.88</v>
      </c>
      <c r="E429" s="48">
        <v>15828</v>
      </c>
      <c r="F429" s="48">
        <v>4216</v>
      </c>
    </row>
    <row r="430" spans="1:6" s="2" customFormat="1" x14ac:dyDescent="0.25">
      <c r="A430" s="25"/>
      <c r="B430" s="24" t="s">
        <v>273</v>
      </c>
      <c r="C430" s="53">
        <v>1307.57007</v>
      </c>
      <c r="D430" s="21">
        <v>1307570.07</v>
      </c>
      <c r="E430" s="48">
        <v>15829</v>
      </c>
      <c r="F430" s="48">
        <v>4216</v>
      </c>
    </row>
    <row r="431" spans="1:6" s="2" customFormat="1" x14ac:dyDescent="0.25">
      <c r="A431" s="25"/>
      <c r="B431" s="24" t="s">
        <v>161</v>
      </c>
      <c r="C431" s="20">
        <v>2096.9517000000001</v>
      </c>
      <c r="D431" s="21">
        <f>2012597.7+84354</f>
        <v>2096951.7</v>
      </c>
      <c r="E431" s="48">
        <v>15835</v>
      </c>
      <c r="F431" s="48">
        <v>4216</v>
      </c>
    </row>
    <row r="432" spans="1:6" s="2" customFormat="1" x14ac:dyDescent="0.25">
      <c r="A432" s="25"/>
      <c r="B432" s="23"/>
      <c r="C432" s="20"/>
      <c r="D432" s="21"/>
      <c r="E432" s="48"/>
      <c r="F432" s="48"/>
    </row>
    <row r="433" spans="1:8" s="2" customFormat="1" x14ac:dyDescent="0.25">
      <c r="A433" s="25"/>
      <c r="B433" s="30" t="s">
        <v>39</v>
      </c>
      <c r="C433" s="39">
        <f>+C434+C435</f>
        <v>14104.79062</v>
      </c>
      <c r="D433" s="39">
        <f>+D434+D435</f>
        <v>14104790.619999999</v>
      </c>
      <c r="E433" s="48"/>
      <c r="F433" s="48"/>
    </row>
    <row r="434" spans="1:8" s="2" customFormat="1" x14ac:dyDescent="0.25">
      <c r="A434" s="25">
        <v>41946</v>
      </c>
      <c r="B434" s="24" t="s">
        <v>265</v>
      </c>
      <c r="C434" s="20">
        <v>477.97262000000001</v>
      </c>
      <c r="D434" s="21">
        <f>71695.9+406276.72</f>
        <v>477972.62</v>
      </c>
      <c r="E434" s="48">
        <v>13899</v>
      </c>
      <c r="F434" s="48">
        <v>4216</v>
      </c>
    </row>
    <row r="435" spans="1:8" s="2" customFormat="1" x14ac:dyDescent="0.25">
      <c r="A435" s="25">
        <v>41990</v>
      </c>
      <c r="B435" s="24" t="s">
        <v>265</v>
      </c>
      <c r="C435" s="20">
        <v>13626.817999999999</v>
      </c>
      <c r="D435" s="21">
        <f>11582795.3+2044022.7</f>
        <v>13626818</v>
      </c>
      <c r="E435" s="48">
        <v>13899</v>
      </c>
      <c r="F435" s="48">
        <v>4216</v>
      </c>
    </row>
    <row r="436" spans="1:8" s="2" customFormat="1" x14ac:dyDescent="0.25">
      <c r="A436" s="25"/>
      <c r="B436" s="23"/>
      <c r="C436" s="20"/>
      <c r="D436" s="21"/>
      <c r="E436" s="48"/>
      <c r="F436" s="48"/>
    </row>
    <row r="437" spans="1:8" s="2" customFormat="1" x14ac:dyDescent="0.25">
      <c r="A437" s="25"/>
      <c r="B437" s="38" t="s">
        <v>235</v>
      </c>
      <c r="C437" s="40">
        <f>+C439+C438+C440</f>
        <v>7915.00882</v>
      </c>
      <c r="D437" s="40">
        <f>+D439+D438+D440</f>
        <v>7915008.8200000003</v>
      </c>
      <c r="E437" s="48"/>
      <c r="F437" s="48"/>
    </row>
    <row r="438" spans="1:8" s="2" customFormat="1" x14ac:dyDescent="0.25">
      <c r="A438" s="25">
        <v>41922</v>
      </c>
      <c r="B438" s="24" t="s">
        <v>236</v>
      </c>
      <c r="C438" s="20">
        <v>3327.7575000000002</v>
      </c>
      <c r="D438" s="21">
        <v>3327757.5</v>
      </c>
      <c r="E438" s="48">
        <v>17871</v>
      </c>
      <c r="F438" s="48">
        <v>4216</v>
      </c>
    </row>
    <row r="439" spans="1:8" x14ac:dyDescent="0.25">
      <c r="A439" s="25">
        <v>41922</v>
      </c>
      <c r="B439" s="24" t="s">
        <v>236</v>
      </c>
      <c r="C439" s="20">
        <v>587.25131999999996</v>
      </c>
      <c r="D439" s="21">
        <v>587251.31999999995</v>
      </c>
      <c r="E439" s="48">
        <v>17870</v>
      </c>
      <c r="F439" s="48">
        <v>4216</v>
      </c>
      <c r="G439" s="2"/>
      <c r="H439" s="2"/>
    </row>
    <row r="440" spans="1:8" x14ac:dyDescent="0.25">
      <c r="A440" s="25"/>
      <c r="B440" s="24" t="s">
        <v>284</v>
      </c>
      <c r="C440" s="20">
        <v>4000</v>
      </c>
      <c r="D440" s="21">
        <f>506464+3493536</f>
        <v>4000000</v>
      </c>
      <c r="E440" s="48">
        <v>17880</v>
      </c>
      <c r="F440" s="48">
        <v>4216</v>
      </c>
      <c r="G440" s="2"/>
      <c r="H440" s="2"/>
    </row>
    <row r="441" spans="1:8" s="2" customFormat="1" x14ac:dyDescent="0.25">
      <c r="A441" s="25"/>
      <c r="B441" s="13"/>
      <c r="C441" s="39"/>
      <c r="D441" s="40"/>
      <c r="E441" s="48"/>
      <c r="F441" s="48"/>
    </row>
    <row r="442" spans="1:8" s="2" customFormat="1" x14ac:dyDescent="0.25">
      <c r="A442" s="25"/>
      <c r="B442" s="13" t="s">
        <v>53</v>
      </c>
      <c r="C442" s="39">
        <f>SUM(C443:C457)</f>
        <v>13961.33</v>
      </c>
      <c r="D442" s="39">
        <f>SUM(D443:D457)</f>
        <v>13961330</v>
      </c>
      <c r="E442" s="48"/>
      <c r="F442" s="48"/>
    </row>
    <row r="443" spans="1:8" s="2" customFormat="1" x14ac:dyDescent="0.25">
      <c r="A443" s="25">
        <v>41992</v>
      </c>
      <c r="B443" s="23" t="s">
        <v>80</v>
      </c>
      <c r="C443" s="52">
        <v>94.33</v>
      </c>
      <c r="D443" s="55">
        <v>94330</v>
      </c>
      <c r="E443" s="22">
        <v>33926</v>
      </c>
      <c r="F443" s="48">
        <v>4222</v>
      </c>
      <c r="H443" s="1"/>
    </row>
    <row r="444" spans="1:8" s="2" customFormat="1" x14ac:dyDescent="0.25">
      <c r="A444" s="25">
        <v>41984</v>
      </c>
      <c r="B444" s="23" t="s">
        <v>298</v>
      </c>
      <c r="C444" s="52">
        <v>100</v>
      </c>
      <c r="D444" s="55">
        <v>100000</v>
      </c>
      <c r="E444" s="22">
        <v>435</v>
      </c>
      <c r="F444" s="48">
        <v>4222</v>
      </c>
      <c r="H444" s="1"/>
    </row>
    <row r="445" spans="1:8" s="2" customFormat="1" x14ac:dyDescent="0.25">
      <c r="A445" s="25"/>
      <c r="B445" s="23" t="s">
        <v>222</v>
      </c>
      <c r="C445" s="20">
        <v>500</v>
      </c>
      <c r="D445" s="55">
        <v>500000</v>
      </c>
      <c r="E445" s="48">
        <v>551</v>
      </c>
      <c r="F445" s="48">
        <v>4222</v>
      </c>
    </row>
    <row r="446" spans="1:8" s="2" customFormat="1" x14ac:dyDescent="0.25">
      <c r="A446" s="25"/>
      <c r="B446" s="23" t="s">
        <v>202</v>
      </c>
      <c r="C446" s="20">
        <v>500</v>
      </c>
      <c r="D446" s="55">
        <v>500000</v>
      </c>
      <c r="E446" s="48">
        <v>342</v>
      </c>
      <c r="F446" s="48">
        <v>4222</v>
      </c>
    </row>
    <row r="447" spans="1:8" s="2" customFormat="1" x14ac:dyDescent="0.25">
      <c r="A447" s="25"/>
      <c r="B447" s="23" t="s">
        <v>203</v>
      </c>
      <c r="C447" s="20">
        <v>3000</v>
      </c>
      <c r="D447" s="55">
        <v>3000000</v>
      </c>
      <c r="E447" s="48">
        <v>311</v>
      </c>
      <c r="F447" s="48">
        <v>4222</v>
      </c>
    </row>
    <row r="448" spans="1:8" s="2" customFormat="1" x14ac:dyDescent="0.25">
      <c r="A448" s="25"/>
      <c r="B448" s="23" t="s">
        <v>246</v>
      </c>
      <c r="C448" s="20">
        <v>200</v>
      </c>
      <c r="D448" s="55">
        <v>200000</v>
      </c>
      <c r="E448" s="48">
        <v>342</v>
      </c>
      <c r="F448" s="48">
        <v>4222</v>
      </c>
    </row>
    <row r="449" spans="1:8" s="2" customFormat="1" x14ac:dyDescent="0.25">
      <c r="A449" s="25"/>
      <c r="B449" s="23" t="s">
        <v>261</v>
      </c>
      <c r="C449" s="20">
        <v>105</v>
      </c>
      <c r="D449" s="55">
        <v>105000</v>
      </c>
      <c r="E449" s="48">
        <v>551</v>
      </c>
      <c r="F449" s="48">
        <v>4222</v>
      </c>
    </row>
    <row r="450" spans="1:8" s="2" customFormat="1" x14ac:dyDescent="0.25">
      <c r="A450" s="25"/>
      <c r="B450" s="23" t="s">
        <v>342</v>
      </c>
      <c r="C450" s="20">
        <v>1000</v>
      </c>
      <c r="D450" s="55">
        <v>1000000</v>
      </c>
      <c r="E450" s="48">
        <v>311</v>
      </c>
      <c r="F450" s="48">
        <v>4222</v>
      </c>
    </row>
    <row r="451" spans="1:8" s="2" customFormat="1" x14ac:dyDescent="0.25">
      <c r="A451" s="25"/>
      <c r="B451" s="24" t="s">
        <v>245</v>
      </c>
      <c r="C451" s="20">
        <v>2000</v>
      </c>
      <c r="D451" s="55">
        <v>2000000</v>
      </c>
      <c r="E451" s="48">
        <v>311</v>
      </c>
      <c r="F451" s="48">
        <v>4222</v>
      </c>
      <c r="H451" s="1"/>
    </row>
    <row r="452" spans="1:8" s="2" customFormat="1" x14ac:dyDescent="0.25">
      <c r="A452" s="25"/>
      <c r="B452" s="23" t="s">
        <v>204</v>
      </c>
      <c r="C452" s="20">
        <v>1000</v>
      </c>
      <c r="D452" s="55">
        <v>1000000</v>
      </c>
      <c r="E452" s="48">
        <v>311</v>
      </c>
      <c r="F452" s="48">
        <v>4222</v>
      </c>
    </row>
    <row r="453" spans="1:8" s="2" customFormat="1" x14ac:dyDescent="0.25">
      <c r="A453" s="25"/>
      <c r="B453" s="23" t="s">
        <v>205</v>
      </c>
      <c r="C453" s="20">
        <v>2000</v>
      </c>
      <c r="D453" s="55">
        <v>2000000</v>
      </c>
      <c r="E453" s="48">
        <v>311</v>
      </c>
      <c r="F453" s="48">
        <v>4222</v>
      </c>
    </row>
    <row r="454" spans="1:8" s="2" customFormat="1" x14ac:dyDescent="0.25">
      <c r="A454" s="25"/>
      <c r="B454" s="23" t="s">
        <v>247</v>
      </c>
      <c r="C454" s="20">
        <v>320</v>
      </c>
      <c r="D454" s="55">
        <v>320000</v>
      </c>
      <c r="E454" s="48">
        <v>369</v>
      </c>
      <c r="F454" s="48">
        <v>4222</v>
      </c>
    </row>
    <row r="455" spans="1:8" s="2" customFormat="1" x14ac:dyDescent="0.25">
      <c r="A455" s="25"/>
      <c r="B455" s="23" t="s">
        <v>254</v>
      </c>
      <c r="C455" s="20">
        <v>102</v>
      </c>
      <c r="D455" s="55">
        <v>102000</v>
      </c>
      <c r="E455" s="48">
        <v>551</v>
      </c>
      <c r="F455" s="48">
        <v>4222</v>
      </c>
    </row>
    <row r="456" spans="1:8" s="2" customFormat="1" x14ac:dyDescent="0.25">
      <c r="A456" s="25"/>
      <c r="B456" s="23" t="s">
        <v>206</v>
      </c>
      <c r="C456" s="46">
        <v>40</v>
      </c>
      <c r="D456" s="55">
        <v>40000</v>
      </c>
      <c r="E456" s="48">
        <v>433</v>
      </c>
      <c r="F456" s="48">
        <v>4222</v>
      </c>
    </row>
    <row r="457" spans="1:8" s="2" customFormat="1" x14ac:dyDescent="0.25">
      <c r="A457" s="25"/>
      <c r="B457" s="23" t="s">
        <v>207</v>
      </c>
      <c r="C457" s="20">
        <v>3000</v>
      </c>
      <c r="D457" s="55">
        <v>3000000</v>
      </c>
      <c r="E457" s="48">
        <v>311</v>
      </c>
      <c r="F457" s="48">
        <v>4222</v>
      </c>
    </row>
    <row r="458" spans="1:8" x14ac:dyDescent="0.25">
      <c r="A458" s="50"/>
      <c r="B458" s="83"/>
      <c r="C458" s="84"/>
      <c r="D458" s="55"/>
      <c r="E458" s="85"/>
      <c r="F458" s="63"/>
      <c r="G458" s="2"/>
      <c r="H458" s="2"/>
    </row>
    <row r="459" spans="1:8" s="2" customFormat="1" x14ac:dyDescent="0.25">
      <c r="A459" s="25"/>
      <c r="B459" s="30" t="s">
        <v>55</v>
      </c>
      <c r="C459" s="30">
        <f>+SUM(C460:C472)</f>
        <v>118237.19408</v>
      </c>
      <c r="D459" s="31">
        <f>+SUM(D460:D472)</f>
        <v>118237194.08000001</v>
      </c>
      <c r="E459" s="48"/>
      <c r="F459" s="48"/>
    </row>
    <row r="460" spans="1:8" s="2" customFormat="1" x14ac:dyDescent="0.25">
      <c r="A460" s="25">
        <v>41695</v>
      </c>
      <c r="B460" s="23" t="s">
        <v>63</v>
      </c>
      <c r="C460" s="46">
        <v>8438.1014200000009</v>
      </c>
      <c r="D460" s="47">
        <v>8438101.4199999999</v>
      </c>
      <c r="E460" s="22">
        <v>86505</v>
      </c>
      <c r="F460" s="48">
        <v>4223</v>
      </c>
    </row>
    <row r="461" spans="1:8" s="2" customFormat="1" x14ac:dyDescent="0.25">
      <c r="A461" s="25">
        <v>41711</v>
      </c>
      <c r="B461" s="23" t="s">
        <v>63</v>
      </c>
      <c r="C461" s="46">
        <v>1123.3418899999999</v>
      </c>
      <c r="D461" s="47">
        <v>1123341.8899999999</v>
      </c>
      <c r="E461" s="22">
        <v>86505</v>
      </c>
      <c r="F461" s="48">
        <v>4223</v>
      </c>
    </row>
    <row r="462" spans="1:8" s="2" customFormat="1" x14ac:dyDescent="0.25">
      <c r="A462" s="25">
        <v>41740</v>
      </c>
      <c r="B462" s="23" t="s">
        <v>89</v>
      </c>
      <c r="C462" s="46">
        <v>16976.554410000001</v>
      </c>
      <c r="D462" s="47">
        <v>16976554.41</v>
      </c>
      <c r="E462" s="22">
        <v>86505</v>
      </c>
      <c r="F462" s="48">
        <v>4223</v>
      </c>
    </row>
    <row r="463" spans="1:8" s="2" customFormat="1" x14ac:dyDescent="0.25">
      <c r="A463" s="25">
        <v>41740</v>
      </c>
      <c r="B463" s="23" t="s">
        <v>89</v>
      </c>
      <c r="C463" s="46">
        <v>1497.93127</v>
      </c>
      <c r="D463" s="47">
        <v>1497931.27</v>
      </c>
      <c r="E463" s="22">
        <v>86501</v>
      </c>
      <c r="F463" s="48">
        <v>4223</v>
      </c>
    </row>
    <row r="464" spans="1:8" s="2" customFormat="1" x14ac:dyDescent="0.25">
      <c r="A464" s="25">
        <v>41740</v>
      </c>
      <c r="B464" s="23" t="s">
        <v>90</v>
      </c>
      <c r="C464" s="46">
        <v>2757.52448</v>
      </c>
      <c r="D464" s="47">
        <v>2757524.48</v>
      </c>
      <c r="E464" s="22">
        <v>86505</v>
      </c>
      <c r="F464" s="48">
        <v>4223</v>
      </c>
    </row>
    <row r="465" spans="1:8" s="2" customFormat="1" x14ac:dyDescent="0.25">
      <c r="A465" s="25">
        <v>41789</v>
      </c>
      <c r="B465" s="23" t="s">
        <v>114</v>
      </c>
      <c r="C465" s="46">
        <v>4308.0696399999997</v>
      </c>
      <c r="D465" s="21">
        <v>4308069.6399999997</v>
      </c>
      <c r="E465" s="22">
        <v>86505</v>
      </c>
      <c r="F465" s="48">
        <v>4223</v>
      </c>
    </row>
    <row r="466" spans="1:8" s="2" customFormat="1" x14ac:dyDescent="0.25">
      <c r="A466" s="25">
        <v>41820</v>
      </c>
      <c r="B466" s="23" t="s">
        <v>134</v>
      </c>
      <c r="C466" s="46">
        <v>22116.769990000001</v>
      </c>
      <c r="D466" s="21">
        <v>22116769.989999998</v>
      </c>
      <c r="E466" s="22">
        <v>86505</v>
      </c>
      <c r="F466" s="48">
        <v>4223</v>
      </c>
    </row>
    <row r="467" spans="1:8" s="2" customFormat="1" x14ac:dyDescent="0.25">
      <c r="A467" s="25">
        <v>41827</v>
      </c>
      <c r="B467" s="23" t="s">
        <v>175</v>
      </c>
      <c r="C467" s="46">
        <v>17651.593959999998</v>
      </c>
      <c r="D467" s="21">
        <v>17651593.960000001</v>
      </c>
      <c r="E467" s="22">
        <v>86505</v>
      </c>
      <c r="F467" s="48">
        <v>4223</v>
      </c>
    </row>
    <row r="468" spans="1:8" s="2" customFormat="1" x14ac:dyDescent="0.25">
      <c r="A468" s="25">
        <v>41850</v>
      </c>
      <c r="B468" s="23" t="s">
        <v>192</v>
      </c>
      <c r="C468" s="46">
        <v>2983.2803699999999</v>
      </c>
      <c r="D468" s="21">
        <v>2983280.37</v>
      </c>
      <c r="E468" s="22">
        <v>86505</v>
      </c>
      <c r="F468" s="48">
        <v>4223</v>
      </c>
    </row>
    <row r="469" spans="1:8" s="2" customFormat="1" x14ac:dyDescent="0.25">
      <c r="A469" s="25">
        <v>41912</v>
      </c>
      <c r="B469" s="23" t="s">
        <v>212</v>
      </c>
      <c r="C469" s="46">
        <v>5513.16734</v>
      </c>
      <c r="D469" s="21">
        <v>5513167.3399999999</v>
      </c>
      <c r="E469" s="22">
        <v>86505</v>
      </c>
      <c r="F469" s="48">
        <v>4223</v>
      </c>
    </row>
    <row r="470" spans="1:8" s="2" customFormat="1" x14ac:dyDescent="0.25">
      <c r="A470" s="25">
        <v>41971</v>
      </c>
      <c r="B470" s="23" t="s">
        <v>282</v>
      </c>
      <c r="C470" s="46">
        <v>13900.870430000001</v>
      </c>
      <c r="D470" s="21">
        <v>13900870.43</v>
      </c>
      <c r="E470" s="22">
        <v>86505</v>
      </c>
      <c r="F470" s="48">
        <v>4223</v>
      </c>
    </row>
    <row r="471" spans="1:8" s="2" customFormat="1" x14ac:dyDescent="0.25">
      <c r="A471" s="25">
        <v>41977</v>
      </c>
      <c r="B471" s="23" t="s">
        <v>287</v>
      </c>
      <c r="C471" s="46">
        <v>4271.1644200000001</v>
      </c>
      <c r="D471" s="21">
        <v>4271164.42</v>
      </c>
      <c r="E471" s="22">
        <v>86505</v>
      </c>
      <c r="F471" s="48">
        <v>4223</v>
      </c>
    </row>
    <row r="472" spans="1:8" s="2" customFormat="1" x14ac:dyDescent="0.25">
      <c r="A472" s="25">
        <v>41992</v>
      </c>
      <c r="B472" s="23" t="s">
        <v>307</v>
      </c>
      <c r="C472" s="46">
        <v>16698.82446</v>
      </c>
      <c r="D472" s="21">
        <v>16698824.460000001</v>
      </c>
      <c r="E472" s="22">
        <v>86505</v>
      </c>
      <c r="F472" s="48">
        <v>4223</v>
      </c>
    </row>
    <row r="473" spans="1:8" s="2" customFormat="1" x14ac:dyDescent="0.25">
      <c r="A473" s="25"/>
      <c r="B473" s="24"/>
      <c r="C473" s="46"/>
      <c r="D473" s="86"/>
      <c r="E473" s="48"/>
      <c r="F473" s="48"/>
      <c r="G473" s="1"/>
    </row>
    <row r="474" spans="1:8" s="2" customFormat="1" x14ac:dyDescent="0.25">
      <c r="A474" s="25"/>
      <c r="B474" s="70" t="s">
        <v>64</v>
      </c>
      <c r="C474" s="26">
        <f>+C442+C459+C345+C380+C437+C433</f>
        <v>561737.20770999999</v>
      </c>
      <c r="D474" s="26">
        <f>+D442+D459+D345+D380+D437+D433</f>
        <v>561595651.99000001</v>
      </c>
      <c r="E474" s="71"/>
      <c r="F474" s="28"/>
      <c r="G474" s="1"/>
    </row>
    <row r="475" spans="1:8" s="2" customFormat="1" ht="16.5" thickBot="1" x14ac:dyDescent="0.3">
      <c r="A475" s="72"/>
      <c r="B475" s="73"/>
      <c r="C475" s="74"/>
      <c r="D475" s="75"/>
      <c r="E475" s="76"/>
      <c r="F475" s="76"/>
      <c r="G475" s="1"/>
    </row>
    <row r="476" spans="1:8" s="2" customFormat="1" x14ac:dyDescent="0.25">
      <c r="A476" s="87"/>
      <c r="D476" s="45"/>
      <c r="E476" s="88"/>
      <c r="F476" s="88"/>
      <c r="G476" s="1"/>
    </row>
    <row r="477" spans="1:8" s="2" customFormat="1" ht="16.5" thickBot="1" x14ac:dyDescent="0.3">
      <c r="A477" s="89"/>
      <c r="B477" s="90"/>
      <c r="C477" s="90"/>
      <c r="D477" s="91"/>
      <c r="E477" s="92"/>
      <c r="F477" s="92"/>
      <c r="G477" s="1"/>
    </row>
    <row r="478" spans="1:8" s="2" customFormat="1" x14ac:dyDescent="0.25">
      <c r="A478" s="93"/>
      <c r="B478" s="94"/>
      <c r="C478" s="94"/>
      <c r="D478" s="5"/>
      <c r="E478" s="95"/>
      <c r="F478" s="153"/>
      <c r="G478" s="88"/>
      <c r="H478" s="1"/>
    </row>
    <row r="479" spans="1:8" s="2" customFormat="1" ht="16.5" thickBot="1" x14ac:dyDescent="0.3">
      <c r="A479" s="93"/>
      <c r="B479" s="9" t="s">
        <v>65</v>
      </c>
      <c r="C479" s="9" t="s">
        <v>3</v>
      </c>
      <c r="D479" s="10" t="s">
        <v>4</v>
      </c>
      <c r="E479" s="95"/>
      <c r="F479" s="153"/>
      <c r="G479" s="88"/>
      <c r="H479" s="1"/>
    </row>
    <row r="480" spans="1:8" s="2" customFormat="1" x14ac:dyDescent="0.25">
      <c r="A480" s="93"/>
      <c r="B480" s="96"/>
      <c r="C480" s="96"/>
      <c r="D480" s="97"/>
      <c r="E480" s="95"/>
      <c r="F480" s="153"/>
      <c r="G480" s="88"/>
      <c r="H480" s="1"/>
    </row>
    <row r="481" spans="1:9" s="2" customFormat="1" x14ac:dyDescent="0.25">
      <c r="A481" s="98"/>
      <c r="B481" s="99" t="s">
        <v>66</v>
      </c>
      <c r="C481" s="99">
        <f>+C339</f>
        <v>261773.67747000002</v>
      </c>
      <c r="D481" s="56">
        <f>+D339</f>
        <v>263072819.49000004</v>
      </c>
      <c r="E481" s="100"/>
      <c r="F481" s="80"/>
      <c r="G481" s="88"/>
      <c r="H481" s="1"/>
    </row>
    <row r="482" spans="1:9" s="2" customFormat="1" x14ac:dyDescent="0.25">
      <c r="A482" s="98"/>
      <c r="B482" s="99" t="s">
        <v>67</v>
      </c>
      <c r="C482" s="99">
        <f>+C474</f>
        <v>561737.20770999999</v>
      </c>
      <c r="D482" s="122">
        <f>+D474</f>
        <v>561595651.99000001</v>
      </c>
      <c r="E482" s="101"/>
      <c r="F482" s="92"/>
      <c r="G482" s="88"/>
      <c r="H482" s="1"/>
    </row>
    <row r="483" spans="1:9" s="2" customFormat="1" x14ac:dyDescent="0.25">
      <c r="A483" s="98"/>
      <c r="B483" s="99"/>
      <c r="C483" s="99"/>
      <c r="D483" s="56"/>
      <c r="E483" s="101"/>
      <c r="F483" s="92"/>
      <c r="G483" s="88"/>
      <c r="H483" s="1"/>
    </row>
    <row r="484" spans="1:9" s="2" customFormat="1" x14ac:dyDescent="0.25">
      <c r="A484" s="98"/>
      <c r="B484" s="102" t="s">
        <v>68</v>
      </c>
      <c r="C484" s="102">
        <f>+C481+C482</f>
        <v>823510.88517999998</v>
      </c>
      <c r="D484" s="27">
        <f>SUM(D481:D482)</f>
        <v>824668471.48000002</v>
      </c>
      <c r="E484" s="101"/>
      <c r="F484" s="92"/>
      <c r="H484" s="1"/>
    </row>
    <row r="485" spans="1:9" s="2" customFormat="1" ht="16.5" thickBot="1" x14ac:dyDescent="0.3">
      <c r="A485" s="98"/>
      <c r="B485" s="103"/>
      <c r="C485" s="103"/>
      <c r="D485" s="75"/>
      <c r="E485" s="100"/>
      <c r="F485" s="80"/>
      <c r="H485" s="1"/>
      <c r="I485" s="109"/>
    </row>
    <row r="486" spans="1:9" s="2" customFormat="1" x14ac:dyDescent="0.25">
      <c r="A486" s="87"/>
      <c r="D486" s="45"/>
      <c r="E486" s="1"/>
      <c r="G486" s="1"/>
    </row>
    <row r="487" spans="1:9" x14ac:dyDescent="0.25">
      <c r="E487" s="45"/>
      <c r="F487" s="45"/>
      <c r="H487" s="2"/>
    </row>
    <row r="488" spans="1:9" x14ac:dyDescent="0.25">
      <c r="E488" s="45"/>
      <c r="F488" s="45"/>
      <c r="H488" s="2"/>
    </row>
    <row r="489" spans="1:9" x14ac:dyDescent="0.25">
      <c r="E489" s="45"/>
      <c r="F489" s="45"/>
      <c r="H489" s="2"/>
    </row>
    <row r="490" spans="1:9" x14ac:dyDescent="0.25">
      <c r="E490" s="45"/>
      <c r="F490" s="45"/>
      <c r="H490" s="2"/>
    </row>
    <row r="491" spans="1:9" x14ac:dyDescent="0.25">
      <c r="H491" s="2"/>
    </row>
    <row r="492" spans="1:9" x14ac:dyDescent="0.25">
      <c r="H492" s="2"/>
    </row>
    <row r="493" spans="1:9" x14ac:dyDescent="0.25">
      <c r="H493" s="2"/>
    </row>
    <row r="494" spans="1:9" x14ac:dyDescent="0.25">
      <c r="H494" s="2"/>
    </row>
    <row r="495" spans="1:9" x14ac:dyDescent="0.25">
      <c r="H495" s="2"/>
    </row>
    <row r="496" spans="1:9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50" spans="1:8" x14ac:dyDescent="0.25">
      <c r="A550" s="155"/>
      <c r="B550" s="111"/>
      <c r="C550" s="111"/>
      <c r="D550" s="156"/>
      <c r="E550" s="112"/>
      <c r="F550" s="113"/>
      <c r="G550" s="156"/>
      <c r="H550" s="157"/>
    </row>
    <row r="551" spans="1:8" x14ac:dyDescent="0.25">
      <c r="A551" s="155"/>
      <c r="B551" s="111"/>
      <c r="C551" s="111"/>
      <c r="D551" s="156"/>
      <c r="E551" s="112"/>
      <c r="F551" s="113"/>
      <c r="G551" s="156"/>
      <c r="H551" s="157"/>
    </row>
    <row r="552" spans="1:8" x14ac:dyDescent="0.25">
      <c r="A552" s="155"/>
      <c r="B552" s="111"/>
      <c r="C552" s="111"/>
      <c r="D552" s="156"/>
      <c r="E552" s="112"/>
      <c r="F552" s="113"/>
      <c r="G552" s="156"/>
      <c r="H552" s="157"/>
    </row>
    <row r="553" spans="1:8" x14ac:dyDescent="0.25">
      <c r="A553" s="155"/>
      <c r="B553" s="111"/>
      <c r="C553" s="111"/>
      <c r="D553" s="156"/>
      <c r="E553" s="112"/>
      <c r="F553" s="113"/>
      <c r="G553" s="156"/>
      <c r="H553" s="157"/>
    </row>
    <row r="554" spans="1:8" x14ac:dyDescent="0.25">
      <c r="A554" s="155"/>
      <c r="B554" s="111"/>
      <c r="C554" s="111"/>
      <c r="D554" s="156"/>
      <c r="E554" s="112"/>
      <c r="F554" s="113"/>
      <c r="G554" s="156"/>
      <c r="H554" s="157"/>
    </row>
    <row r="555" spans="1:8" x14ac:dyDescent="0.25">
      <c r="A555" s="155"/>
      <c r="B555" s="111"/>
      <c r="C555" s="111"/>
      <c r="D555" s="156"/>
      <c r="E555" s="112"/>
      <c r="F555" s="113"/>
      <c r="G555" s="156"/>
      <c r="H555" s="157"/>
    </row>
    <row r="556" spans="1:8" x14ac:dyDescent="0.25">
      <c r="A556" s="155"/>
      <c r="B556" s="111"/>
      <c r="C556" s="111"/>
      <c r="D556" s="156"/>
      <c r="E556" s="112"/>
      <c r="F556" s="113"/>
      <c r="G556" s="156"/>
      <c r="H556" s="157"/>
    </row>
    <row r="557" spans="1:8" x14ac:dyDescent="0.25">
      <c r="A557" s="155"/>
      <c r="B557" s="111"/>
      <c r="C557" s="111"/>
      <c r="D557" s="156"/>
      <c r="E557" s="112"/>
      <c r="F557" s="113"/>
      <c r="G557" s="156"/>
      <c r="H557" s="157"/>
    </row>
    <row r="558" spans="1:8" x14ac:dyDescent="0.25">
      <c r="A558" s="155"/>
      <c r="B558" s="111"/>
      <c r="C558" s="111"/>
      <c r="D558" s="156"/>
      <c r="E558" s="112"/>
      <c r="F558" s="113"/>
      <c r="G558" s="156"/>
      <c r="H558" s="157"/>
    </row>
    <row r="559" spans="1:8" x14ac:dyDescent="0.25">
      <c r="A559" s="155"/>
      <c r="B559" s="111"/>
      <c r="C559" s="111"/>
      <c r="D559" s="156"/>
      <c r="E559" s="112"/>
      <c r="F559" s="113"/>
      <c r="G559" s="156"/>
      <c r="H559" s="157"/>
    </row>
    <row r="560" spans="1:8" x14ac:dyDescent="0.25">
      <c r="A560" s="155"/>
      <c r="B560" s="111"/>
      <c r="C560" s="111"/>
      <c r="D560" s="156"/>
      <c r="E560" s="112"/>
      <c r="F560" s="113"/>
      <c r="G560" s="156"/>
      <c r="H560" s="157"/>
    </row>
    <row r="561" spans="1:8" x14ac:dyDescent="0.25">
      <c r="A561" s="155"/>
      <c r="B561" s="111"/>
      <c r="C561" s="111"/>
      <c r="D561" s="156"/>
      <c r="E561" s="112"/>
      <c r="F561" s="113"/>
      <c r="G561" s="156"/>
      <c r="H561" s="157"/>
    </row>
    <row r="562" spans="1:8" x14ac:dyDescent="0.25">
      <c r="A562" s="155"/>
      <c r="B562" s="111"/>
      <c r="C562" s="111"/>
      <c r="D562" s="156"/>
      <c r="E562" s="112"/>
      <c r="F562" s="113"/>
      <c r="G562" s="156"/>
      <c r="H562" s="157"/>
    </row>
    <row r="563" spans="1:8" x14ac:dyDescent="0.25">
      <c r="A563" s="155"/>
      <c r="B563" s="111"/>
      <c r="C563" s="111"/>
      <c r="D563" s="156"/>
      <c r="E563" s="112"/>
      <c r="F563" s="113"/>
      <c r="G563" s="156"/>
      <c r="H563" s="157"/>
    </row>
    <row r="564" spans="1:8" x14ac:dyDescent="0.25">
      <c r="A564" s="155"/>
      <c r="B564" s="111"/>
      <c r="C564" s="111"/>
      <c r="D564" s="156"/>
      <c r="E564" s="112"/>
      <c r="F564" s="113"/>
      <c r="G564" s="156"/>
      <c r="H564" s="157"/>
    </row>
    <row r="565" spans="1:8" x14ac:dyDescent="0.25">
      <c r="A565" s="155"/>
      <c r="B565" s="111"/>
      <c r="C565" s="111"/>
      <c r="D565" s="156"/>
      <c r="E565" s="112"/>
      <c r="F565" s="113"/>
      <c r="G565" s="156"/>
      <c r="H565" s="157"/>
    </row>
    <row r="566" spans="1:8" x14ac:dyDescent="0.25">
      <c r="A566" s="155"/>
      <c r="B566" s="111"/>
      <c r="C566" s="111"/>
      <c r="D566" s="156"/>
      <c r="E566" s="112"/>
      <c r="F566" s="113"/>
      <c r="G566" s="156"/>
      <c r="H566" s="157"/>
    </row>
    <row r="567" spans="1:8" x14ac:dyDescent="0.25">
      <c r="A567" s="155"/>
      <c r="B567" s="111"/>
      <c r="C567" s="111"/>
      <c r="D567" s="156"/>
      <c r="E567" s="112"/>
      <c r="F567" s="113"/>
      <c r="G567" s="156"/>
      <c r="H567" s="157"/>
    </row>
    <row r="568" spans="1:8" x14ac:dyDescent="0.25">
      <c r="A568" s="155"/>
      <c r="B568" s="111"/>
      <c r="C568" s="111"/>
      <c r="D568" s="156"/>
      <c r="E568" s="112"/>
      <c r="F568" s="113"/>
      <c r="G568" s="156"/>
      <c r="H568" s="157"/>
    </row>
    <row r="569" spans="1:8" x14ac:dyDescent="0.25">
      <c r="A569" s="155"/>
      <c r="B569" s="111"/>
      <c r="C569" s="111"/>
      <c r="D569" s="156"/>
      <c r="E569" s="112"/>
      <c r="F569" s="113"/>
      <c r="G569" s="156"/>
      <c r="H569" s="157"/>
    </row>
    <row r="570" spans="1:8" x14ac:dyDescent="0.25">
      <c r="A570" s="155"/>
      <c r="B570" s="111"/>
      <c r="C570" s="111"/>
      <c r="D570" s="156"/>
      <c r="E570" s="112"/>
      <c r="F570" s="113"/>
      <c r="G570" s="156"/>
      <c r="H570" s="157"/>
    </row>
    <row r="571" spans="1:8" x14ac:dyDescent="0.25">
      <c r="A571" s="155"/>
      <c r="B571" s="111"/>
      <c r="C571" s="111"/>
      <c r="D571" s="156"/>
      <c r="E571" s="112"/>
      <c r="F571" s="113"/>
      <c r="G571" s="156"/>
      <c r="H571" s="157"/>
    </row>
    <row r="572" spans="1:8" x14ac:dyDescent="0.25">
      <c r="A572" s="155"/>
      <c r="B572" s="111"/>
      <c r="C572" s="111"/>
      <c r="D572" s="156"/>
      <c r="E572" s="112"/>
      <c r="F572" s="113"/>
      <c r="G572" s="156"/>
      <c r="H572" s="157"/>
    </row>
    <row r="573" spans="1:8" x14ac:dyDescent="0.25">
      <c r="A573" s="155"/>
      <c r="B573" s="111"/>
      <c r="C573" s="111"/>
      <c r="D573" s="156"/>
      <c r="E573" s="112"/>
      <c r="F573" s="113"/>
      <c r="G573" s="156"/>
      <c r="H573" s="157"/>
    </row>
    <row r="574" spans="1:8" x14ac:dyDescent="0.25">
      <c r="A574" s="155"/>
      <c r="B574" s="111"/>
      <c r="C574" s="111"/>
      <c r="D574" s="156"/>
      <c r="E574" s="112"/>
      <c r="F574" s="113"/>
      <c r="G574" s="156"/>
      <c r="H574" s="157"/>
    </row>
    <row r="575" spans="1:8" x14ac:dyDescent="0.25">
      <c r="A575" s="155"/>
      <c r="B575" s="111"/>
      <c r="C575" s="111"/>
      <c r="D575" s="156"/>
      <c r="E575" s="112"/>
      <c r="F575" s="113"/>
      <c r="G575" s="156"/>
      <c r="H575" s="157"/>
    </row>
    <row r="576" spans="1:8" x14ac:dyDescent="0.25">
      <c r="A576" s="155"/>
      <c r="B576" s="111"/>
      <c r="C576" s="111"/>
      <c r="D576" s="156"/>
      <c r="E576" s="112"/>
      <c r="F576" s="113"/>
      <c r="G576" s="156"/>
      <c r="H576" s="157"/>
    </row>
    <row r="577" spans="1:8" x14ac:dyDescent="0.25">
      <c r="A577" s="155"/>
      <c r="B577" s="111"/>
      <c r="C577" s="111"/>
      <c r="D577" s="156"/>
      <c r="E577" s="112"/>
      <c r="F577" s="113"/>
      <c r="G577" s="156"/>
      <c r="H577" s="157"/>
    </row>
    <row r="578" spans="1:8" x14ac:dyDescent="0.25">
      <c r="A578" s="155"/>
      <c r="B578" s="111"/>
      <c r="C578" s="111"/>
      <c r="D578" s="156"/>
      <c r="E578" s="112"/>
      <c r="F578" s="113"/>
      <c r="G578" s="156"/>
      <c r="H578" s="157"/>
    </row>
    <row r="579" spans="1:8" x14ac:dyDescent="0.25">
      <c r="A579" s="155"/>
      <c r="B579" s="111"/>
      <c r="C579" s="111"/>
      <c r="D579" s="156"/>
      <c r="E579" s="112"/>
      <c r="F579" s="113"/>
      <c r="G579" s="156"/>
      <c r="H579" s="157"/>
    </row>
    <row r="580" spans="1:8" x14ac:dyDescent="0.25">
      <c r="A580" s="155"/>
      <c r="B580" s="111"/>
      <c r="C580" s="111"/>
      <c r="D580" s="156"/>
      <c r="E580" s="112"/>
      <c r="F580" s="113"/>
      <c r="G580" s="156"/>
      <c r="H580" s="157"/>
    </row>
    <row r="581" spans="1:8" x14ac:dyDescent="0.25">
      <c r="A581" s="155"/>
      <c r="B581" s="111"/>
      <c r="C581" s="111"/>
      <c r="D581" s="156"/>
      <c r="E581" s="112"/>
      <c r="F581" s="113"/>
      <c r="G581" s="156"/>
      <c r="H581" s="157"/>
    </row>
    <row r="582" spans="1:8" x14ac:dyDescent="0.25">
      <c r="A582" s="155"/>
      <c r="B582" s="111"/>
      <c r="C582" s="111"/>
      <c r="D582" s="156"/>
      <c r="E582" s="112"/>
      <c r="F582" s="113"/>
      <c r="G582" s="156"/>
      <c r="H582" s="157"/>
    </row>
    <row r="583" spans="1:8" x14ac:dyDescent="0.25">
      <c r="A583" s="155"/>
      <c r="B583" s="111"/>
      <c r="C583" s="111"/>
      <c r="D583" s="156"/>
      <c r="E583" s="112"/>
      <c r="F583" s="113"/>
      <c r="G583" s="156"/>
      <c r="H583" s="157"/>
    </row>
    <row r="584" spans="1:8" x14ac:dyDescent="0.25">
      <c r="A584" s="155"/>
      <c r="B584" s="111"/>
      <c r="C584" s="111"/>
      <c r="D584" s="156"/>
      <c r="E584" s="112"/>
      <c r="F584" s="113"/>
      <c r="G584" s="156"/>
      <c r="H584" s="157"/>
    </row>
    <row r="585" spans="1:8" x14ac:dyDescent="0.25">
      <c r="A585" s="155"/>
      <c r="B585" s="111"/>
      <c r="C585" s="111"/>
      <c r="D585" s="156"/>
      <c r="E585" s="112"/>
      <c r="F585" s="113"/>
      <c r="G585" s="156"/>
      <c r="H585" s="157"/>
    </row>
    <row r="586" spans="1:8" x14ac:dyDescent="0.25">
      <c r="A586" s="155"/>
      <c r="B586" s="111"/>
      <c r="C586" s="111"/>
      <c r="D586" s="156"/>
      <c r="E586" s="112"/>
      <c r="F586" s="113"/>
      <c r="G586" s="156"/>
      <c r="H586" s="157"/>
    </row>
    <row r="587" spans="1:8" x14ac:dyDescent="0.25">
      <c r="A587" s="155"/>
      <c r="B587" s="111"/>
      <c r="C587" s="111"/>
      <c r="D587" s="156"/>
      <c r="E587" s="112"/>
      <c r="F587" s="113"/>
      <c r="G587" s="156"/>
      <c r="H587" s="157"/>
    </row>
    <row r="588" spans="1:8" x14ac:dyDescent="0.25">
      <c r="A588" s="155"/>
      <c r="B588" s="111"/>
      <c r="C588" s="111"/>
      <c r="D588" s="156"/>
      <c r="E588" s="112"/>
      <c r="F588" s="113"/>
      <c r="G588" s="156"/>
      <c r="H588" s="157"/>
    </row>
    <row r="589" spans="1:8" x14ac:dyDescent="0.25">
      <c r="A589" s="155"/>
      <c r="B589" s="111"/>
      <c r="C589" s="111"/>
      <c r="D589" s="156"/>
      <c r="E589" s="112"/>
      <c r="F589" s="113"/>
      <c r="G589" s="156"/>
      <c r="H589" s="157"/>
    </row>
    <row r="590" spans="1:8" x14ac:dyDescent="0.25">
      <c r="A590" s="155"/>
      <c r="B590" s="111"/>
      <c r="C590" s="111"/>
      <c r="D590" s="156"/>
      <c r="E590" s="112"/>
      <c r="F590" s="113"/>
      <c r="G590" s="156"/>
      <c r="H590" s="157"/>
    </row>
    <row r="591" spans="1:8" x14ac:dyDescent="0.25">
      <c r="A591" s="155"/>
      <c r="B591" s="111"/>
      <c r="C591" s="111"/>
      <c r="D591" s="156"/>
      <c r="E591" s="112"/>
      <c r="F591" s="113"/>
      <c r="G591" s="156"/>
      <c r="H591" s="157"/>
    </row>
    <row r="592" spans="1:8" x14ac:dyDescent="0.25">
      <c r="A592" s="155"/>
      <c r="B592" s="111"/>
      <c r="C592" s="111"/>
      <c r="D592" s="156"/>
      <c r="E592" s="112"/>
      <c r="F592" s="113"/>
      <c r="G592" s="156"/>
      <c r="H592" s="157"/>
    </row>
    <row r="593" spans="1:8" x14ac:dyDescent="0.25">
      <c r="A593" s="155"/>
      <c r="B593" s="111"/>
      <c r="C593" s="111"/>
      <c r="D593" s="156"/>
      <c r="E593" s="112"/>
      <c r="F593" s="113"/>
      <c r="G593" s="156"/>
      <c r="H593" s="157"/>
    </row>
    <row r="594" spans="1:8" x14ac:dyDescent="0.25">
      <c r="A594" s="155"/>
      <c r="B594" s="111"/>
      <c r="C594" s="111"/>
      <c r="D594" s="156"/>
      <c r="E594" s="112"/>
      <c r="F594" s="113"/>
      <c r="G594" s="156"/>
      <c r="H594" s="157"/>
    </row>
    <row r="595" spans="1:8" x14ac:dyDescent="0.25">
      <c r="A595" s="155"/>
      <c r="B595" s="111"/>
      <c r="C595" s="111"/>
      <c r="D595" s="156"/>
      <c r="E595" s="112"/>
      <c r="F595" s="113"/>
      <c r="G595" s="156"/>
      <c r="H595" s="157"/>
    </row>
    <row r="596" spans="1:8" x14ac:dyDescent="0.25">
      <c r="A596" s="155"/>
      <c r="B596" s="111"/>
      <c r="C596" s="111"/>
      <c r="D596" s="156"/>
      <c r="E596" s="112"/>
      <c r="F596" s="113"/>
      <c r="G596" s="156"/>
      <c r="H596" s="157"/>
    </row>
    <row r="597" spans="1:8" x14ac:dyDescent="0.25">
      <c r="A597" s="155"/>
      <c r="B597" s="111"/>
      <c r="C597" s="111"/>
      <c r="D597" s="156"/>
      <c r="E597" s="112"/>
      <c r="F597" s="113"/>
      <c r="G597" s="156"/>
      <c r="H597" s="157"/>
    </row>
    <row r="598" spans="1:8" x14ac:dyDescent="0.25">
      <c r="A598" s="155"/>
      <c r="B598" s="111"/>
      <c r="C598" s="111"/>
      <c r="D598" s="156"/>
      <c r="E598" s="112"/>
      <c r="F598" s="113"/>
      <c r="G598" s="156"/>
      <c r="H598" s="157"/>
    </row>
    <row r="599" spans="1:8" x14ac:dyDescent="0.25">
      <c r="A599" s="155"/>
      <c r="B599" s="111"/>
      <c r="C599" s="111"/>
      <c r="D599" s="156"/>
      <c r="E599" s="112"/>
      <c r="F599" s="113"/>
      <c r="G599" s="156"/>
      <c r="H599" s="157"/>
    </row>
    <row r="600" spans="1:8" x14ac:dyDescent="0.25">
      <c r="A600" s="155"/>
      <c r="B600" s="111"/>
      <c r="C600" s="111"/>
      <c r="D600" s="156"/>
      <c r="E600" s="112"/>
      <c r="F600" s="113"/>
      <c r="G600" s="156"/>
      <c r="H600" s="157"/>
    </row>
    <row r="601" spans="1:8" x14ac:dyDescent="0.25">
      <c r="A601" s="155"/>
      <c r="B601" s="111"/>
      <c r="C601" s="111"/>
      <c r="D601" s="156"/>
      <c r="E601" s="112"/>
      <c r="F601" s="113"/>
      <c r="G601" s="156"/>
      <c r="H601" s="157"/>
    </row>
    <row r="602" spans="1:8" x14ac:dyDescent="0.25">
      <c r="A602" s="155"/>
      <c r="B602" s="111"/>
      <c r="C602" s="111"/>
      <c r="D602" s="156"/>
      <c r="E602" s="112"/>
      <c r="F602" s="113"/>
      <c r="G602" s="156"/>
      <c r="H602" s="157"/>
    </row>
    <row r="603" spans="1:8" x14ac:dyDescent="0.25">
      <c r="A603" s="155"/>
      <c r="B603" s="111"/>
      <c r="C603" s="111"/>
      <c r="D603" s="156"/>
      <c r="E603" s="112"/>
      <c r="F603" s="113"/>
      <c r="G603" s="156"/>
      <c r="H603" s="157"/>
    </row>
    <row r="604" spans="1:8" x14ac:dyDescent="0.25">
      <c r="A604" s="155"/>
      <c r="B604" s="111"/>
      <c r="C604" s="111"/>
      <c r="D604" s="156"/>
      <c r="E604" s="112"/>
      <c r="F604" s="113"/>
      <c r="G604" s="156"/>
      <c r="H604" s="157"/>
    </row>
    <row r="605" spans="1:8" x14ac:dyDescent="0.25">
      <c r="A605" s="155"/>
      <c r="B605" s="111"/>
      <c r="C605" s="111"/>
      <c r="D605" s="156"/>
      <c r="E605" s="112"/>
      <c r="F605" s="113"/>
      <c r="G605" s="156"/>
      <c r="H605" s="157"/>
    </row>
    <row r="606" spans="1:8" x14ac:dyDescent="0.25">
      <c r="A606" s="155"/>
      <c r="B606" s="111"/>
      <c r="C606" s="111"/>
      <c r="D606" s="156"/>
      <c r="E606" s="112"/>
      <c r="F606" s="113"/>
      <c r="G606" s="156"/>
      <c r="H606" s="157"/>
    </row>
    <row r="607" spans="1:8" x14ac:dyDescent="0.25">
      <c r="A607" s="155"/>
      <c r="B607" s="111"/>
      <c r="C607" s="111"/>
      <c r="D607" s="156"/>
      <c r="E607" s="112"/>
      <c r="F607" s="113"/>
      <c r="G607" s="156"/>
      <c r="H607" s="157"/>
    </row>
    <row r="608" spans="1:8" x14ac:dyDescent="0.25">
      <c r="A608" s="155"/>
      <c r="B608" s="111"/>
      <c r="C608" s="111"/>
      <c r="D608" s="156"/>
      <c r="E608" s="112"/>
      <c r="F608" s="113"/>
      <c r="G608" s="156"/>
      <c r="H608" s="157"/>
    </row>
    <row r="609" spans="1:8" x14ac:dyDescent="0.25">
      <c r="A609" s="155"/>
      <c r="B609" s="111"/>
      <c r="C609" s="111"/>
      <c r="D609" s="156"/>
      <c r="E609" s="112"/>
      <c r="F609" s="113"/>
      <c r="G609" s="156"/>
      <c r="H609" s="157"/>
    </row>
    <row r="610" spans="1:8" x14ac:dyDescent="0.25">
      <c r="A610" s="155"/>
      <c r="B610" s="111"/>
      <c r="C610" s="111"/>
      <c r="D610" s="156"/>
      <c r="E610" s="112"/>
      <c r="F610" s="113"/>
      <c r="G610" s="156"/>
      <c r="H610" s="157"/>
    </row>
    <row r="611" spans="1:8" x14ac:dyDescent="0.25">
      <c r="A611" s="155"/>
      <c r="B611" s="111"/>
      <c r="C611" s="111"/>
      <c r="D611" s="156"/>
      <c r="E611" s="112"/>
      <c r="F611" s="113"/>
      <c r="G611" s="156"/>
      <c r="H611" s="157"/>
    </row>
    <row r="612" spans="1:8" x14ac:dyDescent="0.25">
      <c r="A612" s="155"/>
      <c r="B612" s="111"/>
      <c r="C612" s="111"/>
      <c r="D612" s="156"/>
      <c r="E612" s="112"/>
      <c r="F612" s="113"/>
      <c r="G612" s="156"/>
      <c r="H612" s="157"/>
    </row>
    <row r="613" spans="1:8" x14ac:dyDescent="0.25">
      <c r="A613" s="155"/>
      <c r="B613" s="111"/>
      <c r="C613" s="111"/>
      <c r="D613" s="156"/>
      <c r="E613" s="112"/>
      <c r="F613" s="113"/>
      <c r="G613" s="156"/>
      <c r="H613" s="157"/>
    </row>
    <row r="614" spans="1:8" x14ac:dyDescent="0.25">
      <c r="A614" s="155"/>
      <c r="B614" s="111"/>
      <c r="C614" s="111"/>
      <c r="D614" s="156"/>
      <c r="E614" s="112"/>
      <c r="F614" s="113"/>
      <c r="G614" s="156"/>
      <c r="H614" s="157"/>
    </row>
    <row r="615" spans="1:8" x14ac:dyDescent="0.25">
      <c r="A615" s="155"/>
      <c r="B615" s="111"/>
      <c r="C615" s="111"/>
      <c r="D615" s="156"/>
      <c r="E615" s="112"/>
      <c r="F615" s="113"/>
      <c r="G615" s="156"/>
      <c r="H615" s="157"/>
    </row>
    <row r="616" spans="1:8" x14ac:dyDescent="0.25">
      <c r="A616" s="155"/>
      <c r="B616" s="111"/>
      <c r="C616" s="111"/>
      <c r="D616" s="156"/>
      <c r="E616" s="112"/>
      <c r="F616" s="113"/>
      <c r="G616" s="156"/>
      <c r="H616" s="157"/>
    </row>
    <row r="617" spans="1:8" x14ac:dyDescent="0.25">
      <c r="A617" s="155"/>
      <c r="B617" s="111"/>
      <c r="C617" s="111"/>
      <c r="D617" s="156"/>
      <c r="E617" s="112"/>
      <c r="F617" s="113"/>
      <c r="G617" s="156"/>
      <c r="H617" s="157"/>
    </row>
    <row r="618" spans="1:8" x14ac:dyDescent="0.25">
      <c r="A618" s="155"/>
      <c r="B618" s="111"/>
      <c r="C618" s="111"/>
      <c r="D618" s="156"/>
      <c r="E618" s="112"/>
      <c r="F618" s="113"/>
      <c r="G618" s="156"/>
      <c r="H618" s="157"/>
    </row>
    <row r="619" spans="1:8" x14ac:dyDescent="0.25">
      <c r="A619" s="155"/>
      <c r="B619" s="111"/>
      <c r="C619" s="111"/>
      <c r="D619" s="156"/>
      <c r="E619" s="112"/>
      <c r="F619" s="113"/>
      <c r="G619" s="156"/>
      <c r="H619" s="157"/>
    </row>
    <row r="620" spans="1:8" x14ac:dyDescent="0.25">
      <c r="A620" s="155"/>
      <c r="B620" s="111"/>
      <c r="C620" s="111"/>
      <c r="D620" s="156"/>
      <c r="E620" s="112"/>
      <c r="F620" s="113"/>
      <c r="G620" s="156"/>
      <c r="H620" s="157"/>
    </row>
    <row r="621" spans="1:8" x14ac:dyDescent="0.25">
      <c r="A621" s="155"/>
      <c r="B621" s="111"/>
      <c r="C621" s="111"/>
      <c r="D621" s="156"/>
      <c r="E621" s="112"/>
      <c r="F621" s="113"/>
      <c r="G621" s="156"/>
      <c r="H621" s="157"/>
    </row>
    <row r="622" spans="1:8" x14ac:dyDescent="0.25">
      <c r="A622" s="155"/>
      <c r="B622" s="111"/>
      <c r="C622" s="111"/>
      <c r="D622" s="156"/>
      <c r="E622" s="112"/>
      <c r="F622" s="113"/>
      <c r="G622" s="156"/>
      <c r="H622" s="157"/>
    </row>
    <row r="623" spans="1:8" x14ac:dyDescent="0.25">
      <c r="A623" s="155"/>
      <c r="B623" s="111"/>
      <c r="C623" s="111"/>
      <c r="D623" s="156"/>
      <c r="E623" s="112"/>
      <c r="F623" s="113"/>
      <c r="G623" s="156"/>
      <c r="H623" s="157"/>
    </row>
    <row r="624" spans="1:8" x14ac:dyDescent="0.25">
      <c r="A624" s="155"/>
      <c r="B624" s="111"/>
      <c r="C624" s="111"/>
      <c r="D624" s="156"/>
      <c r="E624" s="112"/>
      <c r="F624" s="113"/>
      <c r="G624" s="156"/>
      <c r="H624" s="157"/>
    </row>
    <row r="625" spans="1:8" x14ac:dyDescent="0.25">
      <c r="A625" s="155"/>
      <c r="B625" s="111"/>
      <c r="C625" s="111"/>
      <c r="D625" s="156"/>
      <c r="E625" s="112"/>
      <c r="F625" s="113"/>
      <c r="G625" s="156"/>
      <c r="H625" s="157"/>
    </row>
    <row r="626" spans="1:8" x14ac:dyDescent="0.25">
      <c r="A626" s="155"/>
      <c r="B626" s="111"/>
      <c r="C626" s="111"/>
      <c r="D626" s="156"/>
      <c r="E626" s="112"/>
      <c r="F626" s="113"/>
      <c r="G626" s="156"/>
      <c r="H626" s="157"/>
    </row>
    <row r="627" spans="1:8" x14ac:dyDescent="0.25">
      <c r="A627" s="155"/>
      <c r="B627" s="111"/>
      <c r="C627" s="111"/>
      <c r="D627" s="156"/>
      <c r="E627" s="112"/>
      <c r="F627" s="113"/>
      <c r="G627" s="156"/>
      <c r="H627" s="157"/>
    </row>
    <row r="628" spans="1:8" x14ac:dyDescent="0.25">
      <c r="A628" s="155"/>
      <c r="B628" s="111"/>
      <c r="C628" s="111"/>
      <c r="D628" s="156"/>
      <c r="E628" s="112"/>
      <c r="F628" s="113"/>
      <c r="G628" s="156"/>
      <c r="H628" s="157"/>
    </row>
    <row r="629" spans="1:8" x14ac:dyDescent="0.25">
      <c r="A629" s="155"/>
      <c r="B629" s="111"/>
      <c r="C629" s="111"/>
      <c r="D629" s="156"/>
      <c r="E629" s="112"/>
      <c r="F629" s="113"/>
      <c r="G629" s="156"/>
      <c r="H629" s="157"/>
    </row>
    <row r="630" spans="1:8" x14ac:dyDescent="0.25">
      <c r="A630" s="155"/>
      <c r="B630" s="111"/>
      <c r="C630" s="111"/>
      <c r="D630" s="156"/>
      <c r="E630" s="112"/>
      <c r="F630" s="113"/>
      <c r="G630" s="156"/>
      <c r="H630" s="157"/>
    </row>
    <row r="631" spans="1:8" x14ac:dyDescent="0.25">
      <c r="A631" s="155"/>
      <c r="B631" s="111"/>
      <c r="C631" s="111"/>
      <c r="D631" s="156"/>
      <c r="E631" s="112"/>
      <c r="F631" s="113"/>
      <c r="G631" s="156"/>
      <c r="H631" s="157"/>
    </row>
    <row r="632" spans="1:8" x14ac:dyDescent="0.25">
      <c r="A632" s="155"/>
      <c r="B632" s="111"/>
      <c r="C632" s="111"/>
      <c r="D632" s="156"/>
      <c r="E632" s="112"/>
      <c r="F632" s="113"/>
      <c r="G632" s="156"/>
      <c r="H632" s="157"/>
    </row>
    <row r="633" spans="1:8" x14ac:dyDescent="0.25">
      <c r="A633" s="155"/>
      <c r="B633" s="111"/>
      <c r="C633" s="111"/>
      <c r="D633" s="156"/>
      <c r="E633" s="112"/>
      <c r="F633" s="113"/>
      <c r="G633" s="156"/>
      <c r="H633" s="157"/>
    </row>
    <row r="634" spans="1:8" x14ac:dyDescent="0.25">
      <c r="A634" s="155"/>
      <c r="B634" s="111"/>
      <c r="C634" s="111"/>
      <c r="D634" s="156"/>
      <c r="E634" s="112"/>
      <c r="F634" s="113"/>
      <c r="G634" s="156"/>
      <c r="H634" s="157"/>
    </row>
    <row r="635" spans="1:8" x14ac:dyDescent="0.25">
      <c r="A635" s="155"/>
      <c r="B635" s="111"/>
      <c r="C635" s="111"/>
      <c r="D635" s="156"/>
      <c r="E635" s="112"/>
      <c r="F635" s="113"/>
      <c r="G635" s="156"/>
      <c r="H635" s="157"/>
    </row>
    <row r="636" spans="1:8" x14ac:dyDescent="0.25">
      <c r="A636" s="155"/>
      <c r="B636" s="111"/>
      <c r="C636" s="111"/>
      <c r="D636" s="156"/>
      <c r="E636" s="112"/>
      <c r="F636" s="113"/>
      <c r="G636" s="156"/>
      <c r="H636" s="157"/>
    </row>
    <row r="637" spans="1:8" x14ac:dyDescent="0.25">
      <c r="A637" s="155"/>
      <c r="B637" s="111"/>
      <c r="C637" s="111"/>
      <c r="D637" s="156"/>
      <c r="E637" s="112"/>
      <c r="F637" s="113"/>
      <c r="G637" s="156"/>
      <c r="H637" s="157"/>
    </row>
    <row r="638" spans="1:8" x14ac:dyDescent="0.25">
      <c r="A638" s="155"/>
      <c r="B638" s="111"/>
      <c r="C638" s="111"/>
      <c r="D638" s="156"/>
      <c r="E638" s="112"/>
      <c r="F638" s="113"/>
      <c r="G638" s="156"/>
      <c r="H638" s="157"/>
    </row>
    <row r="639" spans="1:8" x14ac:dyDescent="0.25">
      <c r="A639" s="155"/>
      <c r="B639" s="111"/>
      <c r="C639" s="111"/>
      <c r="D639" s="156"/>
      <c r="E639" s="112"/>
      <c r="F639" s="113"/>
      <c r="G639" s="156"/>
      <c r="H639" s="157"/>
    </row>
    <row r="640" spans="1:8" x14ac:dyDescent="0.25">
      <c r="A640" s="155"/>
      <c r="B640" s="111"/>
      <c r="C640" s="111"/>
      <c r="D640" s="156"/>
      <c r="E640" s="112"/>
      <c r="F640" s="113"/>
      <c r="G640" s="156"/>
      <c r="H640" s="157"/>
    </row>
    <row r="641" spans="1:8" x14ac:dyDescent="0.25">
      <c r="A641" s="155"/>
      <c r="B641" s="111"/>
      <c r="C641" s="111"/>
      <c r="D641" s="156"/>
      <c r="E641" s="112"/>
      <c r="F641" s="113"/>
      <c r="G641" s="156"/>
      <c r="H641" s="157"/>
    </row>
    <row r="642" spans="1:8" x14ac:dyDescent="0.25">
      <c r="A642" s="155"/>
      <c r="B642" s="111"/>
      <c r="C642" s="111"/>
      <c r="D642" s="156"/>
      <c r="E642" s="112"/>
      <c r="F642" s="113"/>
      <c r="G642" s="156"/>
      <c r="H642" s="157"/>
    </row>
    <row r="643" spans="1:8" x14ac:dyDescent="0.25">
      <c r="A643" s="155"/>
      <c r="B643" s="111"/>
      <c r="C643" s="111"/>
      <c r="D643" s="156"/>
      <c r="E643" s="112"/>
      <c r="F643" s="113"/>
      <c r="G643" s="156"/>
      <c r="H643" s="157"/>
    </row>
    <row r="644" spans="1:8" x14ac:dyDescent="0.25">
      <c r="A644" s="155"/>
      <c r="B644" s="111"/>
      <c r="C644" s="111"/>
      <c r="D644" s="156"/>
      <c r="E644" s="112"/>
      <c r="F644" s="113"/>
      <c r="G644" s="156"/>
      <c r="H644" s="157"/>
    </row>
    <row r="645" spans="1:8" x14ac:dyDescent="0.25">
      <c r="A645" s="155"/>
      <c r="B645" s="111"/>
      <c r="C645" s="111"/>
      <c r="D645" s="156"/>
      <c r="E645" s="112"/>
      <c r="F645" s="113"/>
      <c r="G645" s="156"/>
      <c r="H645" s="157"/>
    </row>
    <row r="646" spans="1:8" x14ac:dyDescent="0.25">
      <c r="A646" s="155"/>
      <c r="B646" s="111"/>
      <c r="C646" s="111"/>
      <c r="D646" s="156"/>
      <c r="E646" s="112"/>
      <c r="F646" s="113"/>
      <c r="G646" s="156"/>
      <c r="H646" s="157"/>
    </row>
    <row r="647" spans="1:8" x14ac:dyDescent="0.25">
      <c r="A647" s="155"/>
      <c r="B647" s="111"/>
      <c r="C647" s="111"/>
      <c r="D647" s="156"/>
      <c r="E647" s="112"/>
      <c r="F647" s="113"/>
      <c r="G647" s="156"/>
      <c r="H647" s="157"/>
    </row>
    <row r="648" spans="1:8" x14ac:dyDescent="0.25">
      <c r="A648" s="155"/>
      <c r="B648" s="111"/>
      <c r="C648" s="111"/>
      <c r="D648" s="156"/>
      <c r="E648" s="112"/>
      <c r="F648" s="113"/>
      <c r="G648" s="156"/>
      <c r="H648" s="157"/>
    </row>
    <row r="649" spans="1:8" x14ac:dyDescent="0.25">
      <c r="A649" s="155"/>
      <c r="B649" s="111"/>
      <c r="C649" s="111"/>
      <c r="D649" s="156"/>
      <c r="E649" s="112"/>
      <c r="F649" s="113"/>
      <c r="G649" s="156"/>
      <c r="H649" s="157"/>
    </row>
    <row r="650" spans="1:8" x14ac:dyDescent="0.25">
      <c r="A650" s="155"/>
      <c r="B650" s="111"/>
      <c r="C650" s="111"/>
      <c r="D650" s="156"/>
      <c r="E650" s="112"/>
      <c r="F650" s="113"/>
      <c r="G650" s="156"/>
      <c r="H650" s="157"/>
    </row>
    <row r="651" spans="1:8" x14ac:dyDescent="0.25">
      <c r="A651" s="155"/>
      <c r="B651" s="111"/>
      <c r="C651" s="111"/>
      <c r="D651" s="156"/>
      <c r="E651" s="112"/>
      <c r="F651" s="113"/>
      <c r="G651" s="156"/>
      <c r="H651" s="157"/>
    </row>
    <row r="652" spans="1:8" x14ac:dyDescent="0.25">
      <c r="A652" s="155"/>
      <c r="B652" s="111"/>
      <c r="C652" s="111"/>
      <c r="D652" s="156"/>
      <c r="E652" s="112"/>
      <c r="F652" s="113"/>
      <c r="G652" s="156"/>
      <c r="H652" s="157"/>
    </row>
    <row r="653" spans="1:8" x14ac:dyDescent="0.25">
      <c r="A653" s="155"/>
      <c r="B653" s="111"/>
      <c r="C653" s="111"/>
      <c r="D653" s="156"/>
      <c r="E653" s="112"/>
      <c r="F653" s="113"/>
      <c r="G653" s="156"/>
      <c r="H653" s="157"/>
    </row>
    <row r="654" spans="1:8" x14ac:dyDescent="0.25">
      <c r="A654" s="155"/>
      <c r="B654" s="111"/>
      <c r="C654" s="111"/>
      <c r="D654" s="156"/>
      <c r="E654" s="112"/>
      <c r="F654" s="113"/>
      <c r="G654" s="156"/>
      <c r="H654" s="157"/>
    </row>
    <row r="655" spans="1:8" x14ac:dyDescent="0.25">
      <c r="A655" s="155"/>
      <c r="B655" s="111"/>
      <c r="C655" s="111"/>
      <c r="D655" s="156"/>
      <c r="E655" s="112"/>
      <c r="F655" s="113"/>
      <c r="G655" s="156"/>
      <c r="H655" s="157"/>
    </row>
    <row r="656" spans="1:8" x14ac:dyDescent="0.25">
      <c r="A656" s="155"/>
      <c r="B656" s="111"/>
      <c r="C656" s="111"/>
      <c r="D656" s="156"/>
      <c r="E656" s="112"/>
      <c r="F656" s="113"/>
      <c r="G656" s="156"/>
      <c r="H656" s="157"/>
    </row>
    <row r="657" spans="1:8" x14ac:dyDescent="0.25">
      <c r="A657" s="155"/>
      <c r="B657" s="111"/>
      <c r="C657" s="111"/>
      <c r="D657" s="156"/>
      <c r="E657" s="112"/>
      <c r="F657" s="113"/>
      <c r="G657" s="156"/>
      <c r="H657" s="157"/>
    </row>
    <row r="658" spans="1:8" x14ac:dyDescent="0.25">
      <c r="A658" s="155"/>
      <c r="B658" s="111"/>
      <c r="C658" s="111"/>
      <c r="D658" s="156"/>
      <c r="E658" s="112"/>
      <c r="F658" s="113"/>
      <c r="G658" s="156"/>
      <c r="H658" s="157"/>
    </row>
    <row r="659" spans="1:8" x14ac:dyDescent="0.25">
      <c r="A659" s="155"/>
      <c r="B659" s="111"/>
      <c r="C659" s="111"/>
      <c r="D659" s="156"/>
      <c r="E659" s="112"/>
      <c r="F659" s="113"/>
      <c r="G659" s="156"/>
      <c r="H659" s="157"/>
    </row>
    <row r="660" spans="1:8" x14ac:dyDescent="0.25">
      <c r="A660" s="155"/>
      <c r="B660" s="111"/>
      <c r="C660" s="111"/>
      <c r="D660" s="156"/>
      <c r="E660" s="112"/>
      <c r="F660" s="113"/>
      <c r="G660" s="156"/>
      <c r="H660" s="157"/>
    </row>
    <row r="661" spans="1:8" x14ac:dyDescent="0.25">
      <c r="A661" s="155"/>
      <c r="B661" s="111"/>
      <c r="C661" s="111"/>
      <c r="D661" s="156"/>
      <c r="E661" s="112"/>
      <c r="F661" s="113"/>
      <c r="G661" s="156"/>
      <c r="H661" s="157"/>
    </row>
    <row r="662" spans="1:8" x14ac:dyDescent="0.25">
      <c r="A662" s="155"/>
      <c r="B662" s="111"/>
      <c r="C662" s="111"/>
      <c r="D662" s="156"/>
      <c r="E662" s="112"/>
      <c r="F662" s="113"/>
      <c r="G662" s="156"/>
      <c r="H662" s="157"/>
    </row>
    <row r="663" spans="1:8" x14ac:dyDescent="0.25">
      <c r="A663" s="155"/>
      <c r="B663" s="111"/>
      <c r="C663" s="111"/>
      <c r="D663" s="156"/>
      <c r="E663" s="112"/>
      <c r="F663" s="113"/>
      <c r="G663" s="156"/>
      <c r="H663" s="157"/>
    </row>
    <row r="664" spans="1:8" x14ac:dyDescent="0.25">
      <c r="A664" s="155"/>
      <c r="B664" s="111"/>
      <c r="C664" s="111"/>
      <c r="D664" s="156"/>
      <c r="E664" s="112"/>
      <c r="F664" s="113"/>
      <c r="G664" s="156"/>
      <c r="H664" s="157"/>
    </row>
    <row r="665" spans="1:8" x14ac:dyDescent="0.25">
      <c r="A665" s="155"/>
      <c r="B665" s="111"/>
      <c r="C665" s="111"/>
      <c r="D665" s="156"/>
      <c r="E665" s="112"/>
      <c r="F665" s="113"/>
      <c r="G665" s="156"/>
      <c r="H665" s="157"/>
    </row>
    <row r="666" spans="1:8" x14ac:dyDescent="0.25">
      <c r="A666" s="155"/>
      <c r="B666" s="111"/>
      <c r="C666" s="111"/>
      <c r="D666" s="156"/>
      <c r="E666" s="112"/>
      <c r="F666" s="113"/>
      <c r="G666" s="156"/>
      <c r="H666" s="157"/>
    </row>
    <row r="667" spans="1:8" x14ac:dyDescent="0.25">
      <c r="A667" s="155"/>
      <c r="B667" s="111"/>
      <c r="C667" s="111"/>
      <c r="D667" s="156"/>
      <c r="E667" s="112"/>
      <c r="F667" s="113"/>
      <c r="G667" s="156"/>
      <c r="H667" s="157"/>
    </row>
    <row r="668" spans="1:8" x14ac:dyDescent="0.25">
      <c r="A668" s="155"/>
      <c r="B668" s="111"/>
      <c r="C668" s="111"/>
      <c r="D668" s="156"/>
      <c r="E668" s="112"/>
      <c r="F668" s="113"/>
      <c r="G668" s="156"/>
      <c r="H668" s="157"/>
    </row>
    <row r="669" spans="1:8" x14ac:dyDescent="0.25">
      <c r="A669" s="155"/>
      <c r="B669" s="111"/>
      <c r="C669" s="111"/>
      <c r="D669" s="156"/>
      <c r="E669" s="112"/>
      <c r="F669" s="113"/>
      <c r="G669" s="156"/>
      <c r="H669" s="157"/>
    </row>
    <row r="670" spans="1:8" x14ac:dyDescent="0.25">
      <c r="A670" s="155"/>
      <c r="B670" s="111"/>
      <c r="C670" s="111"/>
      <c r="D670" s="156"/>
      <c r="E670" s="112"/>
      <c r="F670" s="113"/>
      <c r="G670" s="156"/>
      <c r="H670" s="157"/>
    </row>
    <row r="671" spans="1:8" x14ac:dyDescent="0.25">
      <c r="A671" s="155"/>
      <c r="B671" s="111"/>
      <c r="C671" s="111"/>
      <c r="D671" s="156"/>
      <c r="E671" s="112"/>
      <c r="F671" s="113"/>
      <c r="G671" s="156"/>
      <c r="H671" s="157"/>
    </row>
    <row r="672" spans="1:8" x14ac:dyDescent="0.25">
      <c r="A672" s="155"/>
      <c r="B672" s="111"/>
      <c r="C672" s="111"/>
      <c r="D672" s="156"/>
      <c r="E672" s="112"/>
      <c r="F672" s="113"/>
      <c r="G672" s="156"/>
      <c r="H672" s="157"/>
    </row>
    <row r="673" spans="1:8" x14ac:dyDescent="0.25">
      <c r="A673" s="155"/>
      <c r="B673" s="111"/>
      <c r="C673" s="111"/>
      <c r="D673" s="156"/>
      <c r="E673" s="112"/>
      <c r="F673" s="113"/>
      <c r="G673" s="156"/>
      <c r="H673" s="157"/>
    </row>
    <row r="674" spans="1:8" x14ac:dyDescent="0.25">
      <c r="A674" s="155"/>
      <c r="B674" s="111"/>
      <c r="C674" s="111"/>
      <c r="D674" s="156"/>
      <c r="E674" s="112"/>
      <c r="F674" s="113"/>
      <c r="G674" s="156"/>
      <c r="H674" s="157"/>
    </row>
    <row r="675" spans="1:8" x14ac:dyDescent="0.25">
      <c r="A675" s="155"/>
      <c r="B675" s="111"/>
      <c r="C675" s="111"/>
      <c r="D675" s="156"/>
      <c r="E675" s="112"/>
      <c r="F675" s="113"/>
      <c r="G675" s="156"/>
      <c r="H675" s="157"/>
    </row>
    <row r="676" spans="1:8" x14ac:dyDescent="0.25">
      <c r="A676" s="155"/>
      <c r="B676" s="111"/>
      <c r="C676" s="111"/>
      <c r="D676" s="156"/>
      <c r="E676" s="112"/>
      <c r="F676" s="113"/>
      <c r="G676" s="156"/>
      <c r="H676" s="157"/>
    </row>
    <row r="677" spans="1:8" x14ac:dyDescent="0.25">
      <c r="A677" s="155"/>
      <c r="B677" s="111"/>
      <c r="C677" s="111"/>
      <c r="D677" s="156"/>
      <c r="E677" s="112"/>
      <c r="F677" s="113"/>
      <c r="G677" s="156"/>
      <c r="H677" s="157"/>
    </row>
    <row r="678" spans="1:8" x14ac:dyDescent="0.25">
      <c r="A678" s="155"/>
      <c r="B678" s="111"/>
      <c r="C678" s="111"/>
      <c r="D678" s="156"/>
      <c r="E678" s="112"/>
      <c r="F678" s="113"/>
      <c r="G678" s="156"/>
      <c r="H678" s="157"/>
    </row>
    <row r="679" spans="1:8" x14ac:dyDescent="0.25">
      <c r="A679" s="155"/>
      <c r="B679" s="111"/>
      <c r="C679" s="111"/>
      <c r="D679" s="156"/>
      <c r="E679" s="112"/>
      <c r="F679" s="113"/>
      <c r="G679" s="156"/>
      <c r="H679" s="157"/>
    </row>
    <row r="680" spans="1:8" x14ac:dyDescent="0.25">
      <c r="A680" s="155"/>
      <c r="B680" s="111"/>
      <c r="C680" s="111"/>
      <c r="D680" s="156"/>
      <c r="E680" s="112"/>
      <c r="F680" s="113"/>
      <c r="G680" s="156"/>
      <c r="H680" s="157"/>
    </row>
    <row r="681" spans="1:8" x14ac:dyDescent="0.25">
      <c r="A681" s="155"/>
      <c r="B681" s="111"/>
      <c r="C681" s="111"/>
      <c r="D681" s="156"/>
      <c r="E681" s="112"/>
      <c r="F681" s="113"/>
      <c r="G681" s="156"/>
      <c r="H681" s="157"/>
    </row>
    <row r="682" spans="1:8" x14ac:dyDescent="0.25">
      <c r="A682" s="155"/>
      <c r="B682" s="111"/>
      <c r="C682" s="111"/>
      <c r="D682" s="156"/>
      <c r="E682" s="112"/>
      <c r="F682" s="113"/>
      <c r="G682" s="156"/>
      <c r="H682" s="157"/>
    </row>
    <row r="683" spans="1:8" x14ac:dyDescent="0.25">
      <c r="A683" s="155"/>
      <c r="B683" s="111"/>
      <c r="C683" s="111"/>
      <c r="D683" s="156"/>
      <c r="E683" s="112"/>
      <c r="F683" s="113"/>
      <c r="G683" s="156"/>
      <c r="H683" s="157"/>
    </row>
    <row r="684" spans="1:8" x14ac:dyDescent="0.25">
      <c r="A684" s="155"/>
      <c r="B684" s="111"/>
      <c r="C684" s="111"/>
      <c r="D684" s="156"/>
      <c r="E684" s="112"/>
      <c r="F684" s="113"/>
      <c r="G684" s="156"/>
      <c r="H684" s="157"/>
    </row>
    <row r="685" spans="1:8" x14ac:dyDescent="0.25">
      <c r="A685" s="155"/>
      <c r="B685" s="111"/>
      <c r="C685" s="111"/>
      <c r="D685" s="156"/>
      <c r="E685" s="112"/>
      <c r="F685" s="113"/>
      <c r="G685" s="156"/>
      <c r="H685" s="157"/>
    </row>
    <row r="686" spans="1:8" x14ac:dyDescent="0.25">
      <c r="A686" s="155"/>
      <c r="B686" s="111"/>
      <c r="C686" s="111"/>
      <c r="D686" s="156"/>
      <c r="E686" s="112"/>
      <c r="F686" s="113"/>
      <c r="G686" s="156"/>
      <c r="H686" s="157"/>
    </row>
    <row r="687" spans="1:8" x14ac:dyDescent="0.25">
      <c r="A687" s="155"/>
      <c r="B687" s="111"/>
      <c r="C687" s="111"/>
      <c r="D687" s="156"/>
      <c r="E687" s="112"/>
      <c r="F687" s="113"/>
      <c r="G687" s="156"/>
      <c r="H687" s="157"/>
    </row>
    <row r="688" spans="1:8" x14ac:dyDescent="0.25">
      <c r="A688" s="155"/>
      <c r="B688" s="111"/>
      <c r="C688" s="111"/>
      <c r="D688" s="156"/>
      <c r="E688" s="112"/>
      <c r="F688" s="113"/>
      <c r="G688" s="156"/>
      <c r="H688" s="157"/>
    </row>
    <row r="689" spans="1:8" x14ac:dyDescent="0.25">
      <c r="A689" s="155"/>
      <c r="B689" s="111"/>
      <c r="C689" s="111"/>
      <c r="D689" s="156"/>
      <c r="E689" s="112"/>
      <c r="F689" s="113"/>
      <c r="G689" s="156"/>
      <c r="H689" s="157"/>
    </row>
    <row r="690" spans="1:8" x14ac:dyDescent="0.25">
      <c r="A690" s="155"/>
      <c r="B690" s="111"/>
      <c r="C690" s="111"/>
      <c r="D690" s="156"/>
      <c r="E690" s="112"/>
      <c r="F690" s="113"/>
      <c r="G690" s="156"/>
      <c r="H690" s="157"/>
    </row>
    <row r="691" spans="1:8" x14ac:dyDescent="0.25">
      <c r="A691" s="155"/>
      <c r="B691" s="111"/>
      <c r="C691" s="111"/>
      <c r="D691" s="156"/>
      <c r="E691" s="112"/>
      <c r="F691" s="113"/>
      <c r="G691" s="156"/>
      <c r="H691" s="157"/>
    </row>
    <row r="692" spans="1:8" x14ac:dyDescent="0.25">
      <c r="A692" s="155"/>
      <c r="B692" s="111"/>
      <c r="C692" s="111"/>
      <c r="D692" s="156"/>
      <c r="E692" s="112"/>
      <c r="F692" s="113"/>
      <c r="G692" s="156"/>
      <c r="H692" s="157"/>
    </row>
    <row r="693" spans="1:8" x14ac:dyDescent="0.25">
      <c r="A693" s="155"/>
      <c r="B693" s="111"/>
      <c r="C693" s="111"/>
      <c r="D693" s="156"/>
      <c r="E693" s="112"/>
      <c r="F693" s="113"/>
      <c r="G693" s="156"/>
      <c r="H693" s="157"/>
    </row>
    <row r="694" spans="1:8" x14ac:dyDescent="0.25">
      <c r="A694" s="155"/>
      <c r="B694" s="111"/>
      <c r="C694" s="111"/>
      <c r="D694" s="156"/>
      <c r="E694" s="112"/>
      <c r="F694" s="113"/>
      <c r="G694" s="156"/>
      <c r="H694" s="157"/>
    </row>
    <row r="695" spans="1:8" x14ac:dyDescent="0.25">
      <c r="A695" s="155"/>
      <c r="B695" s="111"/>
      <c r="C695" s="111"/>
      <c r="D695" s="156"/>
      <c r="E695" s="112"/>
      <c r="F695" s="113"/>
      <c r="G695" s="156"/>
      <c r="H695" s="157"/>
    </row>
    <row r="696" spans="1:8" x14ac:dyDescent="0.25">
      <c r="A696" s="155"/>
      <c r="B696" s="111"/>
      <c r="C696" s="111"/>
      <c r="D696" s="156"/>
      <c r="E696" s="112"/>
      <c r="F696" s="113"/>
      <c r="G696" s="156"/>
      <c r="H696" s="157"/>
    </row>
    <row r="697" spans="1:8" x14ac:dyDescent="0.25">
      <c r="A697" s="155"/>
      <c r="B697" s="111"/>
      <c r="C697" s="111"/>
      <c r="D697" s="156"/>
      <c r="E697" s="112"/>
      <c r="F697" s="113"/>
      <c r="G697" s="156"/>
      <c r="H697" s="157"/>
    </row>
    <row r="698" spans="1:8" x14ac:dyDescent="0.25">
      <c r="A698" s="155"/>
      <c r="B698" s="111"/>
      <c r="C698" s="111"/>
      <c r="D698" s="156"/>
      <c r="E698" s="112"/>
      <c r="F698" s="113"/>
      <c r="G698" s="156"/>
      <c r="H698" s="157"/>
    </row>
    <row r="699" spans="1:8" x14ac:dyDescent="0.25">
      <c r="A699" s="155"/>
      <c r="B699" s="111"/>
      <c r="C699" s="111"/>
      <c r="D699" s="156"/>
      <c r="E699" s="112"/>
      <c r="F699" s="113"/>
      <c r="G699" s="156"/>
      <c r="H699" s="157"/>
    </row>
    <row r="700" spans="1:8" x14ac:dyDescent="0.25">
      <c r="A700" s="155"/>
      <c r="B700" s="111"/>
      <c r="C700" s="111"/>
      <c r="D700" s="156"/>
      <c r="E700" s="112"/>
      <c r="F700" s="113"/>
      <c r="G700" s="156"/>
      <c r="H700" s="157"/>
    </row>
    <row r="701" spans="1:8" x14ac:dyDescent="0.25">
      <c r="A701" s="155"/>
      <c r="B701" s="111"/>
      <c r="C701" s="111"/>
      <c r="D701" s="156"/>
      <c r="E701" s="112"/>
      <c r="F701" s="113"/>
      <c r="G701" s="156"/>
      <c r="H701" s="157"/>
    </row>
    <row r="702" spans="1:8" x14ac:dyDescent="0.25">
      <c r="A702" s="155"/>
      <c r="B702" s="111"/>
      <c r="C702" s="111"/>
      <c r="D702" s="156"/>
      <c r="E702" s="112"/>
      <c r="F702" s="113"/>
      <c r="G702" s="156"/>
      <c r="H702" s="157"/>
    </row>
    <row r="703" spans="1:8" x14ac:dyDescent="0.25">
      <c r="A703" s="155"/>
      <c r="B703" s="111"/>
      <c r="C703" s="111"/>
      <c r="D703" s="156"/>
      <c r="E703" s="112"/>
      <c r="F703" s="113"/>
      <c r="G703" s="156"/>
      <c r="H703" s="157"/>
    </row>
    <row r="704" spans="1:8" x14ac:dyDescent="0.25">
      <c r="A704" s="155"/>
      <c r="B704" s="111"/>
      <c r="C704" s="111"/>
      <c r="D704" s="156"/>
      <c r="E704" s="112"/>
      <c r="F704" s="113"/>
      <c r="G704" s="156"/>
      <c r="H704" s="157"/>
    </row>
    <row r="705" spans="1:8" x14ac:dyDescent="0.25">
      <c r="A705" s="155"/>
      <c r="B705" s="111"/>
      <c r="C705" s="111"/>
      <c r="D705" s="156"/>
      <c r="E705" s="112"/>
      <c r="F705" s="113"/>
      <c r="G705" s="156"/>
      <c r="H705" s="157"/>
    </row>
    <row r="706" spans="1:8" x14ac:dyDescent="0.25">
      <c r="A706" s="155"/>
      <c r="B706" s="111"/>
      <c r="C706" s="111"/>
      <c r="D706" s="156"/>
      <c r="E706" s="112"/>
      <c r="F706" s="113"/>
      <c r="G706" s="156"/>
      <c r="H706" s="157"/>
    </row>
    <row r="707" spans="1:8" x14ac:dyDescent="0.25">
      <c r="A707" s="155"/>
      <c r="B707" s="111"/>
      <c r="C707" s="111"/>
      <c r="D707" s="156"/>
      <c r="E707" s="112"/>
      <c r="F707" s="113"/>
      <c r="G707" s="156"/>
      <c r="H707" s="157"/>
    </row>
    <row r="708" spans="1:8" x14ac:dyDescent="0.25">
      <c r="A708" s="155"/>
      <c r="B708" s="111"/>
      <c r="C708" s="111"/>
      <c r="D708" s="156"/>
      <c r="E708" s="112"/>
      <c r="F708" s="113"/>
      <c r="G708" s="156"/>
      <c r="H708" s="157"/>
    </row>
    <row r="709" spans="1:8" x14ac:dyDescent="0.25">
      <c r="A709" s="155"/>
      <c r="B709" s="111"/>
      <c r="C709" s="111"/>
      <c r="D709" s="156"/>
      <c r="E709" s="112"/>
      <c r="F709" s="113"/>
      <c r="G709" s="156"/>
      <c r="H709" s="157"/>
    </row>
    <row r="710" spans="1:8" x14ac:dyDescent="0.25">
      <c r="A710" s="155"/>
      <c r="B710" s="111"/>
      <c r="C710" s="111"/>
      <c r="D710" s="156"/>
      <c r="E710" s="112"/>
      <c r="F710" s="113"/>
      <c r="G710" s="156"/>
      <c r="H710" s="157"/>
    </row>
    <row r="711" spans="1:8" x14ac:dyDescent="0.25">
      <c r="A711" s="155"/>
      <c r="B711" s="111"/>
      <c r="C711" s="111"/>
      <c r="D711" s="156"/>
      <c r="E711" s="112"/>
      <c r="F711" s="113"/>
      <c r="G711" s="156"/>
      <c r="H711" s="157"/>
    </row>
    <row r="712" spans="1:8" x14ac:dyDescent="0.25">
      <c r="A712" s="155"/>
      <c r="B712" s="111"/>
      <c r="C712" s="111"/>
      <c r="D712" s="156"/>
      <c r="E712" s="112"/>
      <c r="F712" s="113"/>
      <c r="G712" s="156"/>
      <c r="H712" s="157"/>
    </row>
    <row r="713" spans="1:8" x14ac:dyDescent="0.25">
      <c r="A713" s="155"/>
      <c r="B713" s="111"/>
      <c r="C713" s="111"/>
      <c r="D713" s="156"/>
      <c r="E713" s="112"/>
      <c r="F713" s="113"/>
      <c r="G713" s="156"/>
      <c r="H713" s="157"/>
    </row>
    <row r="714" spans="1:8" x14ac:dyDescent="0.25">
      <c r="A714" s="155"/>
      <c r="B714" s="111"/>
      <c r="C714" s="111"/>
      <c r="D714" s="156"/>
      <c r="E714" s="112"/>
      <c r="F714" s="113"/>
      <c r="G714" s="156"/>
      <c r="H714" s="157"/>
    </row>
    <row r="715" spans="1:8" x14ac:dyDescent="0.25">
      <c r="A715" s="155"/>
      <c r="B715" s="111"/>
      <c r="C715" s="111"/>
      <c r="D715" s="156"/>
      <c r="E715" s="112"/>
      <c r="F715" s="113"/>
      <c r="G715" s="156"/>
      <c r="H715" s="157"/>
    </row>
    <row r="716" spans="1:8" x14ac:dyDescent="0.25">
      <c r="A716" s="155"/>
      <c r="B716" s="111"/>
      <c r="C716" s="111"/>
      <c r="D716" s="156"/>
      <c r="E716" s="112"/>
      <c r="F716" s="113"/>
      <c r="G716" s="156"/>
      <c r="H716" s="157"/>
    </row>
    <row r="717" spans="1:8" x14ac:dyDescent="0.25">
      <c r="A717" s="155"/>
      <c r="B717" s="111"/>
      <c r="C717" s="111"/>
      <c r="D717" s="156"/>
      <c r="E717" s="112"/>
      <c r="F717" s="113"/>
      <c r="G717" s="156"/>
      <c r="H717" s="157"/>
    </row>
    <row r="718" spans="1:8" x14ac:dyDescent="0.25">
      <c r="A718" s="155"/>
      <c r="B718" s="111"/>
      <c r="C718" s="111"/>
      <c r="D718" s="156"/>
      <c r="E718" s="112"/>
      <c r="F718" s="113"/>
      <c r="G718" s="156"/>
      <c r="H718" s="157"/>
    </row>
    <row r="719" spans="1:8" x14ac:dyDescent="0.25">
      <c r="A719" s="155"/>
      <c r="B719" s="111"/>
      <c r="C719" s="111"/>
      <c r="D719" s="156"/>
      <c r="E719" s="112"/>
      <c r="F719" s="113"/>
      <c r="G719" s="156"/>
      <c r="H719" s="157"/>
    </row>
    <row r="720" spans="1:8" x14ac:dyDescent="0.25">
      <c r="A720" s="155"/>
      <c r="B720" s="111"/>
      <c r="C720" s="111"/>
      <c r="D720" s="156"/>
      <c r="E720" s="112"/>
      <c r="F720" s="113"/>
      <c r="G720" s="156"/>
      <c r="H720" s="157"/>
    </row>
    <row r="721" spans="1:8" x14ac:dyDescent="0.25">
      <c r="A721" s="155"/>
      <c r="B721" s="111"/>
      <c r="C721" s="111"/>
      <c r="D721" s="156"/>
      <c r="E721" s="112"/>
      <c r="F721" s="113"/>
      <c r="G721" s="156"/>
      <c r="H721" s="157"/>
    </row>
    <row r="722" spans="1:8" x14ac:dyDescent="0.25">
      <c r="A722" s="155"/>
      <c r="B722" s="111"/>
      <c r="C722" s="111"/>
      <c r="D722" s="156"/>
      <c r="E722" s="112"/>
      <c r="F722" s="113"/>
      <c r="G722" s="156"/>
      <c r="H722" s="157"/>
    </row>
    <row r="723" spans="1:8" x14ac:dyDescent="0.25">
      <c r="A723" s="155"/>
      <c r="B723" s="111"/>
      <c r="C723" s="111"/>
      <c r="D723" s="156"/>
      <c r="E723" s="112"/>
      <c r="F723" s="113"/>
      <c r="G723" s="156"/>
      <c r="H723" s="157"/>
    </row>
    <row r="724" spans="1:8" x14ac:dyDescent="0.25">
      <c r="A724" s="155"/>
      <c r="B724" s="111"/>
      <c r="C724" s="111"/>
      <c r="D724" s="156"/>
      <c r="E724" s="112"/>
      <c r="F724" s="113"/>
      <c r="G724" s="156"/>
      <c r="H724" s="157"/>
    </row>
    <row r="725" spans="1:8" x14ac:dyDescent="0.25">
      <c r="A725" s="155"/>
      <c r="B725" s="111"/>
      <c r="C725" s="111"/>
      <c r="D725" s="156"/>
      <c r="E725" s="112"/>
      <c r="F725" s="113"/>
      <c r="G725" s="156"/>
      <c r="H725" s="157"/>
    </row>
    <row r="726" spans="1:8" x14ac:dyDescent="0.25">
      <c r="A726" s="155"/>
      <c r="B726" s="111"/>
      <c r="C726" s="111"/>
      <c r="D726" s="156"/>
      <c r="E726" s="112"/>
      <c r="F726" s="113"/>
      <c r="G726" s="156"/>
      <c r="H726" s="157"/>
    </row>
    <row r="727" spans="1:8" x14ac:dyDescent="0.25">
      <c r="A727" s="155"/>
      <c r="B727" s="111"/>
      <c r="C727" s="111"/>
      <c r="D727" s="156"/>
      <c r="E727" s="112"/>
      <c r="F727" s="113"/>
      <c r="G727" s="156"/>
      <c r="H727" s="157"/>
    </row>
    <row r="728" spans="1:8" x14ac:dyDescent="0.25">
      <c r="A728" s="155"/>
      <c r="B728" s="111"/>
      <c r="C728" s="111"/>
      <c r="D728" s="156"/>
      <c r="E728" s="112"/>
      <c r="F728" s="113"/>
      <c r="G728" s="156"/>
      <c r="H728" s="157"/>
    </row>
    <row r="729" spans="1:8" x14ac:dyDescent="0.25">
      <c r="A729" s="155"/>
      <c r="B729" s="111"/>
      <c r="C729" s="111"/>
      <c r="D729" s="156"/>
      <c r="E729" s="112"/>
      <c r="F729" s="113"/>
      <c r="G729" s="156"/>
      <c r="H729" s="157"/>
    </row>
    <row r="730" spans="1:8" x14ac:dyDescent="0.25">
      <c r="A730" s="155"/>
      <c r="B730" s="111"/>
      <c r="C730" s="111"/>
      <c r="D730" s="156"/>
      <c r="E730" s="112"/>
      <c r="F730" s="113"/>
      <c r="G730" s="156"/>
      <c r="H730" s="157"/>
    </row>
    <row r="731" spans="1:8" x14ac:dyDescent="0.25">
      <c r="A731" s="155"/>
      <c r="B731" s="111"/>
      <c r="C731" s="111"/>
      <c r="D731" s="156"/>
      <c r="E731" s="112"/>
      <c r="F731" s="113"/>
      <c r="G731" s="156"/>
      <c r="H731" s="157"/>
    </row>
    <row r="732" spans="1:8" x14ac:dyDescent="0.25">
      <c r="A732" s="155"/>
      <c r="B732" s="111"/>
      <c r="C732" s="111"/>
      <c r="D732" s="156"/>
      <c r="E732" s="112"/>
      <c r="F732" s="113"/>
      <c r="G732" s="156"/>
      <c r="H732" s="157"/>
    </row>
    <row r="733" spans="1:8" x14ac:dyDescent="0.25">
      <c r="A733" s="155"/>
      <c r="B733" s="111"/>
      <c r="C733" s="111"/>
      <c r="D733" s="156"/>
      <c r="E733" s="112"/>
      <c r="F733" s="113"/>
      <c r="G733" s="156"/>
      <c r="H733" s="157"/>
    </row>
    <row r="734" spans="1:8" x14ac:dyDescent="0.25">
      <c r="A734" s="155"/>
      <c r="B734" s="111"/>
      <c r="C734" s="111"/>
      <c r="D734" s="156"/>
      <c r="E734" s="112"/>
      <c r="F734" s="113"/>
      <c r="G734" s="156"/>
      <c r="H734" s="157"/>
    </row>
    <row r="735" spans="1:8" x14ac:dyDescent="0.25">
      <c r="A735" s="155"/>
      <c r="B735" s="111"/>
      <c r="C735" s="111"/>
      <c r="D735" s="156"/>
      <c r="E735" s="112"/>
      <c r="F735" s="113"/>
      <c r="G735" s="156"/>
      <c r="H735" s="157"/>
    </row>
    <row r="736" spans="1:8" x14ac:dyDescent="0.25">
      <c r="A736" s="155"/>
      <c r="B736" s="111"/>
      <c r="C736" s="111"/>
      <c r="D736" s="156"/>
      <c r="E736" s="112"/>
      <c r="F736" s="113"/>
      <c r="G736" s="156"/>
      <c r="H736" s="157"/>
    </row>
    <row r="737" spans="1:8" x14ac:dyDescent="0.25">
      <c r="A737" s="155"/>
      <c r="B737" s="111"/>
      <c r="C737" s="111"/>
      <c r="D737" s="156"/>
      <c r="E737" s="112"/>
      <c r="F737" s="113"/>
      <c r="G737" s="156"/>
      <c r="H737" s="157"/>
    </row>
    <row r="738" spans="1:8" x14ac:dyDescent="0.25">
      <c r="A738" s="155"/>
      <c r="B738" s="111"/>
      <c r="C738" s="111"/>
      <c r="D738" s="156"/>
      <c r="E738" s="112"/>
      <c r="F738" s="113"/>
      <c r="G738" s="156"/>
      <c r="H738" s="157"/>
    </row>
    <row r="739" spans="1:8" x14ac:dyDescent="0.25">
      <c r="A739" s="155"/>
      <c r="B739" s="111"/>
      <c r="C739" s="111"/>
      <c r="D739" s="156"/>
      <c r="E739" s="112"/>
      <c r="F739" s="113"/>
      <c r="G739" s="156"/>
      <c r="H739" s="157"/>
    </row>
    <row r="740" spans="1:8" x14ac:dyDescent="0.25">
      <c r="A740" s="155"/>
      <c r="B740" s="111"/>
      <c r="C740" s="111"/>
      <c r="D740" s="156"/>
      <c r="E740" s="112"/>
      <c r="F740" s="113"/>
      <c r="G740" s="156"/>
      <c r="H740" s="157"/>
    </row>
    <row r="741" spans="1:8" x14ac:dyDescent="0.25">
      <c r="A741" s="155"/>
      <c r="B741" s="111"/>
      <c r="C741" s="111"/>
      <c r="D741" s="156"/>
      <c r="E741" s="112"/>
      <c r="F741" s="113"/>
      <c r="G741" s="156"/>
      <c r="H741" s="157"/>
    </row>
    <row r="742" spans="1:8" x14ac:dyDescent="0.25">
      <c r="A742" s="155"/>
      <c r="B742" s="111"/>
      <c r="C742" s="111"/>
      <c r="D742" s="156"/>
      <c r="E742" s="112"/>
      <c r="F742" s="113"/>
      <c r="G742" s="156"/>
      <c r="H742" s="157"/>
    </row>
    <row r="743" spans="1:8" x14ac:dyDescent="0.25">
      <c r="A743" s="155"/>
      <c r="B743" s="111"/>
      <c r="C743" s="111"/>
      <c r="D743" s="156"/>
      <c r="E743" s="112"/>
      <c r="F743" s="113"/>
      <c r="G743" s="156"/>
      <c r="H743" s="157"/>
    </row>
    <row r="744" spans="1:8" x14ac:dyDescent="0.25">
      <c r="A744" s="155"/>
      <c r="B744" s="111"/>
      <c r="C744" s="111"/>
      <c r="D744" s="156"/>
      <c r="E744" s="112"/>
      <c r="F744" s="113"/>
      <c r="G744" s="156"/>
      <c r="H744" s="157"/>
    </row>
    <row r="745" spans="1:8" x14ac:dyDescent="0.25">
      <c r="A745" s="155"/>
      <c r="B745" s="111"/>
      <c r="C745" s="111"/>
      <c r="D745" s="156"/>
      <c r="E745" s="112"/>
      <c r="F745" s="113"/>
      <c r="G745" s="156"/>
      <c r="H745" s="157"/>
    </row>
    <row r="746" spans="1:8" x14ac:dyDescent="0.25">
      <c r="A746" s="155"/>
      <c r="B746" s="111"/>
      <c r="C746" s="111"/>
      <c r="D746" s="156"/>
      <c r="E746" s="112"/>
      <c r="F746" s="113"/>
      <c r="G746" s="156"/>
      <c r="H746" s="157"/>
    </row>
    <row r="747" spans="1:8" x14ac:dyDescent="0.25">
      <c r="A747" s="155"/>
      <c r="B747" s="111"/>
      <c r="C747" s="111"/>
      <c r="D747" s="156"/>
      <c r="E747" s="112"/>
      <c r="F747" s="113"/>
      <c r="G747" s="156"/>
      <c r="H747" s="157"/>
    </row>
    <row r="748" spans="1:8" x14ac:dyDescent="0.25">
      <c r="A748" s="155"/>
      <c r="B748" s="111"/>
      <c r="C748" s="111"/>
      <c r="D748" s="156"/>
      <c r="E748" s="112"/>
      <c r="F748" s="113"/>
      <c r="G748" s="156"/>
      <c r="H748" s="157"/>
    </row>
    <row r="749" spans="1:8" x14ac:dyDescent="0.25">
      <c r="A749" s="155"/>
      <c r="B749" s="111"/>
      <c r="C749" s="111"/>
      <c r="D749" s="156"/>
      <c r="E749" s="112"/>
      <c r="F749" s="113"/>
      <c r="G749" s="156"/>
      <c r="H749" s="157"/>
    </row>
    <row r="750" spans="1:8" x14ac:dyDescent="0.25">
      <c r="A750" s="155"/>
      <c r="B750" s="111"/>
      <c r="C750" s="111"/>
      <c r="D750" s="156"/>
      <c r="E750" s="112"/>
      <c r="F750" s="113"/>
      <c r="G750" s="156"/>
      <c r="H750" s="157"/>
    </row>
    <row r="751" spans="1:8" x14ac:dyDescent="0.25">
      <c r="A751" s="155"/>
      <c r="B751" s="111"/>
      <c r="C751" s="111"/>
      <c r="D751" s="156"/>
      <c r="E751" s="112"/>
      <c r="F751" s="113"/>
      <c r="G751" s="156"/>
      <c r="H751" s="157"/>
    </row>
    <row r="752" spans="1:8" x14ac:dyDescent="0.25">
      <c r="A752" s="155"/>
      <c r="B752" s="111"/>
      <c r="C752" s="111"/>
      <c r="D752" s="156"/>
      <c r="E752" s="112"/>
      <c r="F752" s="113"/>
      <c r="G752" s="156"/>
      <c r="H752" s="157"/>
    </row>
    <row r="753" spans="1:8" x14ac:dyDescent="0.25">
      <c r="A753" s="155"/>
      <c r="B753" s="111"/>
      <c r="C753" s="111"/>
      <c r="D753" s="156"/>
      <c r="E753" s="112"/>
      <c r="F753" s="113"/>
      <c r="G753" s="156"/>
      <c r="H753" s="157"/>
    </row>
    <row r="754" spans="1:8" x14ac:dyDescent="0.25">
      <c r="A754" s="155"/>
      <c r="B754" s="111"/>
      <c r="C754" s="111"/>
      <c r="D754" s="156"/>
      <c r="E754" s="112"/>
      <c r="F754" s="113"/>
      <c r="G754" s="156"/>
      <c r="H754" s="157"/>
    </row>
    <row r="755" spans="1:8" x14ac:dyDescent="0.25">
      <c r="A755" s="155"/>
      <c r="B755" s="111"/>
      <c r="C755" s="111"/>
      <c r="D755" s="156"/>
      <c r="E755" s="112"/>
      <c r="F755" s="113"/>
      <c r="G755" s="156"/>
      <c r="H755" s="157"/>
    </row>
    <row r="756" spans="1:8" x14ac:dyDescent="0.25">
      <c r="A756" s="155"/>
      <c r="B756" s="111"/>
      <c r="C756" s="111"/>
      <c r="D756" s="156"/>
      <c r="E756" s="112"/>
      <c r="F756" s="113"/>
      <c r="G756" s="156"/>
      <c r="H756" s="157"/>
    </row>
    <row r="757" spans="1:8" x14ac:dyDescent="0.25">
      <c r="A757" s="155"/>
      <c r="B757" s="111"/>
      <c r="C757" s="111"/>
      <c r="D757" s="156"/>
      <c r="E757" s="112"/>
      <c r="F757" s="113"/>
      <c r="G757" s="156"/>
      <c r="H757" s="157"/>
    </row>
    <row r="758" spans="1:8" x14ac:dyDescent="0.25">
      <c r="A758" s="155"/>
      <c r="B758" s="111"/>
      <c r="C758" s="111"/>
      <c r="D758" s="156"/>
      <c r="E758" s="112"/>
      <c r="F758" s="113"/>
      <c r="G758" s="156"/>
      <c r="H758" s="157"/>
    </row>
    <row r="759" spans="1:8" x14ac:dyDescent="0.25">
      <c r="A759" s="155"/>
      <c r="B759" s="111"/>
      <c r="C759" s="111"/>
      <c r="D759" s="156"/>
      <c r="E759" s="112"/>
      <c r="F759" s="113"/>
      <c r="G759" s="156"/>
      <c r="H759" s="157"/>
    </row>
    <row r="760" spans="1:8" x14ac:dyDescent="0.25">
      <c r="A760" s="155"/>
      <c r="B760" s="111"/>
      <c r="C760" s="111"/>
      <c r="D760" s="156"/>
      <c r="E760" s="112"/>
      <c r="F760" s="113"/>
      <c r="G760" s="156"/>
      <c r="H760" s="157"/>
    </row>
    <row r="761" spans="1:8" x14ac:dyDescent="0.25">
      <c r="A761" s="155"/>
      <c r="B761" s="111"/>
      <c r="C761" s="111"/>
      <c r="D761" s="156"/>
      <c r="E761" s="112"/>
      <c r="F761" s="113"/>
      <c r="G761" s="156"/>
      <c r="H761" s="157"/>
    </row>
    <row r="762" spans="1:8" x14ac:dyDescent="0.25">
      <c r="A762" s="155"/>
      <c r="B762" s="111"/>
      <c r="C762" s="111"/>
      <c r="D762" s="156"/>
      <c r="E762" s="112"/>
      <c r="F762" s="113"/>
      <c r="G762" s="156"/>
      <c r="H762" s="157"/>
    </row>
    <row r="763" spans="1:8" x14ac:dyDescent="0.25">
      <c r="A763" s="155"/>
      <c r="B763" s="111"/>
      <c r="C763" s="111"/>
      <c r="D763" s="156"/>
      <c r="E763" s="112"/>
      <c r="F763" s="113"/>
      <c r="G763" s="156"/>
      <c r="H763" s="157"/>
    </row>
  </sheetData>
  <mergeCells count="2">
    <mergeCell ref="A1:F1"/>
    <mergeCell ref="A2:F2"/>
  </mergeCells>
  <conditionalFormatting sqref="D144:D149 D66:D104">
    <cfRule type="cellIs" dxfId="3" priority="5" operator="notEqual">
      <formula>#REF!</formula>
    </cfRule>
  </conditionalFormatting>
  <conditionalFormatting sqref="D157:D172">
    <cfRule type="cellIs" dxfId="2" priority="3" operator="notEqual">
      <formula>#REF!</formula>
    </cfRule>
  </conditionalFormatting>
  <conditionalFormatting sqref="H319 H339:H343">
    <cfRule type="cellIs" dxfId="1" priority="2" operator="notEqual">
      <formula>A319</formula>
    </cfRule>
  </conditionalFormatting>
  <conditionalFormatting sqref="D150:D154">
    <cfRule type="cellIs" dxfId="0" priority="1" operator="notEqual">
      <formula>#REF!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60" fitToHeight="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F7902110E8944B0D81D63E54D4995" ma:contentTypeVersion="1" ma:contentTypeDescription="Vytvoří nový dokument" ma:contentTypeScope="" ma:versionID="f8391c9118302ad63fb13f76d280ecbf">
  <xsd:schema xmlns:xsd="http://www.w3.org/2001/XMLSchema" xmlns:xs="http://www.w3.org/2001/XMLSchema" xmlns:p="http://schemas.microsoft.com/office/2006/metadata/properties" xmlns:ns2="fc3156d0-6477-4e59-85db-677a3ac3ddef" xmlns:ns3="f6d75ad3-0d6a-444f-a81e-e30fe0dacad1" xmlns:ns4="fb09aff9-df21-4660-84ff-4e9fe3ba4944" targetNamespace="http://schemas.microsoft.com/office/2006/metadata/properties" ma:root="true" ma:fieldsID="05b873fd88f88f3d782d3cf328a14ae6" ns2:_="" ns3:_="" ns4:_="">
    <xsd:import namespace="fc3156d0-6477-4e59-85db-677a3ac3ddef"/>
    <xsd:import namespace="f6d75ad3-0d6a-444f-a81e-e30fe0dacad1"/>
    <xsd:import namespace="fb09aff9-df21-4660-84ff-4e9fe3ba494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 minOccurs="0"/>
                <xsd:element ref="ns4:N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75ad3-0d6a-444f-a81e-e30fe0dacad1" elementFormDefault="qualified">
    <xsd:import namespace="http://schemas.microsoft.com/office/2006/documentManagement/types"/>
    <xsd:import namespace="http://schemas.microsoft.com/office/infopath/2007/PartnerControls"/>
    <xsd:element name="Rok" ma:index="11" nillable="true" ma:displayName="Rok" ma:internalName="Ro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9aff9-df21-4660-84ff-4e9fe3ba4944" elementFormDefault="qualified">
    <xsd:import namespace="http://schemas.microsoft.com/office/2006/documentManagement/types"/>
    <xsd:import namespace="http://schemas.microsoft.com/office/infopath/2007/PartnerControls"/>
    <xsd:element name="No" ma:index="12" ma:displayName="No" ma:internalName="N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Poskytova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f6d75ad3-0d6a-444f-a81e-e30fe0dacad1">2014</Rok>
    <No xmlns="fb09aff9-df21-4660-84ff-4e9fe3ba4944">0</No>
    <_dlc_DocId xmlns="fc3156d0-6477-4e59-85db-677a3ac3ddef">K6F56YJ4D42X-502-510</_dlc_DocId>
    <_dlc_DocIdUrl xmlns="fc3156d0-6477-4e59-85db-677a3ac3ddef">
      <Url>http://project.brno.cz/ORF/finance/_layouts/DocIdRedir.aspx?ID=K6F56YJ4D42X-502-510</Url>
      <Description>K6F56YJ4D42X-502-510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5D78EA0-3F9A-4D8A-90D3-A71C79D4F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f6d75ad3-0d6a-444f-a81e-e30fe0dacad1"/>
    <ds:schemaRef ds:uri="fb09aff9-df21-4660-84ff-4e9fe3ba4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1A5EB9-6FA7-4048-A5B3-662391E186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BC24EC-A11C-49F0-96C1-51E22AB1DCD0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fc3156d0-6477-4e59-85db-677a3ac3ddef"/>
    <ds:schemaRef ds:uri="fb09aff9-df21-4660-84ff-4e9fe3ba4944"/>
    <ds:schemaRef ds:uri="http://schemas.microsoft.com/office/2006/metadata/properties"/>
    <ds:schemaRef ds:uri="http://purl.org/dc/terms/"/>
    <ds:schemaRef ds:uri="http://schemas.microsoft.com/office/infopath/2007/PartnerControls"/>
    <ds:schemaRef ds:uri="f6d75ad3-0d6a-444f-a81e-e30fe0dacad1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F543E01-0EAB-42E5-A85B-DAA7AF1B9CF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 MMB 12</vt:lpstr>
      <vt:lpstr>MB 12</vt:lpstr>
      <vt:lpstr>RMB12</vt:lpstr>
      <vt:lpstr>'RMB12'!Názvy_tisku</vt:lpstr>
      <vt:lpstr>'MB 12'!Oblast_tisku</vt:lpstr>
      <vt:lpstr>'RMB12'!Oblast_tisku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</dc:title>
  <dc:creator>Marie Hujňáková</dc:creator>
  <cp:lastModifiedBy>Jiri Trnecka</cp:lastModifiedBy>
  <cp:lastPrinted>2015-05-25T08:33:35Z</cp:lastPrinted>
  <dcterms:created xsi:type="dcterms:W3CDTF">2014-03-21T11:37:17Z</dcterms:created>
  <dcterms:modified xsi:type="dcterms:W3CDTF">2015-05-25T08:33:37Z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a9f0406f-2983-4848-a5ad-4b18d4366141</vt:lpwstr>
  </property>
  <property fmtid="{D5CDD505-2E9C-101B-9397-08002B2CF9AE}" pid="3" name="ContentTypeId">
    <vt:lpwstr>0x010100C27F7902110E8944B0D81D63E54D4995</vt:lpwstr>
  </property>
</Properties>
</file>