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point.brno.cz/ORF/rozpocet/Plnn rozpotu/Závěrečný účet 2015/MČ/"/>
    </mc:Choice>
  </mc:AlternateContent>
  <bookViews>
    <workbookView xWindow="0" yWindow="0" windowWidth="24000" windowHeight="9885" tabRatio="896" firstSheet="1" activeTab="1"/>
  </bookViews>
  <sheets>
    <sheet name="Příjmy a Výdaje " sheetId="4" r:id="rId1"/>
    <sheet name="Příjmy " sheetId="2" r:id="rId2"/>
    <sheet name="Daňové příjmy" sheetId="5" r:id="rId3"/>
    <sheet name="Ost.daně=Místní popl." sheetId="6" r:id="rId4"/>
    <sheet name="Nedaňové příjmy" sheetId="7" r:id="rId5"/>
    <sheet name="Kapitálové příjmy" sheetId="9" r:id="rId6"/>
    <sheet name="Transfery neinvestiční 2.5" sheetId="10" r:id="rId7"/>
    <sheet name="Transfery nein.2.5a" sheetId="11" r:id="rId8"/>
    <sheet name="Transfery investiční" sheetId="12" r:id="rId9"/>
    <sheet name="Výdaje " sheetId="3" r:id="rId10"/>
    <sheet name="Běžné výdaje" sheetId="13" r:id="rId11"/>
    <sheet name="Kapitálové výdaje" sheetId="14" r:id="rId12"/>
    <sheet name="Financování" sheetId="16" r:id="rId13"/>
  </sheets>
  <definedNames>
    <definedName name="_xlnm.Print_Area" localSheetId="10">'Běžné výdaje'!$A$1:$Y$45</definedName>
    <definedName name="_xlnm.Print_Area" localSheetId="2">'Daňové příjmy'!$A$1:$Q$42</definedName>
    <definedName name="_xlnm.Print_Area" localSheetId="12">Financování!$A$1:$Q$44</definedName>
    <definedName name="_xlnm.Print_Area" localSheetId="5">'Kapitálové příjmy'!$A$1:$I$42</definedName>
    <definedName name="_xlnm.Print_Area" localSheetId="11">'Kapitálové výdaje'!$A$1:$T$44</definedName>
    <definedName name="_xlnm.Print_Area" localSheetId="4">'Nedaňové příjmy'!$A$1:$Y$44</definedName>
    <definedName name="_xlnm.Print_Area" localSheetId="3">'Ost.daně=Místní popl.'!$A$1:$M$92</definedName>
    <definedName name="_xlnm.Print_Area" localSheetId="1">'Příjmy '!$A$1:$S$41</definedName>
    <definedName name="_xlnm.Print_Area" localSheetId="0">'Příjmy a Výdaje '!$A$1:$T$41</definedName>
    <definedName name="_xlnm.Print_Area" localSheetId="8">'Transfery investiční'!$A$1:$X$43</definedName>
    <definedName name="_xlnm.Print_Area" localSheetId="7">'Transfery nein.2.5a'!$A$1:$AH$45</definedName>
    <definedName name="_xlnm.Print_Area" localSheetId="6">'Transfery neinvestiční 2.5'!$A$1:$U$43</definedName>
    <definedName name="_xlnm.Print_Area" localSheetId="9">'Výdaje '!$A$1:$J$42</definedName>
  </definedNames>
  <calcPr calcId="152511"/>
</workbook>
</file>

<file path=xl/calcChain.xml><?xml version="1.0" encoding="utf-8"?>
<calcChain xmlns="http://schemas.openxmlformats.org/spreadsheetml/2006/main">
  <c r="U35" i="7" l="1"/>
  <c r="U36" i="7"/>
  <c r="U37" i="7"/>
  <c r="U38" i="7"/>
  <c r="E17" i="16" l="1"/>
  <c r="E18" i="16"/>
  <c r="E29" i="16"/>
  <c r="E31" i="16"/>
  <c r="E33" i="16"/>
  <c r="E34" i="16"/>
  <c r="E36" i="16"/>
  <c r="E37" i="16"/>
  <c r="E38" i="16"/>
  <c r="E39" i="16"/>
  <c r="T39" i="14"/>
  <c r="P14" i="14"/>
  <c r="P16" i="14"/>
  <c r="P17" i="14"/>
  <c r="P28" i="14"/>
  <c r="P37" i="14"/>
  <c r="K41" i="14"/>
  <c r="K42" i="14"/>
  <c r="Q18" i="10"/>
  <c r="Q36" i="10"/>
  <c r="I31" i="10"/>
  <c r="Y22" i="7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D13" i="6"/>
  <c r="C13" i="6"/>
  <c r="B13" i="6"/>
  <c r="D88" i="6"/>
  <c r="C88" i="6"/>
  <c r="B88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I58" i="6"/>
  <c r="M58" i="6"/>
  <c r="I59" i="6"/>
  <c r="M59" i="6"/>
  <c r="M60" i="6"/>
  <c r="M62" i="6"/>
  <c r="M63" i="6"/>
  <c r="M64" i="6"/>
  <c r="M65" i="6"/>
  <c r="M66" i="6"/>
  <c r="M67" i="6"/>
  <c r="M68" i="6"/>
  <c r="I69" i="6"/>
  <c r="M69" i="6"/>
  <c r="M70" i="6"/>
  <c r="M71" i="6"/>
  <c r="M72" i="6"/>
  <c r="M73" i="6"/>
  <c r="M74" i="6"/>
  <c r="M75" i="6"/>
  <c r="M76" i="6"/>
  <c r="M77" i="6"/>
  <c r="M78" i="6"/>
  <c r="I79" i="6"/>
  <c r="M79" i="6"/>
  <c r="M80" i="6"/>
  <c r="M81" i="6"/>
  <c r="M82" i="6"/>
  <c r="M83" i="6"/>
  <c r="F88" i="6"/>
  <c r="G88" i="6"/>
  <c r="H88" i="6"/>
  <c r="J88" i="6"/>
  <c r="K88" i="6"/>
  <c r="L88" i="6"/>
  <c r="I88" i="6" l="1"/>
  <c r="M88" i="6"/>
  <c r="E88" i="6"/>
  <c r="R12" i="4"/>
  <c r="R31" i="4"/>
  <c r="D42" i="11" l="1"/>
  <c r="H14" i="12"/>
  <c r="V27" i="4"/>
  <c r="T43" i="16"/>
  <c r="U43" i="16"/>
  <c r="S43" i="16"/>
  <c r="V11" i="4"/>
  <c r="Q21" i="13" l="1"/>
  <c r="J45" i="13"/>
  <c r="M29" i="13"/>
  <c r="M15" i="13"/>
  <c r="M41" i="13" l="1"/>
  <c r="Q43" i="13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R11" i="2"/>
  <c r="Q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11" i="2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3" i="11"/>
  <c r="H15" i="11"/>
  <c r="F15" i="11"/>
  <c r="F16" i="11"/>
  <c r="F17" i="11"/>
  <c r="F18" i="11"/>
  <c r="F19" i="11"/>
  <c r="F20" i="11"/>
  <c r="F21" i="11"/>
  <c r="F22" i="11"/>
  <c r="F23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F24" i="11"/>
  <c r="F25" i="11"/>
  <c r="F26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G27" i="11"/>
  <c r="F27" i="11"/>
  <c r="C37" i="11"/>
  <c r="AE45" i="11"/>
  <c r="O33" i="2"/>
  <c r="O25" i="2"/>
  <c r="O14" i="2"/>
  <c r="X43" i="12"/>
  <c r="X36" i="12"/>
  <c r="X31" i="12"/>
  <c r="P34" i="12"/>
  <c r="P32" i="12"/>
  <c r="P27" i="12"/>
  <c r="P23" i="12"/>
  <c r="P15" i="12"/>
  <c r="L25" i="12"/>
  <c r="L15" i="12"/>
  <c r="L13" i="12"/>
  <c r="H31" i="12"/>
  <c r="H25" i="12"/>
  <c r="H15" i="12"/>
  <c r="Y18" i="11"/>
  <c r="Y33" i="11"/>
  <c r="Y42" i="11"/>
  <c r="Y22" i="11"/>
  <c r="AH36" i="11"/>
  <c r="AF45" i="11"/>
  <c r="AG45" i="11" l="1"/>
  <c r="AH45" i="11" s="1"/>
  <c r="AH24" i="11"/>
  <c r="Q45" i="11"/>
  <c r="P45" i="11"/>
  <c r="O45" i="11"/>
  <c r="L45" i="11"/>
  <c r="K45" i="11"/>
  <c r="M45" i="11" l="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15" i="11"/>
  <c r="D19" i="11"/>
  <c r="D20" i="11"/>
  <c r="D21" i="11"/>
  <c r="D22" i="11"/>
  <c r="D23" i="11"/>
  <c r="D24" i="11"/>
  <c r="D25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18" i="11"/>
  <c r="AO30" i="11"/>
  <c r="AO31" i="11"/>
  <c r="AO32" i="11"/>
  <c r="AO33" i="11"/>
  <c r="AO34" i="11"/>
  <c r="AO35" i="11"/>
  <c r="AO36" i="11"/>
  <c r="AO37" i="11"/>
  <c r="AO38" i="11"/>
  <c r="AO39" i="11"/>
  <c r="AO40" i="11"/>
  <c r="AO41" i="11"/>
  <c r="AO42" i="11"/>
  <c r="AO43" i="11"/>
  <c r="AO44" i="11"/>
  <c r="AO45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M60" i="11"/>
  <c r="AN60" i="11"/>
  <c r="AO60" i="11" s="1"/>
  <c r="T43" i="10"/>
  <c r="S43" i="10"/>
  <c r="H42" i="11" l="1"/>
  <c r="R38" i="2"/>
  <c r="I27" i="10"/>
  <c r="E34" i="9"/>
  <c r="E26" i="9"/>
  <c r="E15" i="9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I11" i="2"/>
  <c r="H11" i="2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X14" i="7"/>
  <c r="J11" i="2" s="1"/>
  <c r="W14" i="7"/>
  <c r="V14" i="7"/>
  <c r="I37" i="7"/>
  <c r="I36" i="7"/>
  <c r="I30" i="7"/>
  <c r="I28" i="7"/>
  <c r="I23" i="7"/>
  <c r="I19" i="7"/>
  <c r="I18" i="7"/>
  <c r="I15" i="7"/>
  <c r="H44" i="7"/>
  <c r="G44" i="7"/>
  <c r="I44" i="7" s="1"/>
  <c r="F44" i="7"/>
  <c r="Y41" i="7" l="1"/>
  <c r="AD30" i="7" l="1"/>
  <c r="AD39" i="7"/>
  <c r="AD21" i="7"/>
  <c r="AD22" i="7"/>
  <c r="AD23" i="7"/>
  <c r="AD24" i="7"/>
  <c r="AD25" i="7"/>
  <c r="AD26" i="7"/>
  <c r="AD27" i="7"/>
  <c r="AD28" i="7"/>
  <c r="AD29" i="7"/>
  <c r="E22" i="7"/>
  <c r="E27" i="5" l="1"/>
  <c r="E26" i="5"/>
  <c r="M32" i="14" l="1"/>
  <c r="K19" i="14"/>
  <c r="P41" i="14"/>
  <c r="M43" i="12" l="1"/>
  <c r="I36" i="10" l="1"/>
  <c r="M24" i="6"/>
  <c r="M14" i="6"/>
  <c r="M32" i="6"/>
  <c r="M16" i="6"/>
  <c r="M26" i="5"/>
  <c r="AD36" i="7" l="1"/>
  <c r="J14" i="14" l="1"/>
  <c r="X43" i="4"/>
  <c r="V41" i="4"/>
  <c r="H44" i="16" l="1"/>
  <c r="P36" i="14" l="1"/>
  <c r="P32" i="14"/>
  <c r="P33" i="14"/>
  <c r="P24" i="14"/>
  <c r="P31" i="14"/>
  <c r="J35" i="14"/>
  <c r="J15" i="14" l="1"/>
  <c r="T49" i="13" l="1"/>
  <c r="S49" i="13"/>
  <c r="R49" i="13"/>
  <c r="P49" i="13"/>
  <c r="O49" i="13"/>
  <c r="N49" i="13"/>
  <c r="T47" i="13"/>
  <c r="S47" i="13"/>
  <c r="R47" i="13"/>
  <c r="P47" i="13"/>
  <c r="X47" i="13" s="1"/>
  <c r="O47" i="13"/>
  <c r="W47" i="13" s="1"/>
  <c r="N47" i="13"/>
  <c r="V47" i="13" s="1"/>
  <c r="T50" i="11" l="1"/>
  <c r="S50" i="11"/>
  <c r="R50" i="11"/>
  <c r="D50" i="11"/>
  <c r="C50" i="11"/>
  <c r="B50" i="11"/>
  <c r="T49" i="11"/>
  <c r="S49" i="11"/>
  <c r="R49" i="11"/>
  <c r="D49" i="11"/>
  <c r="C49" i="11"/>
  <c r="B49" i="11"/>
  <c r="P25" i="12" l="1"/>
  <c r="L35" i="12"/>
  <c r="P31" i="12"/>
  <c r="L31" i="12"/>
  <c r="L27" i="12"/>
  <c r="L40" i="12"/>
  <c r="AD19" i="7" l="1"/>
  <c r="X47" i="7"/>
  <c r="W47" i="7"/>
  <c r="V47" i="7"/>
  <c r="Q38" i="5"/>
  <c r="D46" i="5"/>
  <c r="C46" i="5"/>
  <c r="B46" i="5"/>
  <c r="L94" i="6" l="1"/>
  <c r="D94" i="6"/>
  <c r="H94" i="6"/>
  <c r="L45" i="6"/>
  <c r="H45" i="6"/>
  <c r="D48" i="6"/>
  <c r="M14" i="10" l="1"/>
  <c r="M13" i="10"/>
  <c r="M15" i="10"/>
  <c r="N44" i="14"/>
  <c r="O42" i="14" l="1"/>
  <c r="H19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3" i="5"/>
  <c r="S34" i="5"/>
  <c r="S35" i="5"/>
  <c r="S36" i="5"/>
  <c r="S37" i="5"/>
  <c r="S38" i="5"/>
  <c r="S39" i="5"/>
  <c r="S40" i="5"/>
  <c r="S12" i="5"/>
  <c r="S32" i="5"/>
  <c r="D44" i="5"/>
  <c r="C44" i="5"/>
  <c r="B44" i="5"/>
  <c r="U23" i="13"/>
  <c r="V49" i="13" l="1"/>
  <c r="V46" i="13"/>
  <c r="W46" i="13"/>
  <c r="W49" i="13"/>
  <c r="X46" i="13"/>
  <c r="X49" i="13"/>
  <c r="D55" i="11"/>
  <c r="C56" i="11"/>
  <c r="C55" i="11"/>
  <c r="B55" i="11"/>
  <c r="M23" i="10" l="1"/>
  <c r="M17" i="10"/>
  <c r="M21" i="10"/>
  <c r="M32" i="10"/>
  <c r="M33" i="10"/>
  <c r="M30" i="10"/>
  <c r="M29" i="10"/>
  <c r="M31" i="10"/>
  <c r="M34" i="10"/>
  <c r="M37" i="10"/>
  <c r="L20" i="12"/>
  <c r="L30" i="12"/>
  <c r="L16" i="12"/>
  <c r="H20" i="12"/>
  <c r="H27" i="12"/>
  <c r="H35" i="12"/>
  <c r="H40" i="12"/>
  <c r="G41" i="12"/>
  <c r="H30" i="12"/>
  <c r="Y21" i="11"/>
  <c r="E41" i="16" l="1"/>
  <c r="L30" i="16"/>
  <c r="E14" i="16"/>
  <c r="L21" i="16"/>
  <c r="E42" i="16" l="1"/>
  <c r="D49" i="16"/>
  <c r="L49" i="16"/>
  <c r="L17" i="16" l="1"/>
  <c r="AD20" i="7"/>
  <c r="E42" i="7" l="1"/>
  <c r="L14" i="12"/>
  <c r="X60" i="11" l="1"/>
  <c r="X59" i="11" s="1"/>
  <c r="T60" i="11"/>
  <c r="T59" i="11" s="1"/>
  <c r="H60" i="11"/>
  <c r="H59" i="11" s="1"/>
  <c r="P21" i="14"/>
  <c r="P15" i="14"/>
  <c r="K15" i="14"/>
  <c r="K24" i="14"/>
  <c r="G52" i="12"/>
  <c r="G53" i="12" s="1"/>
  <c r="E57" i="12"/>
  <c r="E56" i="12"/>
  <c r="P54" i="10"/>
  <c r="P55" i="10" s="1"/>
  <c r="L54" i="10"/>
  <c r="L55" i="10" s="1"/>
  <c r="H54" i="10"/>
  <c r="H55" i="10" s="1"/>
  <c r="D54" i="10"/>
  <c r="D55" i="10" s="1"/>
  <c r="R51" i="2"/>
  <c r="N51" i="2"/>
  <c r="J51" i="2"/>
  <c r="D51" i="2"/>
  <c r="R49" i="2"/>
  <c r="N49" i="2"/>
  <c r="J49" i="2"/>
  <c r="D49" i="2"/>
  <c r="C67" i="2"/>
  <c r="D67" i="2"/>
  <c r="E67" i="2"/>
  <c r="F67" i="2"/>
  <c r="B67" i="2"/>
  <c r="M30" i="6"/>
  <c r="M31" i="6"/>
  <c r="J61" i="2"/>
  <c r="J58" i="2"/>
  <c r="J59" i="2" s="1"/>
  <c r="P48" i="5"/>
  <c r="P49" i="5" s="1"/>
  <c r="D55" i="2"/>
  <c r="P52" i="4"/>
  <c r="J52" i="4"/>
  <c r="J53" i="4" s="1"/>
  <c r="D52" i="4"/>
  <c r="D50" i="4"/>
  <c r="D51" i="4" s="1"/>
  <c r="W41" i="4"/>
  <c r="X42" i="4" s="1"/>
  <c r="X12" i="4"/>
  <c r="X13" i="4"/>
  <c r="R13" i="4" s="1"/>
  <c r="X14" i="4"/>
  <c r="R14" i="4" s="1"/>
  <c r="X15" i="4"/>
  <c r="R15" i="4" s="1"/>
  <c r="X16" i="4"/>
  <c r="R16" i="4" s="1"/>
  <c r="X17" i="4"/>
  <c r="R17" i="4" s="1"/>
  <c r="X18" i="4"/>
  <c r="R18" i="4" s="1"/>
  <c r="X19" i="4"/>
  <c r="R19" i="4" s="1"/>
  <c r="X20" i="4"/>
  <c r="R20" i="4" s="1"/>
  <c r="X21" i="4"/>
  <c r="R21" i="4" s="1"/>
  <c r="X22" i="4"/>
  <c r="R22" i="4" s="1"/>
  <c r="X23" i="4"/>
  <c r="R23" i="4" s="1"/>
  <c r="X24" i="4"/>
  <c r="R24" i="4" s="1"/>
  <c r="X25" i="4"/>
  <c r="R25" i="4" s="1"/>
  <c r="X26" i="4"/>
  <c r="R26" i="4" s="1"/>
  <c r="X27" i="4"/>
  <c r="R27" i="4" s="1"/>
  <c r="X28" i="4"/>
  <c r="R28" i="4" s="1"/>
  <c r="X29" i="4"/>
  <c r="R29" i="4" s="1"/>
  <c r="X30" i="4"/>
  <c r="R30" i="4" s="1"/>
  <c r="X31" i="4"/>
  <c r="X32" i="4"/>
  <c r="X33" i="4"/>
  <c r="R33" i="4" s="1"/>
  <c r="X34" i="4"/>
  <c r="R34" i="4" s="1"/>
  <c r="X35" i="4"/>
  <c r="R35" i="4" s="1"/>
  <c r="X36" i="4"/>
  <c r="R36" i="4" s="1"/>
  <c r="X37" i="4"/>
  <c r="R37" i="4" s="1"/>
  <c r="X38" i="4"/>
  <c r="R38" i="4" s="1"/>
  <c r="X39" i="4"/>
  <c r="R39" i="4" s="1"/>
  <c r="X11" i="4"/>
  <c r="R11" i="4" s="1"/>
  <c r="R32" i="4" l="1"/>
  <c r="X41" i="4"/>
  <c r="E58" i="12"/>
  <c r="E59" i="12" s="1"/>
  <c r="H44" i="14"/>
  <c r="K16" i="14"/>
  <c r="K17" i="14"/>
  <c r="K18" i="14"/>
  <c r="K20" i="14"/>
  <c r="K21" i="14"/>
  <c r="K23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14" i="14"/>
  <c r="Y30" i="11"/>
  <c r="L47" i="16"/>
  <c r="D47" i="16"/>
  <c r="I44" i="14" l="1"/>
  <c r="D45" i="6"/>
  <c r="T52" i="11"/>
  <c r="S52" i="11"/>
  <c r="R52" i="11"/>
  <c r="D60" i="11" l="1"/>
  <c r="D59" i="11" s="1"/>
  <c r="D50" i="16" l="1"/>
  <c r="M27" i="13" l="1"/>
  <c r="E43" i="12" l="1"/>
  <c r="F42" i="5" l="1"/>
  <c r="G42" i="5"/>
  <c r="T51" i="7"/>
  <c r="T52" i="7" s="1"/>
  <c r="P51" i="7"/>
  <c r="P52" i="7" s="1"/>
  <c r="L51" i="7"/>
  <c r="L52" i="7" s="1"/>
  <c r="D51" i="7"/>
  <c r="D52" i="7" s="1"/>
  <c r="Q20" i="5"/>
  <c r="U20" i="7"/>
  <c r="M20" i="10"/>
  <c r="U20" i="13"/>
  <c r="P20" i="14"/>
  <c r="E51" i="16"/>
  <c r="V43" i="12"/>
  <c r="W40" i="12"/>
  <c r="W39" i="12"/>
  <c r="W38" i="12"/>
  <c r="W37" i="12"/>
  <c r="W14" i="12"/>
  <c r="W13" i="12"/>
  <c r="Q13" i="10"/>
  <c r="Q15" i="10"/>
  <c r="Q16" i="10"/>
  <c r="Q17" i="10"/>
  <c r="Q19" i="10"/>
  <c r="Q20" i="10"/>
  <c r="Q22" i="10"/>
  <c r="Q23" i="10"/>
  <c r="Q25" i="10"/>
  <c r="Q26" i="10"/>
  <c r="Q27" i="10"/>
  <c r="Q28" i="10"/>
  <c r="Q29" i="10"/>
  <c r="Q30" i="10"/>
  <c r="Q31" i="10"/>
  <c r="Q32" i="10"/>
  <c r="Q35" i="10"/>
  <c r="Q37" i="10"/>
  <c r="N43" i="10"/>
  <c r="O43" i="10"/>
  <c r="P43" i="10"/>
  <c r="P14" i="12"/>
  <c r="P19" i="12"/>
  <c r="AD15" i="7"/>
  <c r="AD16" i="7"/>
  <c r="AD17" i="7"/>
  <c r="AD18" i="7"/>
  <c r="AD31" i="7"/>
  <c r="AD32" i="7"/>
  <c r="AD33" i="7"/>
  <c r="AD34" i="7"/>
  <c r="AD35" i="7"/>
  <c r="AD37" i="7"/>
  <c r="AD38" i="7"/>
  <c r="AD40" i="7"/>
  <c r="AD41" i="7"/>
  <c r="AD42" i="7"/>
  <c r="AD14" i="7"/>
  <c r="R27" i="11"/>
  <c r="Y15" i="11"/>
  <c r="J43" i="10"/>
  <c r="Y23" i="7" l="1"/>
  <c r="Y24" i="7"/>
  <c r="Y42" i="7"/>
  <c r="W43" i="12"/>
  <c r="Q43" i="10"/>
  <c r="AD44" i="7"/>
  <c r="X48" i="7" s="1"/>
  <c r="Q41" i="2"/>
  <c r="L43" i="6"/>
  <c r="K43" i="6"/>
  <c r="J43" i="6"/>
  <c r="H43" i="6"/>
  <c r="G43" i="6"/>
  <c r="F43" i="6"/>
  <c r="I41" i="6"/>
  <c r="C39" i="2"/>
  <c r="B39" i="2"/>
  <c r="I40" i="6"/>
  <c r="D38" i="2"/>
  <c r="B38" i="2"/>
  <c r="I39" i="6"/>
  <c r="C37" i="2"/>
  <c r="B37" i="2"/>
  <c r="I38" i="6"/>
  <c r="D36" i="2"/>
  <c r="B36" i="2"/>
  <c r="I37" i="6"/>
  <c r="C35" i="2"/>
  <c r="B35" i="2"/>
  <c r="M36" i="6"/>
  <c r="I36" i="6"/>
  <c r="B34" i="2"/>
  <c r="M35" i="6"/>
  <c r="I35" i="6"/>
  <c r="D33" i="2"/>
  <c r="C33" i="2"/>
  <c r="I34" i="6"/>
  <c r="C32" i="2"/>
  <c r="B32" i="2"/>
  <c r="I33" i="6"/>
  <c r="C31" i="2"/>
  <c r="B31" i="2"/>
  <c r="I32" i="6"/>
  <c r="C30" i="2"/>
  <c r="B30" i="2"/>
  <c r="I31" i="6"/>
  <c r="I30" i="6"/>
  <c r="D28" i="2"/>
  <c r="C28" i="2"/>
  <c r="I29" i="6"/>
  <c r="C27" i="2"/>
  <c r="B27" i="2"/>
  <c r="I28" i="6"/>
  <c r="D26" i="2"/>
  <c r="C26" i="2"/>
  <c r="B26" i="2"/>
  <c r="M27" i="6"/>
  <c r="I27" i="6"/>
  <c r="D25" i="2"/>
  <c r="C25" i="2"/>
  <c r="B25" i="2"/>
  <c r="I26" i="6"/>
  <c r="D24" i="2"/>
  <c r="B24" i="2"/>
  <c r="M25" i="6"/>
  <c r="I25" i="6"/>
  <c r="D23" i="2"/>
  <c r="F23" i="2" s="1"/>
  <c r="C23" i="2"/>
  <c r="B23" i="2"/>
  <c r="I24" i="6"/>
  <c r="C22" i="2"/>
  <c r="B22" i="2"/>
  <c r="M23" i="6"/>
  <c r="I23" i="6"/>
  <c r="D21" i="2"/>
  <c r="C21" i="2"/>
  <c r="B21" i="2"/>
  <c r="I22" i="6"/>
  <c r="D20" i="2"/>
  <c r="M21" i="6"/>
  <c r="I21" i="6"/>
  <c r="C19" i="2"/>
  <c r="B19" i="2"/>
  <c r="M20" i="6"/>
  <c r="I20" i="6"/>
  <c r="B18" i="2"/>
  <c r="I19" i="6"/>
  <c r="D17" i="2"/>
  <c r="C17" i="2"/>
  <c r="B17" i="2"/>
  <c r="M18" i="6"/>
  <c r="I18" i="6"/>
  <c r="C16" i="2"/>
  <c r="B16" i="2"/>
  <c r="M17" i="6"/>
  <c r="I17" i="6"/>
  <c r="B15" i="2"/>
  <c r="I16" i="6"/>
  <c r="C14" i="2"/>
  <c r="B14" i="2"/>
  <c r="M15" i="6"/>
  <c r="I15" i="6"/>
  <c r="D13" i="2"/>
  <c r="C13" i="2"/>
  <c r="B13" i="2"/>
  <c r="I14" i="6"/>
  <c r="C12" i="2"/>
  <c r="B12" i="2"/>
  <c r="M13" i="6"/>
  <c r="I13" i="6"/>
  <c r="D11" i="2"/>
  <c r="B11" i="2"/>
  <c r="E12" i="5"/>
  <c r="Q12" i="5"/>
  <c r="X12" i="5"/>
  <c r="Y12" i="5"/>
  <c r="Z12" i="5"/>
  <c r="E13" i="5"/>
  <c r="Q13" i="5"/>
  <c r="X13" i="5"/>
  <c r="Y13" i="5"/>
  <c r="Z13" i="5"/>
  <c r="E14" i="5"/>
  <c r="Q14" i="5"/>
  <c r="X14" i="5"/>
  <c r="Y14" i="5"/>
  <c r="Z14" i="5"/>
  <c r="E15" i="5"/>
  <c r="Q15" i="5"/>
  <c r="X15" i="5"/>
  <c r="Y15" i="5"/>
  <c r="Z15" i="5"/>
  <c r="E16" i="5"/>
  <c r="Q16" i="5"/>
  <c r="X16" i="5"/>
  <c r="Y16" i="5"/>
  <c r="Z16" i="5"/>
  <c r="E17" i="5"/>
  <c r="X17" i="5"/>
  <c r="Y17" i="5"/>
  <c r="Z17" i="5"/>
  <c r="E18" i="5"/>
  <c r="Q18" i="5"/>
  <c r="V18" i="5"/>
  <c r="Z18" i="5" s="1"/>
  <c r="X18" i="5"/>
  <c r="Y18" i="5"/>
  <c r="E19" i="5"/>
  <c r="Q19" i="5"/>
  <c r="X19" i="5"/>
  <c r="Y19" i="5"/>
  <c r="Z19" i="5"/>
  <c r="E20" i="5"/>
  <c r="V20" i="5"/>
  <c r="X20" i="5"/>
  <c r="Y20" i="5"/>
  <c r="E21" i="5"/>
  <c r="Q21" i="5"/>
  <c r="X21" i="5"/>
  <c r="Y21" i="5"/>
  <c r="Z21" i="5"/>
  <c r="E22" i="5"/>
  <c r="Q22" i="5"/>
  <c r="V22" i="5"/>
  <c r="Z22" i="5" s="1"/>
  <c r="X22" i="5"/>
  <c r="Y22" i="5"/>
  <c r="E23" i="5"/>
  <c r="Q23" i="5"/>
  <c r="X23" i="5"/>
  <c r="Y23" i="5"/>
  <c r="Z23" i="5"/>
  <c r="E24" i="5"/>
  <c r="M24" i="5"/>
  <c r="Q24" i="5"/>
  <c r="V24" i="5"/>
  <c r="Z24" i="5" s="1"/>
  <c r="X24" i="5"/>
  <c r="Y24" i="5"/>
  <c r="E25" i="5"/>
  <c r="Q25" i="5"/>
  <c r="X25" i="5"/>
  <c r="Y25" i="5"/>
  <c r="Z25" i="5"/>
  <c r="Q26" i="5"/>
  <c r="X26" i="5"/>
  <c r="Y26" i="5"/>
  <c r="Z26" i="5"/>
  <c r="Q27" i="5"/>
  <c r="X27" i="5"/>
  <c r="Y27" i="5"/>
  <c r="Z27" i="5"/>
  <c r="E28" i="5"/>
  <c r="Q28" i="5"/>
  <c r="X28" i="5"/>
  <c r="Y28" i="5"/>
  <c r="Z28" i="5"/>
  <c r="E29" i="5"/>
  <c r="Q29" i="5"/>
  <c r="X29" i="5"/>
  <c r="Y29" i="5"/>
  <c r="Z29" i="5"/>
  <c r="E30" i="5"/>
  <c r="Q30" i="5"/>
  <c r="X30" i="5"/>
  <c r="Y30" i="5"/>
  <c r="Z30" i="5"/>
  <c r="E31" i="5"/>
  <c r="Q31" i="5"/>
  <c r="X31" i="5"/>
  <c r="Y31" i="5"/>
  <c r="Z31" i="5"/>
  <c r="E32" i="5"/>
  <c r="Q32" i="5"/>
  <c r="X32" i="5"/>
  <c r="Y32" i="5"/>
  <c r="Z32" i="5"/>
  <c r="E33" i="5"/>
  <c r="Q33" i="5"/>
  <c r="X33" i="5"/>
  <c r="Y33" i="5"/>
  <c r="Z33" i="5"/>
  <c r="E34" i="5"/>
  <c r="Q34" i="5"/>
  <c r="X34" i="5"/>
  <c r="Y34" i="5"/>
  <c r="Z34" i="5"/>
  <c r="E35" i="5"/>
  <c r="Q35" i="5"/>
  <c r="X35" i="5"/>
  <c r="Y35" i="5"/>
  <c r="Z35" i="5"/>
  <c r="E36" i="5"/>
  <c r="Q36" i="5"/>
  <c r="X36" i="5"/>
  <c r="Y36" i="5"/>
  <c r="Z36" i="5"/>
  <c r="E37" i="5"/>
  <c r="Q37" i="5"/>
  <c r="X37" i="5"/>
  <c r="Y37" i="5"/>
  <c r="Z37" i="5"/>
  <c r="E38" i="5"/>
  <c r="V38" i="5"/>
  <c r="Z38" i="5" s="1"/>
  <c r="X38" i="5"/>
  <c r="Y38" i="5"/>
  <c r="E39" i="5"/>
  <c r="Q39" i="5"/>
  <c r="X39" i="5"/>
  <c r="Y39" i="5"/>
  <c r="Z39" i="5"/>
  <c r="E40" i="5"/>
  <c r="Q40" i="5"/>
  <c r="X40" i="5"/>
  <c r="Y40" i="5"/>
  <c r="Z40" i="5"/>
  <c r="X41" i="5"/>
  <c r="Y41" i="5"/>
  <c r="Z41" i="5"/>
  <c r="B42" i="5"/>
  <c r="C42" i="5"/>
  <c r="D42" i="5"/>
  <c r="H42" i="5"/>
  <c r="I42" i="5" s="1"/>
  <c r="J42" i="5"/>
  <c r="K42" i="5"/>
  <c r="L42" i="5"/>
  <c r="N42" i="5"/>
  <c r="O42" i="5"/>
  <c r="I40" i="10"/>
  <c r="V44" i="14"/>
  <c r="B35" i="14"/>
  <c r="C35" i="14"/>
  <c r="D35" i="14"/>
  <c r="D15" i="14"/>
  <c r="D16" i="14"/>
  <c r="D17" i="13" s="1"/>
  <c r="D14" i="3" s="1"/>
  <c r="D17" i="14"/>
  <c r="D18" i="13" s="1"/>
  <c r="D18" i="14"/>
  <c r="D19" i="14"/>
  <c r="D20" i="13" s="1"/>
  <c r="D20" i="14"/>
  <c r="D21" i="14"/>
  <c r="D22" i="14"/>
  <c r="D23" i="14"/>
  <c r="D24" i="13" s="1"/>
  <c r="D21" i="3" s="1"/>
  <c r="D24" i="14"/>
  <c r="D26" i="14"/>
  <c r="D27" i="14"/>
  <c r="D28" i="13" s="1"/>
  <c r="D25" i="3" s="1"/>
  <c r="D28" i="14"/>
  <c r="D29" i="14"/>
  <c r="D30" i="13" s="1"/>
  <c r="D27" i="3" s="1"/>
  <c r="D30" i="14"/>
  <c r="D31" i="14"/>
  <c r="D32" i="13" s="1"/>
  <c r="D29" i="3" s="1"/>
  <c r="D32" i="14"/>
  <c r="D33" i="14"/>
  <c r="D34" i="14"/>
  <c r="D36" i="14"/>
  <c r="D37" i="13" s="1"/>
  <c r="D34" i="3" s="1"/>
  <c r="D37" i="14"/>
  <c r="D38" i="14"/>
  <c r="D39" i="14"/>
  <c r="D40" i="14"/>
  <c r="D41" i="13" s="1"/>
  <c r="D38" i="3" s="1"/>
  <c r="D41" i="14"/>
  <c r="W43" i="14"/>
  <c r="D14" i="14"/>
  <c r="D15" i="13" s="1"/>
  <c r="D12" i="3" s="1"/>
  <c r="D44" i="16"/>
  <c r="D51" i="16" s="1"/>
  <c r="L53" i="7"/>
  <c r="E51" i="7"/>
  <c r="J51" i="7"/>
  <c r="K51" i="7"/>
  <c r="M51" i="7"/>
  <c r="N51" i="7"/>
  <c r="O51" i="7"/>
  <c r="Q51" i="7"/>
  <c r="R51" i="7"/>
  <c r="S51" i="7"/>
  <c r="U51" i="7"/>
  <c r="E51" i="2"/>
  <c r="F51" i="2"/>
  <c r="G51" i="2"/>
  <c r="K51" i="2"/>
  <c r="O51" i="2"/>
  <c r="C24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9" i="2"/>
  <c r="N30" i="2"/>
  <c r="N31" i="2"/>
  <c r="N32" i="2"/>
  <c r="N33" i="2"/>
  <c r="N34" i="2"/>
  <c r="N35" i="2"/>
  <c r="N36" i="2"/>
  <c r="N37" i="2"/>
  <c r="N38" i="2"/>
  <c r="N39" i="2"/>
  <c r="N11" i="2"/>
  <c r="C44" i="16"/>
  <c r="C51" i="16" s="1"/>
  <c r="C52" i="16" s="1"/>
  <c r="W51" i="7"/>
  <c r="X51" i="7"/>
  <c r="X52" i="7" s="1"/>
  <c r="Q41" i="7"/>
  <c r="AB44" i="7"/>
  <c r="AC44" i="7"/>
  <c r="AA44" i="7"/>
  <c r="Z43" i="12"/>
  <c r="T45" i="11"/>
  <c r="T54" i="11" s="1"/>
  <c r="Y32" i="11"/>
  <c r="D41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14" i="10"/>
  <c r="E19" i="10"/>
  <c r="E23" i="10"/>
  <c r="E27" i="10"/>
  <c r="E31" i="10"/>
  <c r="E32" i="10"/>
  <c r="E34" i="10"/>
  <c r="E35" i="10"/>
  <c r="E37" i="10"/>
  <c r="E39" i="10"/>
  <c r="M40" i="13"/>
  <c r="M43" i="13"/>
  <c r="M20" i="2"/>
  <c r="M21" i="2"/>
  <c r="M22" i="2"/>
  <c r="M25" i="2"/>
  <c r="M28" i="2"/>
  <c r="M32" i="2"/>
  <c r="M33" i="2"/>
  <c r="U24" i="7"/>
  <c r="U25" i="7"/>
  <c r="U26" i="7"/>
  <c r="D2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6" i="14"/>
  <c r="J37" i="14"/>
  <c r="J38" i="14"/>
  <c r="J39" i="14"/>
  <c r="J40" i="14"/>
  <c r="J41" i="14"/>
  <c r="J42" i="14"/>
  <c r="G44" i="14"/>
  <c r="D53" i="16"/>
  <c r="C17" i="14"/>
  <c r="C18" i="14"/>
  <c r="C19" i="14"/>
  <c r="C20" i="13" s="1"/>
  <c r="C17" i="3" s="1"/>
  <c r="C20" i="14"/>
  <c r="C21" i="14"/>
  <c r="C22" i="14"/>
  <c r="C23" i="14"/>
  <c r="C24" i="14"/>
  <c r="C25" i="14"/>
  <c r="C26" i="14"/>
  <c r="C27" i="14"/>
  <c r="C28" i="14"/>
  <c r="C29" i="13" s="1"/>
  <c r="C26" i="3" s="1"/>
  <c r="C29" i="14"/>
  <c r="C30" i="14"/>
  <c r="C31" i="14"/>
  <c r="C32" i="14"/>
  <c r="C33" i="14"/>
  <c r="C34" i="14"/>
  <c r="C36" i="14"/>
  <c r="C37" i="14"/>
  <c r="C38" i="14"/>
  <c r="C39" i="14"/>
  <c r="C40" i="14"/>
  <c r="C41" i="14"/>
  <c r="C14" i="14"/>
  <c r="C15" i="14"/>
  <c r="C16" i="14"/>
  <c r="C17" i="13" s="1"/>
  <c r="C14" i="3" s="1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6" i="14"/>
  <c r="B37" i="14"/>
  <c r="B38" i="14"/>
  <c r="B39" i="14"/>
  <c r="B40" i="14"/>
  <c r="B41" i="14"/>
  <c r="B42" i="14"/>
  <c r="B14" i="14"/>
  <c r="L44" i="14"/>
  <c r="M44" i="14"/>
  <c r="O44" i="14"/>
  <c r="I42" i="3"/>
  <c r="U37" i="11"/>
  <c r="C43" i="10"/>
  <c r="G43" i="10"/>
  <c r="K43" i="10"/>
  <c r="C45" i="11"/>
  <c r="C52" i="11" s="1"/>
  <c r="B43" i="12"/>
  <c r="F43" i="12"/>
  <c r="J43" i="12"/>
  <c r="N43" i="12"/>
  <c r="N49" i="12" s="1"/>
  <c r="W45" i="11"/>
  <c r="H43" i="10"/>
  <c r="L43" i="10"/>
  <c r="C43" i="12"/>
  <c r="G43" i="12"/>
  <c r="K43" i="12"/>
  <c r="O43" i="12"/>
  <c r="X45" i="11"/>
  <c r="B43" i="10"/>
  <c r="F43" i="10"/>
  <c r="B45" i="11"/>
  <c r="O44" i="16"/>
  <c r="P44" i="16"/>
  <c r="N44" i="16"/>
  <c r="M23" i="13"/>
  <c r="I32" i="13"/>
  <c r="D40" i="12"/>
  <c r="M40" i="10"/>
  <c r="M11" i="2"/>
  <c r="M12" i="2"/>
  <c r="M15" i="2"/>
  <c r="M29" i="2"/>
  <c r="I36" i="9"/>
  <c r="U17" i="7"/>
  <c r="D42" i="14"/>
  <c r="C42" i="14"/>
  <c r="L44" i="16"/>
  <c r="K44" i="16"/>
  <c r="I20" i="16"/>
  <c r="H42" i="9"/>
  <c r="G42" i="9"/>
  <c r="M16" i="2"/>
  <c r="M18" i="2"/>
  <c r="L29" i="4"/>
  <c r="L30" i="4"/>
  <c r="M30" i="2"/>
  <c r="L31" i="4"/>
  <c r="M31" i="2"/>
  <c r="L32" i="4"/>
  <c r="L33" i="4"/>
  <c r="L34" i="4"/>
  <c r="M34" i="2"/>
  <c r="L35" i="4"/>
  <c r="M35" i="2"/>
  <c r="L36" i="4"/>
  <c r="M36" i="2"/>
  <c r="L37" i="4"/>
  <c r="M37" i="2"/>
  <c r="L38" i="4"/>
  <c r="M38" i="2"/>
  <c r="L39" i="4"/>
  <c r="M39" i="2"/>
  <c r="L22" i="4"/>
  <c r="L23" i="4"/>
  <c r="M23" i="2"/>
  <c r="L24" i="4"/>
  <c r="M24" i="2"/>
  <c r="L18" i="4"/>
  <c r="L20" i="4"/>
  <c r="L13" i="4"/>
  <c r="M13" i="2"/>
  <c r="K41" i="4"/>
  <c r="I36" i="11"/>
  <c r="R45" i="11"/>
  <c r="I37" i="11"/>
  <c r="I35" i="11"/>
  <c r="E41" i="4"/>
  <c r="Y29" i="11"/>
  <c r="Y26" i="11"/>
  <c r="Y16" i="11"/>
  <c r="M17" i="2"/>
  <c r="M19" i="2"/>
  <c r="M26" i="2"/>
  <c r="M27" i="2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V44" i="16"/>
  <c r="V45" i="16" s="1"/>
  <c r="J19" i="3"/>
  <c r="Y37" i="11"/>
  <c r="Y35" i="11"/>
  <c r="S43" i="12"/>
  <c r="R43" i="12"/>
  <c r="Y24" i="11"/>
  <c r="T45" i="13"/>
  <c r="T50" i="13" s="1"/>
  <c r="M26" i="13"/>
  <c r="I30" i="10"/>
  <c r="J44" i="16"/>
  <c r="E16" i="16"/>
  <c r="G44" i="16"/>
  <c r="I33" i="16"/>
  <c r="I31" i="16"/>
  <c r="I29" i="16"/>
  <c r="I17" i="16"/>
  <c r="I28" i="16"/>
  <c r="I21" i="16"/>
  <c r="F44" i="16"/>
  <c r="B44" i="16"/>
  <c r="R42" i="9"/>
  <c r="N42" i="9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M14" i="2"/>
  <c r="M13" i="9"/>
  <c r="M14" i="9"/>
  <c r="L13" i="9"/>
  <c r="L14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L12" i="9"/>
  <c r="M12" i="9"/>
  <c r="K12" i="9"/>
  <c r="F42" i="9"/>
  <c r="C42" i="9"/>
  <c r="D42" i="9"/>
  <c r="B42" i="9"/>
  <c r="F44" i="14"/>
  <c r="Q16" i="7"/>
  <c r="Q22" i="7"/>
  <c r="Q39" i="7"/>
  <c r="E27" i="7"/>
  <c r="U31" i="7"/>
  <c r="U27" i="7"/>
  <c r="E32" i="7"/>
  <c r="U39" i="7"/>
  <c r="U22" i="7"/>
  <c r="E41" i="7"/>
  <c r="Q40" i="7"/>
  <c r="M39" i="7"/>
  <c r="U19" i="7"/>
  <c r="U33" i="7"/>
  <c r="M23" i="7"/>
  <c r="U16" i="7"/>
  <c r="Q24" i="7"/>
  <c r="E25" i="7"/>
  <c r="E23" i="7"/>
  <c r="U15" i="7"/>
  <c r="M42" i="7"/>
  <c r="U29" i="7"/>
  <c r="P44" i="7"/>
  <c r="C44" i="7"/>
  <c r="K44" i="7"/>
  <c r="O44" i="7"/>
  <c r="S44" i="7"/>
  <c r="U32" i="7"/>
  <c r="U30" i="7"/>
  <c r="U28" i="7"/>
  <c r="U23" i="7"/>
  <c r="U21" i="7"/>
  <c r="U14" i="7"/>
  <c r="R44" i="7"/>
  <c r="E17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3" i="7"/>
  <c r="Q21" i="7"/>
  <c r="Q20" i="7"/>
  <c r="Q19" i="7"/>
  <c r="Q18" i="7"/>
  <c r="Q17" i="7"/>
  <c r="Q15" i="7"/>
  <c r="Q14" i="7"/>
  <c r="M41" i="7"/>
  <c r="M40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2" i="7"/>
  <c r="M21" i="7"/>
  <c r="M20" i="7"/>
  <c r="M19" i="7"/>
  <c r="M18" i="7"/>
  <c r="M17" i="7"/>
  <c r="M16" i="7"/>
  <c r="M15" i="7"/>
  <c r="M14" i="7"/>
  <c r="E16" i="7"/>
  <c r="E40" i="7"/>
  <c r="E39" i="7"/>
  <c r="E38" i="7"/>
  <c r="E37" i="7"/>
  <c r="E36" i="7"/>
  <c r="E35" i="7"/>
  <c r="E34" i="7"/>
  <c r="E33" i="7"/>
  <c r="E31" i="7"/>
  <c r="E30" i="7"/>
  <c r="E29" i="7"/>
  <c r="E28" i="7"/>
  <c r="E26" i="7"/>
  <c r="E24" i="7"/>
  <c r="E21" i="7"/>
  <c r="E20" i="7"/>
  <c r="E19" i="7"/>
  <c r="E18" i="7"/>
  <c r="E15" i="7"/>
  <c r="E14" i="7"/>
  <c r="B44" i="7"/>
  <c r="J44" i="7"/>
  <c r="N44" i="7"/>
  <c r="I21" i="13"/>
  <c r="H45" i="13"/>
  <c r="H50" i="13" s="1"/>
  <c r="M36" i="13"/>
  <c r="M17" i="13"/>
  <c r="X17" i="13"/>
  <c r="X24" i="13"/>
  <c r="X28" i="13"/>
  <c r="X30" i="13"/>
  <c r="X32" i="13"/>
  <c r="X37" i="13"/>
  <c r="X41" i="13"/>
  <c r="W17" i="13"/>
  <c r="W29" i="13"/>
  <c r="L45" i="13"/>
  <c r="K45" i="13"/>
  <c r="M39" i="13"/>
  <c r="M38" i="13"/>
  <c r="M37" i="13"/>
  <c r="M35" i="13"/>
  <c r="M34" i="13"/>
  <c r="M33" i="13"/>
  <c r="M32" i="13"/>
  <c r="M31" i="13"/>
  <c r="M30" i="13"/>
  <c r="M28" i="13"/>
  <c r="M25" i="13"/>
  <c r="M22" i="13"/>
  <c r="M20" i="13"/>
  <c r="M19" i="13"/>
  <c r="M18" i="13"/>
  <c r="M16" i="13"/>
  <c r="I30" i="13"/>
  <c r="I18" i="13"/>
  <c r="U42" i="13"/>
  <c r="I22" i="13"/>
  <c r="U40" i="13"/>
  <c r="U38" i="13"/>
  <c r="U35" i="13"/>
  <c r="U41" i="13"/>
  <c r="U31" i="13"/>
  <c r="S45" i="13"/>
  <c r="S50" i="13" s="1"/>
  <c r="O45" i="13"/>
  <c r="O50" i="13" s="1"/>
  <c r="P45" i="13"/>
  <c r="P50" i="13" s="1"/>
  <c r="U39" i="13"/>
  <c r="U37" i="13"/>
  <c r="U36" i="13"/>
  <c r="U34" i="13"/>
  <c r="U33" i="13"/>
  <c r="U32" i="13"/>
  <c r="U30" i="13"/>
  <c r="U29" i="13"/>
  <c r="U28" i="13"/>
  <c r="U27" i="13"/>
  <c r="U26" i="13"/>
  <c r="U25" i="13"/>
  <c r="U24" i="13"/>
  <c r="U22" i="13"/>
  <c r="U21" i="13"/>
  <c r="U19" i="13"/>
  <c r="U18" i="13"/>
  <c r="U17" i="13"/>
  <c r="U16" i="13"/>
  <c r="U15" i="13"/>
  <c r="G45" i="13"/>
  <c r="G50" i="13" s="1"/>
  <c r="I34" i="13"/>
  <c r="I29" i="13"/>
  <c r="R45" i="13"/>
  <c r="R50" i="13" s="1"/>
  <c r="N45" i="13"/>
  <c r="N50" i="13" s="1"/>
  <c r="F45" i="13"/>
  <c r="F50" i="13" s="1"/>
  <c r="E41" i="2"/>
  <c r="L12" i="4"/>
  <c r="L14" i="4"/>
  <c r="L15" i="4"/>
  <c r="L16" i="4"/>
  <c r="L17" i="4"/>
  <c r="L21" i="4"/>
  <c r="L26" i="4"/>
  <c r="L27" i="4"/>
  <c r="L19" i="4"/>
  <c r="S41" i="4"/>
  <c r="T41" i="4"/>
  <c r="Y34" i="11"/>
  <c r="Y27" i="11"/>
  <c r="AB45" i="11"/>
  <c r="AA45" i="11"/>
  <c r="U27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I32" i="10"/>
  <c r="M36" i="10"/>
  <c r="M35" i="10"/>
  <c r="M28" i="10"/>
  <c r="M27" i="10"/>
  <c r="M26" i="10"/>
  <c r="M19" i="10"/>
  <c r="M18" i="10"/>
  <c r="M16" i="10"/>
  <c r="M38" i="10"/>
  <c r="M24" i="10"/>
  <c r="I28" i="10"/>
  <c r="M22" i="10"/>
  <c r="I16" i="10"/>
  <c r="M25" i="10"/>
  <c r="E15" i="10"/>
  <c r="E17" i="10"/>
  <c r="E18" i="10"/>
  <c r="E20" i="10"/>
  <c r="E21" i="10"/>
  <c r="E22" i="10"/>
  <c r="E25" i="10"/>
  <c r="E26" i="10"/>
  <c r="E29" i="10"/>
  <c r="E30" i="10"/>
  <c r="E36" i="10"/>
  <c r="E38" i="10"/>
  <c r="E40" i="10"/>
  <c r="E41" i="10"/>
  <c r="E13" i="10"/>
  <c r="J38" i="3"/>
  <c r="J37" i="3"/>
  <c r="J40" i="3"/>
  <c r="J35" i="3"/>
  <c r="J13" i="3"/>
  <c r="J14" i="3"/>
  <c r="J15" i="3"/>
  <c r="J16" i="3"/>
  <c r="J17" i="3"/>
  <c r="J18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6" i="3"/>
  <c r="J39" i="3"/>
  <c r="G42" i="3"/>
  <c r="H42" i="3"/>
  <c r="F42" i="3"/>
  <c r="J12" i="3"/>
  <c r="X18" i="13" l="1"/>
  <c r="D15" i="3"/>
  <c r="E14" i="3"/>
  <c r="X20" i="13"/>
  <c r="Y20" i="13" s="1"/>
  <c r="D17" i="3"/>
  <c r="E17" i="3" s="1"/>
  <c r="W20" i="13"/>
  <c r="Q32" i="14"/>
  <c r="B33" i="13"/>
  <c r="Q16" i="14"/>
  <c r="B17" i="13"/>
  <c r="R33" i="14"/>
  <c r="C34" i="13"/>
  <c r="E34" i="13" s="1"/>
  <c r="R17" i="14"/>
  <c r="C18" i="13"/>
  <c r="S34" i="14"/>
  <c r="T34" i="14" s="1"/>
  <c r="D35" i="13"/>
  <c r="S26" i="14"/>
  <c r="W26" i="14" s="1"/>
  <c r="D27" i="13"/>
  <c r="R35" i="14"/>
  <c r="C36" i="13"/>
  <c r="R42" i="14"/>
  <c r="C43" i="13"/>
  <c r="Q14" i="14"/>
  <c r="B15" i="13"/>
  <c r="Q39" i="14"/>
  <c r="B40" i="13"/>
  <c r="Q34" i="14"/>
  <c r="B35" i="13"/>
  <c r="Q30" i="14"/>
  <c r="B31" i="13"/>
  <c r="Q26" i="14"/>
  <c r="B27" i="13"/>
  <c r="Q22" i="14"/>
  <c r="B23" i="13"/>
  <c r="Q18" i="14"/>
  <c r="B19" i="13"/>
  <c r="R40" i="14"/>
  <c r="C41" i="13"/>
  <c r="R36" i="14"/>
  <c r="C37" i="13"/>
  <c r="E37" i="13" s="1"/>
  <c r="R31" i="14"/>
  <c r="C32" i="13"/>
  <c r="R27" i="14"/>
  <c r="C28" i="13"/>
  <c r="R23" i="14"/>
  <c r="C24" i="13"/>
  <c r="S41" i="14"/>
  <c r="W41" i="14" s="1"/>
  <c r="D42" i="13"/>
  <c r="S37" i="14"/>
  <c r="D38" i="13"/>
  <c r="S32" i="14"/>
  <c r="D33" i="13"/>
  <c r="S28" i="14"/>
  <c r="W28" i="14" s="1"/>
  <c r="D29" i="13"/>
  <c r="S15" i="14"/>
  <c r="T15" i="14" s="1"/>
  <c r="D16" i="13"/>
  <c r="Q37" i="14"/>
  <c r="B38" i="13"/>
  <c r="Q24" i="14"/>
  <c r="B25" i="13"/>
  <c r="R14" i="14"/>
  <c r="C15" i="13"/>
  <c r="R25" i="14"/>
  <c r="C26" i="13"/>
  <c r="S42" i="14"/>
  <c r="D43" i="13"/>
  <c r="Q42" i="14"/>
  <c r="B43" i="13"/>
  <c r="Q38" i="14"/>
  <c r="B39" i="13"/>
  <c r="Q33" i="14"/>
  <c r="B34" i="13"/>
  <c r="Q29" i="14"/>
  <c r="B30" i="13"/>
  <c r="Q25" i="14"/>
  <c r="B26" i="13"/>
  <c r="Q21" i="14"/>
  <c r="B22" i="13"/>
  <c r="Q17" i="14"/>
  <c r="B18" i="13"/>
  <c r="R15" i="14"/>
  <c r="C16" i="13"/>
  <c r="R39" i="14"/>
  <c r="C40" i="13"/>
  <c r="R34" i="14"/>
  <c r="C35" i="13"/>
  <c r="R30" i="14"/>
  <c r="C31" i="13"/>
  <c r="R26" i="14"/>
  <c r="C27" i="13"/>
  <c r="R22" i="14"/>
  <c r="C23" i="13"/>
  <c r="R18" i="14"/>
  <c r="C19" i="13"/>
  <c r="S22" i="14"/>
  <c r="W22" i="14" s="1"/>
  <c r="D23" i="13"/>
  <c r="S18" i="14"/>
  <c r="T18" i="14" s="1"/>
  <c r="D19" i="13"/>
  <c r="S35" i="14"/>
  <c r="D36" i="13"/>
  <c r="Q41" i="14"/>
  <c r="B42" i="13"/>
  <c r="Q28" i="14"/>
  <c r="B29" i="13"/>
  <c r="Q20" i="14"/>
  <c r="B21" i="13"/>
  <c r="R38" i="14"/>
  <c r="C39" i="13"/>
  <c r="R29" i="14"/>
  <c r="C30" i="13"/>
  <c r="R21" i="14"/>
  <c r="C22" i="13"/>
  <c r="S39" i="14"/>
  <c r="W39" i="14" s="1"/>
  <c r="D40" i="13"/>
  <c r="S21" i="14"/>
  <c r="T21" i="14" s="1"/>
  <c r="D22" i="13"/>
  <c r="Q40" i="14"/>
  <c r="B41" i="13"/>
  <c r="Q36" i="14"/>
  <c r="B37" i="13"/>
  <c r="Q31" i="14"/>
  <c r="B32" i="13"/>
  <c r="Q27" i="14"/>
  <c r="B28" i="13"/>
  <c r="Q23" i="14"/>
  <c r="B24" i="13"/>
  <c r="Q19" i="14"/>
  <c r="B20" i="13"/>
  <c r="Q15" i="14"/>
  <c r="B16" i="13"/>
  <c r="R41" i="14"/>
  <c r="C42" i="13"/>
  <c r="R37" i="14"/>
  <c r="C38" i="13"/>
  <c r="R32" i="14"/>
  <c r="C33" i="13"/>
  <c r="R24" i="14"/>
  <c r="C25" i="13"/>
  <c r="R20" i="14"/>
  <c r="C21" i="13"/>
  <c r="S25" i="14"/>
  <c r="D26" i="13"/>
  <c r="S38" i="14"/>
  <c r="W38" i="14" s="1"/>
  <c r="D39" i="13"/>
  <c r="S33" i="14"/>
  <c r="D34" i="13"/>
  <c r="S24" i="14"/>
  <c r="T24" i="14" s="1"/>
  <c r="D25" i="13"/>
  <c r="Q35" i="14"/>
  <c r="B36" i="13"/>
  <c r="S20" i="14"/>
  <c r="W20" i="14" s="1"/>
  <c r="D21" i="13"/>
  <c r="S30" i="14"/>
  <c r="W30" i="14" s="1"/>
  <c r="D31" i="13"/>
  <c r="S14" i="14"/>
  <c r="W14" i="14" s="1"/>
  <c r="D44" i="14"/>
  <c r="T42" i="14"/>
  <c r="W42" i="14"/>
  <c r="I21" i="11"/>
  <c r="I40" i="11"/>
  <c r="E17" i="6"/>
  <c r="E39" i="6"/>
  <c r="E36" i="6"/>
  <c r="S29" i="14"/>
  <c r="W29" i="14" s="1"/>
  <c r="S17" i="14"/>
  <c r="W17" i="14" s="1"/>
  <c r="S40" i="14"/>
  <c r="W40" i="14" s="1"/>
  <c r="S36" i="14"/>
  <c r="W36" i="14" s="1"/>
  <c r="S31" i="14"/>
  <c r="W31" i="14" s="1"/>
  <c r="S27" i="14"/>
  <c r="W27" i="14" s="1"/>
  <c r="S16" i="14"/>
  <c r="S23" i="14"/>
  <c r="W23" i="14" s="1"/>
  <c r="S19" i="14"/>
  <c r="W19" i="14" s="1"/>
  <c r="I28" i="11"/>
  <c r="I43" i="11"/>
  <c r="I19" i="11"/>
  <c r="I15" i="11"/>
  <c r="E30" i="6"/>
  <c r="O35" i="2"/>
  <c r="E40" i="6"/>
  <c r="E28" i="14"/>
  <c r="I20" i="11"/>
  <c r="I31" i="11"/>
  <c r="I26" i="11"/>
  <c r="I33" i="11"/>
  <c r="M36" i="4"/>
  <c r="M22" i="4"/>
  <c r="M13" i="4"/>
  <c r="E37" i="14"/>
  <c r="M33" i="4"/>
  <c r="E19" i="13"/>
  <c r="E42" i="14"/>
  <c r="E43" i="13"/>
  <c r="M38" i="4"/>
  <c r="E17" i="14"/>
  <c r="P43" i="12"/>
  <c r="D43" i="12"/>
  <c r="S20" i="2"/>
  <c r="I17" i="11"/>
  <c r="I16" i="11"/>
  <c r="I41" i="11"/>
  <c r="I25" i="11"/>
  <c r="I32" i="11"/>
  <c r="I18" i="11"/>
  <c r="I29" i="11"/>
  <c r="I23" i="11"/>
  <c r="U51" i="11"/>
  <c r="S34" i="2"/>
  <c r="S26" i="2"/>
  <c r="S18" i="2"/>
  <c r="S35" i="2"/>
  <c r="S15" i="2"/>
  <c r="S36" i="2"/>
  <c r="S32" i="2"/>
  <c r="S28" i="2"/>
  <c r="S24" i="2"/>
  <c r="S16" i="2"/>
  <c r="S12" i="2"/>
  <c r="S38" i="2"/>
  <c r="S30" i="2"/>
  <c r="S22" i="2"/>
  <c r="S39" i="2"/>
  <c r="S31" i="2"/>
  <c r="S23" i="2"/>
  <c r="S19" i="2"/>
  <c r="S37" i="2"/>
  <c r="S33" i="2"/>
  <c r="S29" i="2"/>
  <c r="D25" i="4"/>
  <c r="D21" i="4"/>
  <c r="P21" i="4" s="1"/>
  <c r="U24" i="16" s="1"/>
  <c r="Z24" i="16" s="1"/>
  <c r="S17" i="2"/>
  <c r="E14" i="6"/>
  <c r="E16" i="6"/>
  <c r="E32" i="6"/>
  <c r="E24" i="6"/>
  <c r="E37" i="6"/>
  <c r="E20" i="6"/>
  <c r="M19" i="4"/>
  <c r="E27" i="14"/>
  <c r="E38" i="14"/>
  <c r="E32" i="14"/>
  <c r="M30" i="4"/>
  <c r="E29" i="14"/>
  <c r="E24" i="14"/>
  <c r="Y21" i="7"/>
  <c r="E42" i="5"/>
  <c r="M42" i="5"/>
  <c r="E21" i="6"/>
  <c r="E26" i="6"/>
  <c r="E33" i="6"/>
  <c r="E29" i="6"/>
  <c r="E34" i="6"/>
  <c r="E28" i="6"/>
  <c r="D18" i="2"/>
  <c r="F18" i="2" s="1"/>
  <c r="E31" i="6"/>
  <c r="E35" i="6"/>
  <c r="E27" i="6"/>
  <c r="E25" i="6"/>
  <c r="E19" i="6"/>
  <c r="E13" i="6"/>
  <c r="D37" i="2"/>
  <c r="F37" i="2" s="1"/>
  <c r="E41" i="6"/>
  <c r="E22" i="6"/>
  <c r="E38" i="6"/>
  <c r="I43" i="6"/>
  <c r="E23" i="6"/>
  <c r="M43" i="6"/>
  <c r="D43" i="6"/>
  <c r="C43" i="6"/>
  <c r="E18" i="6"/>
  <c r="E20" i="14"/>
  <c r="L41" i="2"/>
  <c r="R28" i="14"/>
  <c r="T28" i="14" s="1"/>
  <c r="E14" i="14"/>
  <c r="M25" i="4"/>
  <c r="E41" i="13"/>
  <c r="E33" i="14"/>
  <c r="K44" i="14"/>
  <c r="P44" i="14"/>
  <c r="M34" i="4"/>
  <c r="E24" i="13"/>
  <c r="M18" i="4"/>
  <c r="E30" i="13"/>
  <c r="I44" i="16"/>
  <c r="R41" i="4"/>
  <c r="L43" i="12"/>
  <c r="S11" i="2"/>
  <c r="I42" i="11"/>
  <c r="I38" i="11"/>
  <c r="I24" i="11"/>
  <c r="I27" i="11"/>
  <c r="I22" i="11"/>
  <c r="I39" i="11"/>
  <c r="I34" i="11"/>
  <c r="G45" i="11"/>
  <c r="Y45" i="11"/>
  <c r="M43" i="10"/>
  <c r="I43" i="10"/>
  <c r="B39" i="4"/>
  <c r="N39" i="4" s="1"/>
  <c r="S42" i="16" s="1"/>
  <c r="X42" i="16" s="1"/>
  <c r="E24" i="10"/>
  <c r="E33" i="10"/>
  <c r="E28" i="10"/>
  <c r="P41" i="2"/>
  <c r="M45" i="13"/>
  <c r="U45" i="13"/>
  <c r="Q45" i="13"/>
  <c r="I45" i="13"/>
  <c r="M39" i="4"/>
  <c r="E40" i="14"/>
  <c r="E39" i="14"/>
  <c r="M32" i="4"/>
  <c r="E34" i="14"/>
  <c r="M29" i="4"/>
  <c r="E31" i="14"/>
  <c r="M35" i="4"/>
  <c r="E22" i="14"/>
  <c r="E21" i="14"/>
  <c r="M15" i="4"/>
  <c r="E18" i="14"/>
  <c r="E16" i="14"/>
  <c r="E15" i="14"/>
  <c r="E30" i="14"/>
  <c r="J42" i="3"/>
  <c r="L25" i="4"/>
  <c r="E26" i="14"/>
  <c r="L11" i="4"/>
  <c r="M11" i="4"/>
  <c r="M37" i="4"/>
  <c r="M31" i="4"/>
  <c r="E38" i="13"/>
  <c r="M20" i="4"/>
  <c r="M14" i="4"/>
  <c r="Y17" i="13"/>
  <c r="M12" i="4"/>
  <c r="M27" i="4"/>
  <c r="M23" i="4"/>
  <c r="E27" i="13"/>
  <c r="I42" i="9"/>
  <c r="M42" i="9"/>
  <c r="L42" i="9"/>
  <c r="E42" i="9"/>
  <c r="Y40" i="7"/>
  <c r="K36" i="2"/>
  <c r="O23" i="9"/>
  <c r="K38" i="2"/>
  <c r="O39" i="9"/>
  <c r="Y35" i="7"/>
  <c r="K32" i="2"/>
  <c r="K29" i="2"/>
  <c r="Y27" i="7"/>
  <c r="K20" i="2"/>
  <c r="B21" i="4"/>
  <c r="N21" i="4" s="1"/>
  <c r="S24" i="16" s="1"/>
  <c r="X24" i="16" s="1"/>
  <c r="B14" i="4"/>
  <c r="N14" i="4" s="1"/>
  <c r="S17" i="16" s="1"/>
  <c r="K27" i="2"/>
  <c r="Y29" i="7"/>
  <c r="K25" i="2"/>
  <c r="K23" i="2"/>
  <c r="Y36" i="7"/>
  <c r="P27" i="9"/>
  <c r="Q44" i="7"/>
  <c r="K26" i="2"/>
  <c r="K21" i="2"/>
  <c r="T44" i="7"/>
  <c r="U44" i="7" s="1"/>
  <c r="Y19" i="7"/>
  <c r="V51" i="7"/>
  <c r="L44" i="7"/>
  <c r="M44" i="7" s="1"/>
  <c r="O33" i="9"/>
  <c r="M38" i="7"/>
  <c r="U18" i="7"/>
  <c r="Y33" i="7"/>
  <c r="Y39" i="7"/>
  <c r="K18" i="2"/>
  <c r="Y17" i="7"/>
  <c r="P24" i="9"/>
  <c r="P17" i="9"/>
  <c r="O17" i="9"/>
  <c r="K34" i="2"/>
  <c r="C32" i="4"/>
  <c r="O32" i="4" s="1"/>
  <c r="T35" i="16" s="1"/>
  <c r="Y35" i="16" s="1"/>
  <c r="O25" i="9"/>
  <c r="Q42" i="7"/>
  <c r="Y32" i="7"/>
  <c r="Y38" i="7"/>
  <c r="Y37" i="7"/>
  <c r="Y18" i="7"/>
  <c r="B37" i="4"/>
  <c r="N37" i="4" s="1"/>
  <c r="S40" i="16" s="1"/>
  <c r="X40" i="16" s="1"/>
  <c r="O37" i="9"/>
  <c r="P23" i="9"/>
  <c r="Y34" i="7"/>
  <c r="O32" i="9"/>
  <c r="K30" i="2"/>
  <c r="Y31" i="7"/>
  <c r="K35" i="2"/>
  <c r="O35" i="9"/>
  <c r="Q22" i="9"/>
  <c r="S22" i="9" s="1"/>
  <c r="C21" i="4"/>
  <c r="O21" i="4" s="1"/>
  <c r="T24" i="16" s="1"/>
  <c r="Y24" i="16" s="1"/>
  <c r="O14" i="9"/>
  <c r="K12" i="2"/>
  <c r="Y15" i="7"/>
  <c r="Y30" i="7"/>
  <c r="P28" i="9"/>
  <c r="V44" i="7"/>
  <c r="O27" i="9"/>
  <c r="Q26" i="9"/>
  <c r="S26" i="9" s="1"/>
  <c r="Y28" i="7"/>
  <c r="Y26" i="7"/>
  <c r="Q24" i="9"/>
  <c r="S24" i="9" s="1"/>
  <c r="H41" i="2"/>
  <c r="B43" i="6"/>
  <c r="D30" i="2"/>
  <c r="G30" i="2" s="1"/>
  <c r="D19" i="2"/>
  <c r="G19" i="2" s="1"/>
  <c r="E15" i="6"/>
  <c r="Z20" i="5"/>
  <c r="O18" i="9"/>
  <c r="B17" i="4"/>
  <c r="N17" i="4" s="1"/>
  <c r="S20" i="16" s="1"/>
  <c r="B28" i="2"/>
  <c r="B28" i="4" s="1"/>
  <c r="N28" i="4" s="1"/>
  <c r="S31" i="16" s="1"/>
  <c r="B20" i="2"/>
  <c r="D15" i="2"/>
  <c r="F15" i="2" s="1"/>
  <c r="B33" i="2"/>
  <c r="B33" i="4" s="1"/>
  <c r="N33" i="4" s="1"/>
  <c r="S36" i="16" s="1"/>
  <c r="X36" i="16" s="1"/>
  <c r="B29" i="2"/>
  <c r="B29" i="4" s="1"/>
  <c r="N29" i="4" s="1"/>
  <c r="S32" i="16" s="1"/>
  <c r="P34" i="9"/>
  <c r="C29" i="2"/>
  <c r="C29" i="4" s="1"/>
  <c r="O29" i="4" s="1"/>
  <c r="T32" i="16" s="1"/>
  <c r="C18" i="2"/>
  <c r="P19" i="9" s="1"/>
  <c r="D27" i="2"/>
  <c r="F27" i="2" s="1"/>
  <c r="D12" i="2"/>
  <c r="G12" i="2" s="1"/>
  <c r="C36" i="2"/>
  <c r="G36" i="2" s="1"/>
  <c r="D34" i="2"/>
  <c r="Q35" i="9" s="1"/>
  <c r="S35" i="9" s="1"/>
  <c r="C38" i="2"/>
  <c r="C38" i="4" s="1"/>
  <c r="O38" i="4" s="1"/>
  <c r="T41" i="16" s="1"/>
  <c r="Y41" i="16" s="1"/>
  <c r="C34" i="2"/>
  <c r="P35" i="9" s="1"/>
  <c r="C15" i="2"/>
  <c r="C11" i="2"/>
  <c r="C11" i="4" s="1"/>
  <c r="O11" i="4" s="1"/>
  <c r="T14" i="16" s="1"/>
  <c r="Y14" i="16" s="1"/>
  <c r="D32" i="2"/>
  <c r="F32" i="2" s="1"/>
  <c r="B18" i="4"/>
  <c r="N18" i="4" s="1"/>
  <c r="S21" i="16" s="1"/>
  <c r="B26" i="4"/>
  <c r="N26" i="4" s="1"/>
  <c r="S29" i="16" s="1"/>
  <c r="P40" i="9"/>
  <c r="C23" i="4"/>
  <c r="O23" i="4" s="1"/>
  <c r="T26" i="16" s="1"/>
  <c r="Y26" i="16" s="1"/>
  <c r="C20" i="2"/>
  <c r="G20" i="2" s="1"/>
  <c r="D14" i="2"/>
  <c r="G14" i="2" s="1"/>
  <c r="C14" i="4"/>
  <c r="O14" i="4" s="1"/>
  <c r="T17" i="16" s="1"/>
  <c r="C26" i="4"/>
  <c r="O26" i="4" s="1"/>
  <c r="T29" i="16" s="1"/>
  <c r="G17" i="2"/>
  <c r="C17" i="4"/>
  <c r="O17" i="4" s="1"/>
  <c r="T20" i="16" s="1"/>
  <c r="D31" i="2"/>
  <c r="F31" i="2" s="1"/>
  <c r="G13" i="2"/>
  <c r="G26" i="2"/>
  <c r="G25" i="2"/>
  <c r="P32" i="9"/>
  <c r="B32" i="4"/>
  <c r="N32" i="4" s="1"/>
  <c r="S35" i="16" s="1"/>
  <c r="X35" i="16" s="1"/>
  <c r="P31" i="9"/>
  <c r="O31" i="9"/>
  <c r="B30" i="4"/>
  <c r="N30" i="4" s="1"/>
  <c r="S33" i="16" s="1"/>
  <c r="D29" i="2"/>
  <c r="F29" i="2" s="1"/>
  <c r="C28" i="4"/>
  <c r="O28" i="4" s="1"/>
  <c r="T31" i="16" s="1"/>
  <c r="G28" i="2"/>
  <c r="G21" i="2"/>
  <c r="O22" i="9"/>
  <c r="G23" i="2"/>
  <c r="O12" i="9"/>
  <c r="B11" i="4"/>
  <c r="N11" i="4" s="1"/>
  <c r="S14" i="16" s="1"/>
  <c r="Q39" i="9"/>
  <c r="S39" i="9" s="1"/>
  <c r="B22" i="4"/>
  <c r="N22" i="4" s="1"/>
  <c r="S25" i="16" s="1"/>
  <c r="X25" i="16" s="1"/>
  <c r="B16" i="4"/>
  <c r="N16" i="4" s="1"/>
  <c r="S19" i="16" s="1"/>
  <c r="X19" i="16" s="1"/>
  <c r="P29" i="9"/>
  <c r="B19" i="4"/>
  <c r="N19" i="4" s="1"/>
  <c r="S22" i="16" s="1"/>
  <c r="X22" i="16" s="1"/>
  <c r="B13" i="4"/>
  <c r="N13" i="4" s="1"/>
  <c r="S16" i="16" s="1"/>
  <c r="X16" i="16" s="1"/>
  <c r="C12" i="4"/>
  <c r="O12" i="4" s="1"/>
  <c r="T15" i="16" s="1"/>
  <c r="P13" i="9"/>
  <c r="C25" i="4"/>
  <c r="O25" i="4" s="1"/>
  <c r="T28" i="16" s="1"/>
  <c r="F33" i="2"/>
  <c r="P25" i="9"/>
  <c r="M17" i="4"/>
  <c r="M28" i="4"/>
  <c r="E29" i="13"/>
  <c r="E41" i="14"/>
  <c r="P15" i="9"/>
  <c r="O38" i="9"/>
  <c r="B35" i="4"/>
  <c r="N35" i="4" s="1"/>
  <c r="S38" i="16" s="1"/>
  <c r="X38" i="16" s="1"/>
  <c r="O26" i="9"/>
  <c r="O19" i="9"/>
  <c r="O16" i="9"/>
  <c r="M41" i="2"/>
  <c r="Q44" i="14"/>
  <c r="C35" i="4"/>
  <c r="O35" i="4" s="1"/>
  <c r="T38" i="16" s="1"/>
  <c r="Y38" i="16" s="1"/>
  <c r="C19" i="4"/>
  <c r="O19" i="4" s="1"/>
  <c r="T22" i="16" s="1"/>
  <c r="Y22" i="16" s="1"/>
  <c r="B36" i="4"/>
  <c r="N36" i="4" s="1"/>
  <c r="S39" i="16" s="1"/>
  <c r="X39" i="16" s="1"/>
  <c r="C27" i="4"/>
  <c r="O27" i="4" s="1"/>
  <c r="T30" i="16" s="1"/>
  <c r="Y30" i="16" s="1"/>
  <c r="M21" i="4"/>
  <c r="E20" i="13"/>
  <c r="E23" i="14"/>
  <c r="O15" i="9"/>
  <c r="B12" i="4"/>
  <c r="N12" i="4" s="1"/>
  <c r="S15" i="16" s="1"/>
  <c r="X15" i="16" s="1"/>
  <c r="C30" i="4"/>
  <c r="O30" i="4" s="1"/>
  <c r="T33" i="16" s="1"/>
  <c r="C22" i="4"/>
  <c r="O22" i="4" s="1"/>
  <c r="T25" i="16" s="1"/>
  <c r="Y25" i="16" s="1"/>
  <c r="E35" i="14"/>
  <c r="H41" i="4"/>
  <c r="J41" i="4"/>
  <c r="B38" i="4"/>
  <c r="N38" i="4" s="1"/>
  <c r="S41" i="16" s="1"/>
  <c r="X41" i="16" s="1"/>
  <c r="B34" i="4"/>
  <c r="N34" i="4" s="1"/>
  <c r="S37" i="16" s="1"/>
  <c r="X37" i="16" s="1"/>
  <c r="M26" i="4"/>
  <c r="E17" i="13"/>
  <c r="E18" i="13"/>
  <c r="M24" i="4"/>
  <c r="K33" i="2"/>
  <c r="K28" i="2"/>
  <c r="K24" i="2"/>
  <c r="K16" i="2"/>
  <c r="C39" i="4"/>
  <c r="O39" i="4" s="1"/>
  <c r="T42" i="16" s="1"/>
  <c r="W18" i="14"/>
  <c r="W15" i="14"/>
  <c r="Y14" i="7"/>
  <c r="W44" i="7"/>
  <c r="C13" i="4"/>
  <c r="O13" i="4" s="1"/>
  <c r="T16" i="16" s="1"/>
  <c r="Y16" i="16" s="1"/>
  <c r="D44" i="7"/>
  <c r="E44" i="7" s="1"/>
  <c r="P38" i="9"/>
  <c r="C37" i="4"/>
  <c r="O37" i="4" s="1"/>
  <c r="T40" i="16" s="1"/>
  <c r="Y40" i="16" s="1"/>
  <c r="Q37" i="9"/>
  <c r="S37" i="9" s="1"/>
  <c r="F36" i="2"/>
  <c r="F28" i="2"/>
  <c r="F25" i="2"/>
  <c r="F21" i="2"/>
  <c r="W34" i="14"/>
  <c r="B31" i="4"/>
  <c r="N31" i="4" s="1"/>
  <c r="S34" i="16" s="1"/>
  <c r="X34" i="16" s="1"/>
  <c r="B27" i="4"/>
  <c r="N27" i="4" s="1"/>
  <c r="S30" i="16" s="1"/>
  <c r="X30" i="16" s="1"/>
  <c r="B15" i="4"/>
  <c r="N15" i="4" s="1"/>
  <c r="S18" i="16" s="1"/>
  <c r="X18" i="16" s="1"/>
  <c r="L28" i="4"/>
  <c r="K37" i="2"/>
  <c r="B44" i="14"/>
  <c r="P36" i="9"/>
  <c r="P20" i="9"/>
  <c r="O36" i="9"/>
  <c r="O20" i="9"/>
  <c r="F45" i="11"/>
  <c r="Y16" i="7"/>
  <c r="K14" i="2"/>
  <c r="P22" i="9"/>
  <c r="F11" i="2"/>
  <c r="D22" i="2"/>
  <c r="T30" i="14"/>
  <c r="N28" i="2"/>
  <c r="E16" i="10"/>
  <c r="D43" i="10"/>
  <c r="D45" i="11"/>
  <c r="I30" i="11"/>
  <c r="U39" i="11"/>
  <c r="S45" i="11"/>
  <c r="F13" i="2"/>
  <c r="F38" i="2"/>
  <c r="F26" i="2"/>
  <c r="Q27" i="9"/>
  <c r="S27" i="9" s="1"/>
  <c r="W24" i="14"/>
  <c r="K42" i="9"/>
  <c r="C24" i="4"/>
  <c r="O24" i="4" s="1"/>
  <c r="T27" i="16" s="1"/>
  <c r="Y27" i="16" s="1"/>
  <c r="I41" i="4"/>
  <c r="B25" i="4"/>
  <c r="N25" i="4" s="1"/>
  <c r="S28" i="16" s="1"/>
  <c r="K19" i="2"/>
  <c r="P33" i="9"/>
  <c r="O28" i="9"/>
  <c r="O13" i="9"/>
  <c r="P26" i="9"/>
  <c r="P18" i="9"/>
  <c r="H43" i="12"/>
  <c r="E19" i="14"/>
  <c r="R19" i="14"/>
  <c r="C44" i="14"/>
  <c r="R16" i="14"/>
  <c r="E25" i="14"/>
  <c r="D39" i="2"/>
  <c r="D35" i="2"/>
  <c r="Q25" i="9"/>
  <c r="S25" i="9" s="1"/>
  <c r="F24" i="2"/>
  <c r="Q21" i="9"/>
  <c r="S21" i="9" s="1"/>
  <c r="F20" i="2"/>
  <c r="F17" i="2"/>
  <c r="W37" i="14"/>
  <c r="T26" i="14"/>
  <c r="B24" i="4"/>
  <c r="N24" i="4" s="1"/>
  <c r="S27" i="16" s="1"/>
  <c r="X27" i="16" s="1"/>
  <c r="M16" i="4"/>
  <c r="C16" i="4"/>
  <c r="O16" i="4" s="1"/>
  <c r="T19" i="16" s="1"/>
  <c r="Y19" i="16" s="1"/>
  <c r="G24" i="2"/>
  <c r="E32" i="13"/>
  <c r="E40" i="13"/>
  <c r="E36" i="14"/>
  <c r="O40" i="9"/>
  <c r="Q34" i="9"/>
  <c r="S34" i="9" s="1"/>
  <c r="S14" i="2"/>
  <c r="Y20" i="7"/>
  <c r="C31" i="4"/>
  <c r="O31" i="4" s="1"/>
  <c r="T34" i="16" s="1"/>
  <c r="Y34" i="16" s="1"/>
  <c r="K39" i="2"/>
  <c r="X21" i="13" l="1"/>
  <c r="D18" i="3"/>
  <c r="X39" i="13"/>
  <c r="D36" i="3"/>
  <c r="X36" i="13"/>
  <c r="D33" i="3"/>
  <c r="X16" i="13"/>
  <c r="D13" i="3"/>
  <c r="X42" i="13"/>
  <c r="D39" i="3"/>
  <c r="T32" i="14"/>
  <c r="T22" i="14"/>
  <c r="X31" i="13"/>
  <c r="D28" i="3"/>
  <c r="X34" i="13"/>
  <c r="D31" i="3"/>
  <c r="X26" i="13"/>
  <c r="D23" i="3"/>
  <c r="X40" i="13"/>
  <c r="D37" i="3"/>
  <c r="X19" i="13"/>
  <c r="D16" i="3"/>
  <c r="X43" i="13"/>
  <c r="D40" i="3"/>
  <c r="X29" i="13"/>
  <c r="Y29" i="13" s="1"/>
  <c r="D26" i="3"/>
  <c r="E26" i="3" s="1"/>
  <c r="X38" i="13"/>
  <c r="D35" i="3"/>
  <c r="X27" i="13"/>
  <c r="D24" i="3"/>
  <c r="X25" i="13"/>
  <c r="D22" i="3"/>
  <c r="E22" i="3" s="1"/>
  <c r="X22" i="13"/>
  <c r="D19" i="3"/>
  <c r="X23" i="13"/>
  <c r="D20" i="3"/>
  <c r="X33" i="13"/>
  <c r="D30" i="3"/>
  <c r="X35" i="13"/>
  <c r="D32" i="3"/>
  <c r="T41" i="14"/>
  <c r="W32" i="14"/>
  <c r="T37" i="14"/>
  <c r="T17" i="14"/>
  <c r="X14" i="16"/>
  <c r="C18" i="3"/>
  <c r="E18" i="3" s="1"/>
  <c r="W21" i="13"/>
  <c r="Y21" i="13" s="1"/>
  <c r="C37" i="3"/>
  <c r="E37" i="3" s="1"/>
  <c r="W40" i="13"/>
  <c r="C23" i="3"/>
  <c r="E23" i="3" s="1"/>
  <c r="W26" i="13"/>
  <c r="Y26" i="13" s="1"/>
  <c r="B16" i="3"/>
  <c r="V19" i="13"/>
  <c r="B32" i="3"/>
  <c r="V35" i="13"/>
  <c r="C33" i="3"/>
  <c r="E33" i="3" s="1"/>
  <c r="W36" i="13"/>
  <c r="C31" i="3"/>
  <c r="W34" i="13"/>
  <c r="Y34" i="13" s="1"/>
  <c r="E21" i="13"/>
  <c r="E22" i="13"/>
  <c r="E39" i="13"/>
  <c r="E35" i="13"/>
  <c r="B33" i="3"/>
  <c r="V36" i="13"/>
  <c r="C22" i="3"/>
  <c r="W25" i="13"/>
  <c r="Y25" i="13" s="1"/>
  <c r="C35" i="3"/>
  <c r="E35" i="3" s="1"/>
  <c r="W38" i="13"/>
  <c r="B13" i="3"/>
  <c r="V16" i="13"/>
  <c r="B21" i="3"/>
  <c r="V24" i="13"/>
  <c r="B29" i="3"/>
  <c r="V32" i="13"/>
  <c r="B38" i="3"/>
  <c r="V41" i="13"/>
  <c r="C27" i="3"/>
  <c r="E27" i="3" s="1"/>
  <c r="W30" i="13"/>
  <c r="Y30" i="13" s="1"/>
  <c r="B18" i="3"/>
  <c r="V21" i="13"/>
  <c r="B39" i="3"/>
  <c r="V42" i="13"/>
  <c r="C16" i="3"/>
  <c r="E16" i="3" s="1"/>
  <c r="W19" i="13"/>
  <c r="Y19" i="13" s="1"/>
  <c r="C24" i="3"/>
  <c r="E24" i="3" s="1"/>
  <c r="W27" i="13"/>
  <c r="Y27" i="13" s="1"/>
  <c r="C32" i="3"/>
  <c r="E32" i="3" s="1"/>
  <c r="W35" i="13"/>
  <c r="C13" i="3"/>
  <c r="W16" i="13"/>
  <c r="Y16" i="13" s="1"/>
  <c r="B19" i="3"/>
  <c r="V22" i="13"/>
  <c r="B27" i="3"/>
  <c r="V30" i="13"/>
  <c r="B36" i="3"/>
  <c r="V39" i="13"/>
  <c r="C12" i="3"/>
  <c r="W15" i="13"/>
  <c r="B35" i="3"/>
  <c r="V38" i="13"/>
  <c r="C21" i="3"/>
  <c r="E21" i="3" s="1"/>
  <c r="W24" i="13"/>
  <c r="Y24" i="13" s="1"/>
  <c r="C29" i="3"/>
  <c r="E29" i="3" s="1"/>
  <c r="W32" i="13"/>
  <c r="Y32" i="13" s="1"/>
  <c r="C38" i="3"/>
  <c r="E38" i="3" s="1"/>
  <c r="W41" i="13"/>
  <c r="Y41" i="13" s="1"/>
  <c r="B20" i="3"/>
  <c r="V23" i="13"/>
  <c r="B28" i="3"/>
  <c r="V31" i="13"/>
  <c r="B37" i="3"/>
  <c r="V40" i="13"/>
  <c r="C40" i="3"/>
  <c r="W43" i="13"/>
  <c r="Y43" i="13" s="1"/>
  <c r="C15" i="3"/>
  <c r="E15" i="3" s="1"/>
  <c r="W18" i="13"/>
  <c r="Y18" i="13" s="1"/>
  <c r="B14" i="3"/>
  <c r="V17" i="13"/>
  <c r="C30" i="3"/>
  <c r="E30" i="3" s="1"/>
  <c r="W33" i="13"/>
  <c r="Y33" i="13" s="1"/>
  <c r="B17" i="3"/>
  <c r="V20" i="13"/>
  <c r="B34" i="3"/>
  <c r="V37" i="13"/>
  <c r="C36" i="3"/>
  <c r="W39" i="13"/>
  <c r="Y39" i="13" s="1"/>
  <c r="C28" i="3"/>
  <c r="E28" i="3" s="1"/>
  <c r="W31" i="13"/>
  <c r="Y31" i="13" s="1"/>
  <c r="B23" i="3"/>
  <c r="V26" i="13"/>
  <c r="B31" i="3"/>
  <c r="V34" i="13"/>
  <c r="B22" i="3"/>
  <c r="V25" i="13"/>
  <c r="C25" i="3"/>
  <c r="E25" i="3" s="1"/>
  <c r="W28" i="13"/>
  <c r="Y28" i="13" s="1"/>
  <c r="E16" i="13"/>
  <c r="E25" i="13"/>
  <c r="E23" i="13"/>
  <c r="E33" i="13"/>
  <c r="E42" i="13"/>
  <c r="E36" i="13"/>
  <c r="C39" i="3"/>
  <c r="E39" i="3" s="1"/>
  <c r="W42" i="13"/>
  <c r="Y42" i="13" s="1"/>
  <c r="B25" i="3"/>
  <c r="V28" i="13"/>
  <c r="C19" i="3"/>
  <c r="E19" i="3" s="1"/>
  <c r="W22" i="13"/>
  <c r="Y22" i="13" s="1"/>
  <c r="B26" i="3"/>
  <c r="V29" i="13"/>
  <c r="C20" i="3"/>
  <c r="E20" i="3" s="1"/>
  <c r="W23" i="13"/>
  <c r="B15" i="3"/>
  <c r="V18" i="13"/>
  <c r="B40" i="3"/>
  <c r="V43" i="13"/>
  <c r="C34" i="3"/>
  <c r="E34" i="3" s="1"/>
  <c r="W37" i="13"/>
  <c r="Y37" i="13" s="1"/>
  <c r="B24" i="3"/>
  <c r="V27" i="13"/>
  <c r="B12" i="3"/>
  <c r="V15" i="13"/>
  <c r="B30" i="3"/>
  <c r="V33" i="13"/>
  <c r="E26" i="13"/>
  <c r="B45" i="13"/>
  <c r="B50" i="13" s="1"/>
  <c r="C45" i="13"/>
  <c r="E28" i="13"/>
  <c r="T20" i="14"/>
  <c r="E31" i="13"/>
  <c r="Y15" i="16"/>
  <c r="W16" i="14"/>
  <c r="S44" i="14"/>
  <c r="T31" i="14"/>
  <c r="R52" i="4"/>
  <c r="X44" i="4"/>
  <c r="E45" i="11"/>
  <c r="D52" i="11"/>
  <c r="D45" i="13"/>
  <c r="D50" i="13" s="1"/>
  <c r="X15" i="13"/>
  <c r="T19" i="14"/>
  <c r="R44" i="14"/>
  <c r="T40" i="14"/>
  <c r="T29" i="14"/>
  <c r="T36" i="14"/>
  <c r="T23" i="14"/>
  <c r="T27" i="14"/>
  <c r="U45" i="11"/>
  <c r="S54" i="11"/>
  <c r="O29" i="9"/>
  <c r="G27" i="2"/>
  <c r="D28" i="4"/>
  <c r="G28" i="4" s="1"/>
  <c r="S25" i="2"/>
  <c r="S21" i="2"/>
  <c r="C18" i="4"/>
  <c r="O18" i="4" s="1"/>
  <c r="T21" i="16" s="1"/>
  <c r="Q38" i="9"/>
  <c r="S38" i="9" s="1"/>
  <c r="G37" i="2"/>
  <c r="F34" i="2"/>
  <c r="G15" i="2"/>
  <c r="C15" i="4"/>
  <c r="O15" i="4" s="1"/>
  <c r="T18" i="16" s="1"/>
  <c r="Y18" i="16" s="1"/>
  <c r="P16" i="9"/>
  <c r="Q28" i="9"/>
  <c r="S28" i="9" s="1"/>
  <c r="Q19" i="9"/>
  <c r="S19" i="9" s="1"/>
  <c r="G18" i="2"/>
  <c r="O30" i="9"/>
  <c r="B41" i="2"/>
  <c r="B65" i="2" s="1"/>
  <c r="P12" i="9"/>
  <c r="G11" i="2"/>
  <c r="C20" i="4"/>
  <c r="O20" i="4" s="1"/>
  <c r="T23" i="16" s="1"/>
  <c r="Y23" i="16" s="1"/>
  <c r="C34" i="4"/>
  <c r="O34" i="4" s="1"/>
  <c r="T37" i="16" s="1"/>
  <c r="Y37" i="16" s="1"/>
  <c r="C36" i="4"/>
  <c r="O36" i="4" s="1"/>
  <c r="T39" i="16" s="1"/>
  <c r="Y39" i="16" s="1"/>
  <c r="E43" i="6"/>
  <c r="O34" i="9"/>
  <c r="G34" i="2"/>
  <c r="Q31" i="9"/>
  <c r="S31" i="9" s="1"/>
  <c r="T14" i="14"/>
  <c r="F19" i="2"/>
  <c r="Q20" i="9"/>
  <c r="T38" i="14"/>
  <c r="D11" i="4"/>
  <c r="H45" i="11"/>
  <c r="I45" i="11" s="1"/>
  <c r="D36" i="4"/>
  <c r="P36" i="4" s="1"/>
  <c r="D23" i="4"/>
  <c r="G23" i="4" s="1"/>
  <c r="D19" i="4"/>
  <c r="P19" i="4" s="1"/>
  <c r="U22" i="16" s="1"/>
  <c r="Z22" i="16" s="1"/>
  <c r="D13" i="4"/>
  <c r="F13" i="4" s="1"/>
  <c r="E43" i="10"/>
  <c r="E44" i="14"/>
  <c r="E15" i="13"/>
  <c r="M41" i="4"/>
  <c r="I41" i="2"/>
  <c r="B23" i="4"/>
  <c r="N23" i="4" s="1"/>
  <c r="S26" i="16" s="1"/>
  <c r="X26" i="16" s="1"/>
  <c r="O24" i="9"/>
  <c r="P14" i="9"/>
  <c r="K15" i="2"/>
  <c r="F30" i="2"/>
  <c r="P37" i="9"/>
  <c r="P39" i="9"/>
  <c r="F12" i="2"/>
  <c r="G33" i="2"/>
  <c r="G32" i="2"/>
  <c r="C33" i="4"/>
  <c r="O33" i="4" s="1"/>
  <c r="T36" i="16" s="1"/>
  <c r="Y36" i="16" s="1"/>
  <c r="D32" i="4"/>
  <c r="P32" i="4" s="1"/>
  <c r="U35" i="16" s="1"/>
  <c r="Z35" i="16" s="1"/>
  <c r="P30" i="9"/>
  <c r="Q13" i="9"/>
  <c r="S13" i="9" s="1"/>
  <c r="O21" i="9"/>
  <c r="B20" i="4"/>
  <c r="N20" i="4" s="1"/>
  <c r="S23" i="16" s="1"/>
  <c r="X23" i="16" s="1"/>
  <c r="G38" i="2"/>
  <c r="Q33" i="9"/>
  <c r="S33" i="9" s="1"/>
  <c r="D12" i="4"/>
  <c r="F12" i="4" s="1"/>
  <c r="C41" i="2"/>
  <c r="P21" i="9"/>
  <c r="G31" i="2"/>
  <c r="F14" i="2"/>
  <c r="Q30" i="9"/>
  <c r="S30" i="9" s="1"/>
  <c r="G29" i="2"/>
  <c r="W21" i="14"/>
  <c r="Q15" i="9"/>
  <c r="S15" i="9" s="1"/>
  <c r="D33" i="4"/>
  <c r="P33" i="4" s="1"/>
  <c r="D14" i="4"/>
  <c r="G14" i="4" s="1"/>
  <c r="D24" i="4"/>
  <c r="G24" i="4" s="1"/>
  <c r="W33" i="14"/>
  <c r="T33" i="14"/>
  <c r="D30" i="4"/>
  <c r="G30" i="4" s="1"/>
  <c r="F21" i="4"/>
  <c r="G21" i="4"/>
  <c r="K31" i="2"/>
  <c r="D31" i="4"/>
  <c r="Q32" i="9"/>
  <c r="S32" i="9" s="1"/>
  <c r="Q18" i="9"/>
  <c r="S18" i="9" s="1"/>
  <c r="K17" i="2"/>
  <c r="F35" i="2"/>
  <c r="Q36" i="9"/>
  <c r="S36" i="9" s="1"/>
  <c r="G35" i="2"/>
  <c r="D35" i="4"/>
  <c r="W25" i="14"/>
  <c r="T25" i="14"/>
  <c r="S13" i="2"/>
  <c r="R41" i="2"/>
  <c r="F22" i="2"/>
  <c r="G22" i="2"/>
  <c r="Q14" i="9"/>
  <c r="S14" i="9" s="1"/>
  <c r="K13" i="2"/>
  <c r="K11" i="2"/>
  <c r="Q12" i="9"/>
  <c r="D17" i="4"/>
  <c r="D34" i="4"/>
  <c r="D37" i="4"/>
  <c r="P37" i="4" s="1"/>
  <c r="U40" i="16" s="1"/>
  <c r="Z40" i="16" s="1"/>
  <c r="D29" i="4"/>
  <c r="D27" i="4"/>
  <c r="S27" i="2"/>
  <c r="N41" i="2"/>
  <c r="F25" i="4"/>
  <c r="P25" i="4"/>
  <c r="U28" i="16" s="1"/>
  <c r="G25" i="4"/>
  <c r="Y25" i="7"/>
  <c r="K22" i="2"/>
  <c r="D18" i="4"/>
  <c r="Q29" i="9"/>
  <c r="S29" i="9" s="1"/>
  <c r="X44" i="7"/>
  <c r="Y44" i="7" s="1"/>
  <c r="W35" i="14"/>
  <c r="T35" i="14"/>
  <c r="Q40" i="9"/>
  <c r="S40" i="9" s="1"/>
  <c r="G39" i="2"/>
  <c r="F39" i="2"/>
  <c r="D39" i="4"/>
  <c r="P39" i="4" s="1"/>
  <c r="U42" i="16" s="1"/>
  <c r="Z42" i="16" s="1"/>
  <c r="T16" i="14"/>
  <c r="D20" i="4"/>
  <c r="D26" i="4"/>
  <c r="D38" i="4"/>
  <c r="U36" i="16" l="1"/>
  <c r="Q33" i="4"/>
  <c r="U39" i="16"/>
  <c r="Z39" i="16" s="1"/>
  <c r="Q36" i="4"/>
  <c r="E36" i="3"/>
  <c r="E40" i="3"/>
  <c r="E13" i="3"/>
  <c r="E31" i="3"/>
  <c r="D42" i="3"/>
  <c r="Y15" i="13"/>
  <c r="Y23" i="13"/>
  <c r="Y35" i="13"/>
  <c r="Y38" i="13"/>
  <c r="Y40" i="13"/>
  <c r="S49" i="16"/>
  <c r="W45" i="13"/>
  <c r="W50" i="13" s="1"/>
  <c r="B42" i="3"/>
  <c r="C42" i="3"/>
  <c r="E42" i="3" s="1"/>
  <c r="E12" i="3"/>
  <c r="Y36" i="13"/>
  <c r="V45" i="13"/>
  <c r="V50" i="13" s="1"/>
  <c r="T49" i="16"/>
  <c r="F11" i="4"/>
  <c r="P11" i="4"/>
  <c r="E45" i="13"/>
  <c r="C65" i="2"/>
  <c r="H54" i="11"/>
  <c r="P28" i="4"/>
  <c r="Q28" i="4" s="1"/>
  <c r="F28" i="4"/>
  <c r="G11" i="4"/>
  <c r="O41" i="4"/>
  <c r="G36" i="4"/>
  <c r="O42" i="9"/>
  <c r="S20" i="9"/>
  <c r="Y43" i="12"/>
  <c r="F36" i="4"/>
  <c r="G13" i="4"/>
  <c r="P13" i="4"/>
  <c r="Q13" i="4" s="1"/>
  <c r="P23" i="4"/>
  <c r="U26" i="16" s="1"/>
  <c r="Z26" i="16" s="1"/>
  <c r="F23" i="4"/>
  <c r="F19" i="4"/>
  <c r="G19" i="4"/>
  <c r="X45" i="13"/>
  <c r="N41" i="4"/>
  <c r="C41" i="4"/>
  <c r="G12" i="4"/>
  <c r="P12" i="4"/>
  <c r="U15" i="16" s="1"/>
  <c r="Z15" i="16" s="1"/>
  <c r="Q16" i="9"/>
  <c r="S16" i="9" s="1"/>
  <c r="D15" i="4"/>
  <c r="G15" i="4" s="1"/>
  <c r="G32" i="4"/>
  <c r="F32" i="4"/>
  <c r="B41" i="4"/>
  <c r="P42" i="9"/>
  <c r="F30" i="4"/>
  <c r="F24" i="4"/>
  <c r="P24" i="4"/>
  <c r="G33" i="4"/>
  <c r="F33" i="4"/>
  <c r="P30" i="4"/>
  <c r="Q23" i="9"/>
  <c r="S23" i="9" s="1"/>
  <c r="F14" i="4"/>
  <c r="T44" i="14"/>
  <c r="P14" i="4"/>
  <c r="U17" i="16" s="1"/>
  <c r="F39" i="4"/>
  <c r="Q39" i="4"/>
  <c r="G39" i="4"/>
  <c r="F18" i="4"/>
  <c r="P18" i="4"/>
  <c r="U21" i="16" s="1"/>
  <c r="G18" i="4"/>
  <c r="F37" i="4"/>
  <c r="G37" i="4"/>
  <c r="P38" i="4"/>
  <c r="Q38" i="4" s="1"/>
  <c r="G38" i="4"/>
  <c r="F38" i="4"/>
  <c r="F29" i="4"/>
  <c r="P29" i="4"/>
  <c r="U32" i="16" s="1"/>
  <c r="G29" i="4"/>
  <c r="S12" i="9"/>
  <c r="F26" i="4"/>
  <c r="P26" i="4"/>
  <c r="Q26" i="4" s="1"/>
  <c r="G26" i="4"/>
  <c r="O41" i="2"/>
  <c r="P34" i="4"/>
  <c r="G34" i="4"/>
  <c r="F34" i="4"/>
  <c r="F35" i="4"/>
  <c r="P35" i="4"/>
  <c r="Q35" i="4" s="1"/>
  <c r="G35" i="4"/>
  <c r="F20" i="4"/>
  <c r="P20" i="4"/>
  <c r="U23" i="16" s="1"/>
  <c r="Z23" i="16" s="1"/>
  <c r="G20" i="4"/>
  <c r="F27" i="4"/>
  <c r="G27" i="4"/>
  <c r="P27" i="4"/>
  <c r="F17" i="4"/>
  <c r="P17" i="4"/>
  <c r="U20" i="16" s="1"/>
  <c r="G17" i="4"/>
  <c r="S41" i="2"/>
  <c r="P31" i="4"/>
  <c r="F31" i="4"/>
  <c r="G31" i="4"/>
  <c r="J41" i="2"/>
  <c r="D22" i="4"/>
  <c r="U37" i="16" l="1"/>
  <c r="Z37" i="16" s="1"/>
  <c r="Q34" i="4"/>
  <c r="U34" i="16"/>
  <c r="Z34" i="16" s="1"/>
  <c r="Q31" i="4"/>
  <c r="U33" i="16"/>
  <c r="Q30" i="4"/>
  <c r="U29" i="16"/>
  <c r="U31" i="16"/>
  <c r="Q11" i="4"/>
  <c r="U14" i="16"/>
  <c r="Z14" i="16" s="1"/>
  <c r="U41" i="16"/>
  <c r="Z41" i="16" s="1"/>
  <c r="U38" i="16"/>
  <c r="Z38" i="16" s="1"/>
  <c r="U30" i="16"/>
  <c r="Z30" i="16" s="1"/>
  <c r="U27" i="16"/>
  <c r="Z27" i="16" s="1"/>
  <c r="U16" i="16"/>
  <c r="Z16" i="16" s="1"/>
  <c r="Y45" i="13"/>
  <c r="X50" i="13"/>
  <c r="P15" i="4"/>
  <c r="Q15" i="4" s="1"/>
  <c r="F15" i="4"/>
  <c r="K41" i="2"/>
  <c r="F22" i="4"/>
  <c r="G22" i="4"/>
  <c r="P22" i="4"/>
  <c r="U25" i="16" s="1"/>
  <c r="Z25" i="16" s="1"/>
  <c r="U18" i="16" l="1"/>
  <c r="Z18" i="16" s="1"/>
  <c r="P42" i="5"/>
  <c r="Q42" i="5" s="1"/>
  <c r="Q17" i="5"/>
  <c r="D16" i="2"/>
  <c r="F16" i="2" s="1"/>
  <c r="D16" i="4" l="1"/>
  <c r="D41" i="2"/>
  <c r="D65" i="2" s="1"/>
  <c r="Q17" i="9"/>
  <c r="G16" i="2"/>
  <c r="H67" i="2" l="1"/>
  <c r="H69" i="2" s="1"/>
  <c r="H70" i="2"/>
  <c r="F16" i="4"/>
  <c r="D41" i="4"/>
  <c r="D56" i="2" s="1"/>
  <c r="P16" i="4"/>
  <c r="G16" i="4"/>
  <c r="G41" i="2"/>
  <c r="S17" i="9"/>
  <c r="Q42" i="9"/>
  <c r="P41" i="4" l="1"/>
  <c r="U19" i="16"/>
  <c r="H65" i="2"/>
  <c r="R56" i="2"/>
  <c r="N56" i="2"/>
  <c r="J56" i="2"/>
  <c r="G41" i="4"/>
  <c r="U49" i="16" l="1"/>
  <c r="Z19" i="16"/>
</calcChain>
</file>

<file path=xl/comments1.xml><?xml version="1.0" encoding="utf-8"?>
<comments xmlns="http://schemas.openxmlformats.org/spreadsheetml/2006/main">
  <authors>
    <author>Michaela Kozohorska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vzorec +1</t>
        </r>
      </text>
    </comment>
  </commentList>
</comments>
</file>

<file path=xl/comments2.xml><?xml version="1.0" encoding="utf-8"?>
<comments xmlns="http://schemas.openxmlformats.org/spreadsheetml/2006/main">
  <authors>
    <author>MMB</author>
    <author>Michaela Kozohorska</author>
  </authors>
  <commentList>
    <comment ref="V18" authorId="0" shape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203.536</t>
        </r>
      </text>
    </comment>
    <comment ref="V20" authorId="0" shape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45.625</t>
        </r>
      </text>
    </comment>
    <comment ref="V21" authorId="0" shape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411.431</t>
        </r>
      </text>
    </comment>
    <comment ref="P22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416 473
</t>
        </r>
      </text>
    </comment>
    <comment ref="V22" authorId="0" shape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367.527</t>
        </r>
      </text>
    </comment>
    <comment ref="P24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1 550 600</t>
        </r>
      </text>
    </comment>
    <comment ref="V24" authorId="0" shape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-1
790.547</t>
        </r>
      </text>
    </comment>
    <comment ref="L26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22 336</t>
        </r>
      </text>
    </comment>
    <comment ref="P26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1 202 478</t>
        </r>
      </text>
    </comment>
    <comment ref="P27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625 420</t>
        </r>
      </text>
    </comment>
    <comment ref="P34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1 829 460</t>
        </r>
      </text>
    </comment>
    <comment ref="P36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750 408</t>
        </r>
      </text>
    </comment>
    <comment ref="V38" authorId="0" shapeId="0">
      <text>
        <r>
          <rPr>
            <b/>
            <sz val="8"/>
            <color indexed="81"/>
            <rFont val="Tahoma"/>
            <family val="2"/>
            <charset val="238"/>
          </rPr>
          <t>MMB:</t>
        </r>
        <r>
          <rPr>
            <sz val="8"/>
            <color indexed="81"/>
            <rFont val="Tahoma"/>
            <family val="2"/>
            <charset val="238"/>
          </rPr>
          <t xml:space="preserve">
108.518</t>
        </r>
      </text>
    </comment>
  </commentList>
</comments>
</file>

<file path=xl/comments3.xml><?xml version="1.0" encoding="utf-8"?>
<comments xmlns="http://schemas.openxmlformats.org/spreadsheetml/2006/main">
  <authors>
    <author>Michaela Kozohorska</author>
  </authors>
  <commentList>
    <comment ref="H1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480 648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270 767</t>
        </r>
      </text>
    </comment>
    <comment ref="L1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11 865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542 516</t>
        </r>
      </text>
    </comment>
    <comment ref="L20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34 450</t>
        </r>
      </text>
    </comment>
    <comment ref="H23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149 571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1 257 548</t>
        </r>
      </text>
    </comment>
    <comment ref="L25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134 566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508 649</t>
        </r>
      </text>
    </comment>
    <comment ref="H2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248 568</t>
        </r>
      </text>
    </comment>
    <comment ref="H30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393 317</t>
        </r>
      </text>
    </comment>
    <comment ref="L30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13 455</t>
        </r>
      </text>
    </comment>
    <comment ref="L31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12 641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254 513</t>
        </r>
      </text>
    </comment>
    <comment ref="L35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167 625</t>
        </r>
      </text>
    </comment>
    <comment ref="H36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158 504</t>
        </r>
      </text>
    </comment>
    <comment ref="H3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463 551</t>
        </r>
      </text>
    </comment>
    <comment ref="H3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53 458</t>
        </r>
      </text>
    </comment>
    <comment ref="D59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956 372</t>
        </r>
      </text>
    </comment>
    <comment ref="L59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656 688</t>
        </r>
      </text>
    </comment>
    <comment ref="D60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558 556</t>
        </r>
      </text>
    </comment>
    <comment ref="D61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166 524</t>
        </r>
      </text>
    </comment>
    <comment ref="D63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15 662</t>
        </r>
      </text>
    </comment>
    <comment ref="L6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33 754</t>
        </r>
      </text>
    </comment>
    <comment ref="L65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185 620</t>
        </r>
      </text>
    </comment>
    <comment ref="L66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170 500</t>
        </r>
      </text>
    </comment>
    <comment ref="D6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432 422</t>
        </r>
      </text>
    </comment>
    <comment ref="L70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1 257 548</t>
        </r>
      </text>
    </comment>
    <comment ref="D72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1 407 429</t>
        </r>
      </text>
    </comment>
    <comment ref="L76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572 490</t>
        </r>
      </text>
    </comment>
    <comment ref="D7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334 768</t>
        </r>
      </text>
    </comment>
    <comment ref="L7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35 730</t>
        </r>
      </text>
    </comment>
    <comment ref="D7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107 785</t>
        </r>
      </text>
    </comment>
    <comment ref="H7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426,00</t>
        </r>
      </text>
    </comment>
    <comment ref="L80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425 361</t>
        </r>
      </text>
    </comment>
    <comment ref="L83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5 548</t>
        </r>
      </text>
    </comment>
    <comment ref="D8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10 660</t>
        </r>
      </text>
    </comment>
  </commentList>
</comments>
</file>

<file path=xl/comments4.xml><?xml version="1.0" encoding="utf-8"?>
<comments xmlns="http://schemas.openxmlformats.org/spreadsheetml/2006/main">
  <authors>
    <author>Michaela Kozohorska</author>
    <author>Michaela Kratochvilová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4537 631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5 371 617</t>
        </r>
      </text>
    </comment>
    <comment ref="P1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771 474</t>
        </r>
      </text>
    </comment>
    <comment ref="T1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1 994 333</t>
        </r>
      </text>
    </comment>
    <comment ref="L15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3 568 649</t>
        </r>
      </text>
    </comment>
    <comment ref="T15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2 510</t>
        </r>
      </text>
    </comment>
    <comment ref="P16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81 441
</t>
        </r>
      </text>
    </comment>
    <comment ref="P1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371 641</t>
        </r>
      </text>
    </comment>
    <comment ref="T1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4 500</t>
        </r>
      </text>
    </comment>
    <comment ref="L19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2 782 666</t>
        </r>
      </text>
    </comment>
    <comment ref="T19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49 514</t>
        </r>
      </text>
    </comment>
    <comment ref="P21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1 194 537</t>
        </r>
      </text>
    </comment>
    <comment ref="D22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21 446</t>
        </r>
      </text>
    </comment>
    <comment ref="L23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1 367 600</t>
        </r>
      </text>
    </comment>
    <comment ref="T23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173 580</t>
        </r>
      </text>
    </comment>
    <comment ref="D24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306 733
</t>
        </r>
      </text>
    </comment>
    <comment ref="L2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1 374 581</t>
        </r>
      </text>
    </comment>
    <comment ref="P2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2 461</t>
        </r>
      </text>
    </comment>
    <comment ref="L2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3 436 593</t>
        </r>
      </text>
    </comment>
    <comment ref="P2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17 584</t>
        </r>
      </text>
    </comment>
    <comment ref="T2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49 350</t>
        </r>
      </text>
    </comment>
    <comment ref="L29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2 778 551</t>
        </r>
      </text>
    </comment>
    <comment ref="T29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34 500</t>
        </r>
      </text>
    </comment>
    <comment ref="D30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127 651</t>
        </r>
      </text>
    </comment>
    <comment ref="L31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5 194 550</t>
        </r>
      </text>
    </comment>
    <comment ref="P31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53 676</t>
        </r>
      </text>
    </comment>
    <comment ref="P33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9 470</t>
        </r>
      </text>
    </comment>
    <comment ref="D36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3 709 699</t>
        </r>
      </text>
    </comment>
    <comment ref="T36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561 597</t>
        </r>
      </text>
    </comment>
    <comment ref="D3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699 589</t>
        </r>
      </text>
    </comment>
    <comment ref="L3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668 433</t>
        </r>
      </text>
    </comment>
    <comment ref="P3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3 611</t>
        </r>
      </text>
    </comment>
    <comment ref="T3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40 400</t>
        </r>
      </text>
    </comment>
    <comment ref="D3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231 636</t>
        </r>
      </text>
    </comment>
    <comment ref="T3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98 654</t>
        </r>
      </text>
    </comment>
    <comment ref="P39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432,00</t>
        </r>
      </text>
    </comment>
    <comment ref="T39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106 500</t>
        </r>
      </text>
    </comment>
    <comment ref="P41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1 598</t>
        </r>
      </text>
    </comment>
    <comment ref="D42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59 590</t>
        </r>
      </text>
    </comment>
    <comment ref="L42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68 600</t>
        </r>
      </text>
    </comment>
  </commentList>
</comments>
</file>

<file path=xl/comments5.xml><?xml version="1.0" encoding="utf-8"?>
<comments xmlns="http://schemas.openxmlformats.org/spreadsheetml/2006/main">
  <authors>
    <author>Michaela Kozohorska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228 482 566
</t>
        </r>
      </text>
    </comment>
  </commentList>
</comments>
</file>

<file path=xl/comments6.xml><?xml version="1.0" encoding="utf-8"?>
<comments xmlns="http://schemas.openxmlformats.org/spreadsheetml/2006/main">
  <authors>
    <author>Michaela Kozohorska</author>
  </authors>
  <commentList>
    <comment ref="I1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16 723 516</t>
        </r>
      </text>
    </comment>
    <comment ref="O14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5 048 665</t>
        </r>
      </text>
    </comment>
    <comment ref="I15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1 997 573</t>
        </r>
      </text>
    </comment>
    <comment ref="O15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5 540 575</t>
        </r>
      </text>
    </comment>
    <comment ref="O1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3 741 696</t>
        </r>
      </text>
    </comment>
    <comment ref="I20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9 449 525</t>
        </r>
      </text>
    </comment>
    <comment ref="I26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32 122 573</t>
        </r>
      </text>
    </comment>
    <comment ref="I28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7 354 532</t>
        </r>
      </text>
    </comment>
    <comment ref="I31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659 570,00</t>
        </r>
      </text>
    </comment>
    <comment ref="O32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7 708 620</t>
        </r>
      </text>
    </comment>
    <comment ref="I33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13 787 784</t>
        </r>
      </text>
    </comment>
    <comment ref="O36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1 733 624</t>
        </r>
      </text>
    </comment>
    <comment ref="O37" authorId="0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7 886 404</t>
        </r>
      </text>
    </comment>
  </commentList>
</comments>
</file>

<file path=xl/connections.xml><?xml version="1.0" encoding="utf-8"?>
<connections xmlns="http://schemas.openxmlformats.org/spreadsheetml/2006/main">
  <connection id="1" odcFile="D:\Documents\Zdroje dat\gidwhpdb.brno.cz_2390 Ekonomika_mesta_Brna Příjmy a výdaje.odc" keepAlive="1" name="gidwhpdb.brno.cz_2390 Ekonomika_mesta_Brna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5" background="1">
    <dbPr connection="Provider=MSOLAP.5;Integrated Security=SSPI;Persist Security Info=True;Initial Catalog=Ekonomika_mesta_Brna;Data Source=gidwhpdb.brno.cz:2390;MDX Compatibility=1;Safety Options=2;MDX Missing Member Mode=Error" command="Příjmy a výdaje" commandType="1"/>
    <olapPr sendLocale="1" rowDrillCount="1000"/>
  </connection>
</connections>
</file>

<file path=xl/sharedStrings.xml><?xml version="1.0" encoding="utf-8"?>
<sst xmlns="http://schemas.openxmlformats.org/spreadsheetml/2006/main" count="1010" uniqueCount="248">
  <si>
    <t>%</t>
  </si>
  <si>
    <t>v tis. Kč</t>
  </si>
  <si>
    <t>Skutečnost</t>
  </si>
  <si>
    <t>součet</t>
  </si>
  <si>
    <t xml:space="preserve"> </t>
  </si>
  <si>
    <t>obyvatel</t>
  </si>
  <si>
    <t xml:space="preserve">    příjmy</t>
  </si>
  <si>
    <t xml:space="preserve">     výdaje</t>
  </si>
  <si>
    <t>zůst.fin.prost.</t>
  </si>
  <si>
    <t xml:space="preserve">  str. 2</t>
  </si>
  <si>
    <t xml:space="preserve">  </t>
  </si>
  <si>
    <t>k UR</t>
  </si>
  <si>
    <t>SR</t>
  </si>
  <si>
    <t>UR</t>
  </si>
  <si>
    <t>Daňové příjmy</t>
  </si>
  <si>
    <t>P O Č E T</t>
  </si>
  <si>
    <t>Nedaňové příjmy</t>
  </si>
  <si>
    <t>P Ř Í J M Y</t>
  </si>
  <si>
    <t>Kapitálové příjmy</t>
  </si>
  <si>
    <t>V Ý D A J E</t>
  </si>
  <si>
    <t>P Ř Í J M Y    a     V Ý D A J E</t>
  </si>
  <si>
    <t>Účto</t>
  </si>
  <si>
    <t>P Ř Í J M Y    celkem</t>
  </si>
  <si>
    <t>V Ý D A J E    celkem</t>
  </si>
  <si>
    <t>S A L D O   příjmů  a výdajů</t>
  </si>
  <si>
    <t xml:space="preserve">  str. 1</t>
  </si>
  <si>
    <t>D A Ň O V É      P Ř Í J M Y</t>
  </si>
  <si>
    <t>str. 2.1</t>
  </si>
  <si>
    <t>Daň z příjmů právnických osob za obce</t>
  </si>
  <si>
    <t>Poplatky a odvody v oblasti životního  prostředí</t>
  </si>
  <si>
    <t>Ostatní odvody z vybraných služeb a činností</t>
  </si>
  <si>
    <t>Správní poplatky</t>
  </si>
  <si>
    <t>Rozpočet</t>
  </si>
  <si>
    <t>Skuteč.</t>
  </si>
  <si>
    <t>schválený</t>
  </si>
  <si>
    <t>upravený</t>
  </si>
  <si>
    <t>p. 1122</t>
  </si>
  <si>
    <t>p. 133x</t>
  </si>
  <si>
    <t>p. 135x</t>
  </si>
  <si>
    <t>p. 1361</t>
  </si>
  <si>
    <t xml:space="preserve">Celkem: </t>
  </si>
  <si>
    <t>OSTATNÍ  DANĚ  A  POPLATKY  z  vybraných  činností  a  služeb</t>
  </si>
  <si>
    <t xml:space="preserve">  Místní  poplatky</t>
  </si>
  <si>
    <t xml:space="preserve"> z toho  :</t>
  </si>
  <si>
    <t>c e l k e m</t>
  </si>
  <si>
    <t>ze  psů</t>
  </si>
  <si>
    <t>za lázeňský nebo rekreační pobyt</t>
  </si>
  <si>
    <t>za užívání veřejného prostranství</t>
  </si>
  <si>
    <t>p. 1341</t>
  </si>
  <si>
    <t>p. 1342</t>
  </si>
  <si>
    <t>p. 1343</t>
  </si>
  <si>
    <t xml:space="preserve">   </t>
  </si>
  <si>
    <t xml:space="preserve"> (pokračování)</t>
  </si>
  <si>
    <t>z ubytovací kapacity</t>
  </si>
  <si>
    <t>p. 1344</t>
  </si>
  <si>
    <t>p. 1345</t>
  </si>
  <si>
    <t>N E D A Ň O V É      P Ř Í J M Y</t>
  </si>
  <si>
    <t xml:space="preserve">      </t>
  </si>
  <si>
    <t>Příjmy z vlastní činnosti</t>
  </si>
  <si>
    <t>Příjmy  z  pronájmu  majetku</t>
  </si>
  <si>
    <t>Přijaté sankční platby</t>
  </si>
  <si>
    <t>p. 211x</t>
  </si>
  <si>
    <t>p. 213x</t>
  </si>
  <si>
    <t>p. 2141</t>
  </si>
  <si>
    <t>p. 221x</t>
  </si>
  <si>
    <t>p.211x</t>
  </si>
  <si>
    <t>p.213x</t>
  </si>
  <si>
    <t>p.221x</t>
  </si>
  <si>
    <t>K A P I T Á L O V É      P Ř Í J M Y</t>
  </si>
  <si>
    <t>p. 311x</t>
  </si>
  <si>
    <t>p. 312x</t>
  </si>
  <si>
    <t>ze státních fondů</t>
  </si>
  <si>
    <t>p. 4112</t>
  </si>
  <si>
    <t>p. 4113</t>
  </si>
  <si>
    <t>p. 4116</t>
  </si>
  <si>
    <t>od města</t>
  </si>
  <si>
    <t>v tis.Kč</t>
  </si>
  <si>
    <t>p. 4131</t>
  </si>
  <si>
    <t xml:space="preserve">Převody z vlastních fondů </t>
  </si>
  <si>
    <t>Převody z ostatních vlastních fondů</t>
  </si>
  <si>
    <t>hospodářské činnosti</t>
  </si>
  <si>
    <t>účto</t>
  </si>
  <si>
    <t>p. 4132</t>
  </si>
  <si>
    <t>p. 4213</t>
  </si>
  <si>
    <t xml:space="preserve">         B Ě Ž N É   V Ý D A J E</t>
  </si>
  <si>
    <t xml:space="preserve">                  str. 3.1</t>
  </si>
  <si>
    <t>Neinv.transfery příspěv.a podob. org.</t>
  </si>
  <si>
    <t>Ostatní  běžné  výdaje</t>
  </si>
  <si>
    <t>p. 5141</t>
  </si>
  <si>
    <t>p. 5366</t>
  </si>
  <si>
    <t>p. 5321</t>
  </si>
  <si>
    <t>p. 533x</t>
  </si>
  <si>
    <t>zbýv. tř. 5</t>
  </si>
  <si>
    <t>tř.5</t>
  </si>
  <si>
    <t>p.5141</t>
  </si>
  <si>
    <t>p.5366</t>
  </si>
  <si>
    <t>p.5321</t>
  </si>
  <si>
    <t>p.533x</t>
  </si>
  <si>
    <t>zbýv.pol.tř.5</t>
  </si>
  <si>
    <t>s tab. Př. A výd.</t>
  </si>
  <si>
    <t>tř. 5</t>
  </si>
  <si>
    <t>K A P I T Á L O V É      V Ý D A J E</t>
  </si>
  <si>
    <t>str. 3.2</t>
  </si>
  <si>
    <t>K A P I T Á L O V É     V Ý D A J E</t>
  </si>
  <si>
    <t xml:space="preserve">žáků MŠ a ZŠ </t>
  </si>
  <si>
    <t>P ř í j m y   z   p r o d e j e    d l o u h o d o b é h o    m a j e t k u  (kromě drobného)</t>
  </si>
  <si>
    <t xml:space="preserve">   O D  K R A J E</t>
  </si>
  <si>
    <t>p. 4122</t>
  </si>
  <si>
    <t>p. 4222</t>
  </si>
  <si>
    <t>p. 4216</t>
  </si>
  <si>
    <t>Ostatní investiční přijaté</t>
  </si>
  <si>
    <t xml:space="preserve">Změna stavu krátkodobých prostředků </t>
  </si>
  <si>
    <t>na bankovních účtech</t>
  </si>
  <si>
    <t>Uhrazené splátky dlouhodobých</t>
  </si>
  <si>
    <t>přijatých prostředků - úvěry</t>
  </si>
  <si>
    <t>p. 8124</t>
  </si>
  <si>
    <t>p.214x</t>
  </si>
  <si>
    <t>F I N A N C O VÁ N Í</t>
  </si>
  <si>
    <t>Přijaté transfery</t>
  </si>
  <si>
    <t>transfery ze státního rozpočtu</t>
  </si>
  <si>
    <t>Investiční přijaté transfery od krajů</t>
  </si>
  <si>
    <t>ostatní transfery ze SR</t>
  </si>
  <si>
    <t>skutečnost</t>
  </si>
  <si>
    <t>p. 2226</t>
  </si>
  <si>
    <t>kapitálové příjmy celkem</t>
  </si>
  <si>
    <t>Vlastní příjmy celkem</t>
  </si>
  <si>
    <t>1 + 2 + 3</t>
  </si>
  <si>
    <t xml:space="preserve">Investiční přijaté transfery </t>
  </si>
  <si>
    <t>kontrola</t>
  </si>
  <si>
    <t>financování celkem</t>
  </si>
  <si>
    <t>čerpání</t>
  </si>
  <si>
    <t>K  A  P  I  T  Á  L  O  V  É       V  Ý  D  A  J  E</t>
  </si>
  <si>
    <t>zbývající pol. třídy 5</t>
  </si>
  <si>
    <t>p. 4240</t>
  </si>
  <si>
    <t>ze státních finančních aktiv</t>
  </si>
  <si>
    <t>k 31.12.2008</t>
  </si>
  <si>
    <t>k 31.12.</t>
  </si>
  <si>
    <t>str. 2.2</t>
  </si>
  <si>
    <t>Investiční transfery z rozpočtu města</t>
  </si>
  <si>
    <t xml:space="preserve">       Jiné nedaňové příjmy</t>
  </si>
  <si>
    <t xml:space="preserve">Aktivní krátkodobé operace </t>
  </si>
  <si>
    <t>řízení likvidity</t>
  </si>
  <si>
    <t xml:space="preserve">Aktivní dlouhodobé operace </t>
  </si>
  <si>
    <t>p. 8117, 8118</t>
  </si>
  <si>
    <t>p. 8127, 8128</t>
  </si>
  <si>
    <t>v Kč</t>
  </si>
  <si>
    <t>zbývající pol. třídy 2</t>
  </si>
  <si>
    <t xml:space="preserve"> v  tom  :</t>
  </si>
  <si>
    <t xml:space="preserve"> v  tom (zdroj) :</t>
  </si>
  <si>
    <t>(s ORG, ÚZ, bez označení)</t>
  </si>
  <si>
    <t>rozpočtu státních fondů a Jihomoravského kraje</t>
  </si>
  <si>
    <t>Ostatní kapitálové výdaje</t>
  </si>
  <si>
    <t>kontrola k 31.12.2009</t>
  </si>
  <si>
    <t>str. 2.5a</t>
  </si>
  <si>
    <t xml:space="preserve">str. 2.6 </t>
  </si>
  <si>
    <t>Brno-střed</t>
  </si>
  <si>
    <t>Brno-Bohunice</t>
  </si>
  <si>
    <t>Brno-Starý Lískovec</t>
  </si>
  <si>
    <t>Brno-Nový Lískovec</t>
  </si>
  <si>
    <t>Brno-Kohoutovice</t>
  </si>
  <si>
    <t>Brno-Bosonohy</t>
  </si>
  <si>
    <t>Brno-Žabovřesky</t>
  </si>
  <si>
    <t>Brno-Bystrc</t>
  </si>
  <si>
    <t>Brno-Kníničky</t>
  </si>
  <si>
    <t>Brno-Komín</t>
  </si>
  <si>
    <t>Brno-Jundrov</t>
  </si>
  <si>
    <t>Brno-Žebětín</t>
  </si>
  <si>
    <t>Brno-sever</t>
  </si>
  <si>
    <t>Brno-Maloměřice a Obřany</t>
  </si>
  <si>
    <t>Brno-Židenice</t>
  </si>
  <si>
    <t>Brno-Černovice</t>
  </si>
  <si>
    <t>Brno-jih</t>
  </si>
  <si>
    <t>Brno-Vinohrady</t>
  </si>
  <si>
    <t>Brno-Líšeň</t>
  </si>
  <si>
    <t>Brno-Slatina</t>
  </si>
  <si>
    <t>Brno-Tuřany</t>
  </si>
  <si>
    <t>Brno-Chrlice</t>
  </si>
  <si>
    <t>Brno-Královo Pole</t>
  </si>
  <si>
    <t>Brno-Medlánky</t>
  </si>
  <si>
    <t>Brno-Řečkovice a Mokrá Hora</t>
  </si>
  <si>
    <t>Brno-Ivanovice</t>
  </si>
  <si>
    <t>Brno-Jehnice</t>
  </si>
  <si>
    <t>Brno-Ořešín</t>
  </si>
  <si>
    <t>Brno-Útěchov</t>
  </si>
  <si>
    <t>sap 4* po konsol.</t>
  </si>
  <si>
    <t>Skut.</t>
  </si>
  <si>
    <t>Nedaňové příjmy celkem</t>
  </si>
  <si>
    <t>SAP</t>
  </si>
  <si>
    <t>pokles o</t>
  </si>
  <si>
    <t>Výnosy z finančního majetku</t>
  </si>
  <si>
    <t>p. 8115, 8901</t>
  </si>
  <si>
    <t xml:space="preserve">Transfery poskytnuté ze státního rozpočtu, </t>
  </si>
  <si>
    <t>Městská část</t>
  </si>
  <si>
    <t>T R A N S F E R Y - investiční</t>
  </si>
  <si>
    <t>T R A N S F E R Y     -     neinvestiční  a převody z vlastních fondů</t>
  </si>
  <si>
    <t>o</t>
  </si>
  <si>
    <t>Schválený rozpočet</t>
  </si>
  <si>
    <t>Upravený rozpočet</t>
  </si>
  <si>
    <t>Celkem  :</t>
  </si>
  <si>
    <t xml:space="preserve"> v tis. Kč</t>
  </si>
  <si>
    <t xml:space="preserve"> str. 2.5 </t>
  </si>
  <si>
    <t>str. 2.3</t>
  </si>
  <si>
    <t xml:space="preserve"> str. 2.4</t>
  </si>
  <si>
    <t xml:space="preserve">str. 3 </t>
  </si>
  <si>
    <t>str. 3.1</t>
  </si>
  <si>
    <t>str. 4</t>
  </si>
  <si>
    <t>ze vstupného</t>
  </si>
  <si>
    <t xml:space="preserve">Celkem   : </t>
  </si>
  <si>
    <t>vlastní 2012</t>
  </si>
  <si>
    <t>vlastní 2011</t>
  </si>
  <si>
    <t>Fin. prostředky městských částí na ZBÚ a ve fondech                (účet 231 + 236)</t>
  </si>
  <si>
    <t>O s t a t n í   k a p i t á l o v é  p ř í j m y   ( dary, příspěvky )</t>
  </si>
  <si>
    <t>Skutečnost k 31.12.2014</t>
  </si>
  <si>
    <t>Převody z ostatních</t>
  </si>
  <si>
    <t>vlastních fondů</t>
  </si>
  <si>
    <t xml:space="preserve"> T  R A N S F E R Y    -     neinvestiční (2. část)  a  převody z ostatních vlastních fondů</t>
  </si>
  <si>
    <t>Úroky a ostatní finanční výdaje</t>
  </si>
  <si>
    <t>p. 514x</t>
  </si>
  <si>
    <t>dle JT</t>
  </si>
  <si>
    <t>B  Ě  Ž  N  É         V  Ý  D  A  J  E</t>
  </si>
  <si>
    <t>B  Ě  Ž  N  É     V Ý D A J E</t>
  </si>
  <si>
    <t>B Ě Ž N É      V Ý D A J E</t>
  </si>
  <si>
    <t>PLNĚNÍ  ROZPOČTŮ  MĚSTSKÝCH  ČÁSTÍ  LEDEN  - PROSINEC 2015</t>
  </si>
  <si>
    <t>Skutečnost k 31.12.2015</t>
  </si>
  <si>
    <t>rok   2015</t>
  </si>
  <si>
    <t>(včetně FV 2014)</t>
  </si>
  <si>
    <t xml:space="preserve">       Finanční vypořádání r. 2014</t>
  </si>
  <si>
    <t>Odvody přebytků organizací s přímým vztahem</t>
  </si>
  <si>
    <t>p. 4137</t>
  </si>
  <si>
    <t>na investiční výdaje</t>
  </si>
  <si>
    <t xml:space="preserve"> finanční vypořádání roku 2015</t>
  </si>
  <si>
    <t>od jiných MČ</t>
  </si>
  <si>
    <t xml:space="preserve">   O D  O B C Í</t>
  </si>
  <si>
    <t>p. 4223</t>
  </si>
  <si>
    <t>od regionálních rad</t>
  </si>
  <si>
    <t>Neinv. transfery obcím</t>
  </si>
  <si>
    <t>Převody mezi městem a MČ, mezi MČ</t>
  </si>
  <si>
    <t>p. 5347</t>
  </si>
  <si>
    <t>z toho:</t>
  </si>
  <si>
    <t>ze  státního rozpočtu</t>
  </si>
  <si>
    <t xml:space="preserve"> v rámci souhr. dotačního vztahu </t>
  </si>
  <si>
    <t>finanční vypořádání roku 2014</t>
  </si>
  <si>
    <t>na neinvestiční výdaje</t>
  </si>
  <si>
    <t>p. 4121</t>
  </si>
  <si>
    <t>PLNĚNÍ  ROZPOČTŮ  MĚSTSKÝCH  ČÁSTÍ  LEDEN - PROSINEC 2015</t>
  </si>
  <si>
    <t>ČERPÁNÍ   ROZPOČTŮ  MĚSTSKÝCH  ČÁSTÍ  LEDEN - PROSINEC 2015</t>
  </si>
  <si>
    <t>ČERPÁNÍ  ROZPOČTŮ  MĚSTSKÝCH  ČÁSTÍ  LEDEN  - PROSINEC 2015</t>
  </si>
  <si>
    <t>ČERPÁNÍ  ROZPOČTŮ  MĚSTSKÝCH  ČÁSTÍ  LEDEN - PROSINEC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</si>
</sst>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 x14ac:knownFonts="1">
    <font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 CE"/>
      <charset val="238"/>
    </font>
    <font>
      <sz val="10"/>
      <name val="Times New Roman CE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</patternFill>
    </fill>
  </fills>
  <borders count="8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58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8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4" fillId="34" borderId="0"/>
    <xf numFmtId="0" fontId="24" fillId="34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0" fontId="1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/>
  </cellStyleXfs>
  <cellXfs count="431">
    <xf numFmtId="0" fontId="0" fillId="0" borderId="0" xfId="0"/>
    <xf numFmtId="0" fontId="26" fillId="33" borderId="0" xfId="0" applyFont="1" applyFill="1"/>
    <xf numFmtId="0" fontId="28" fillId="33" borderId="0" xfId="0" applyFont="1" applyFill="1"/>
    <xf numFmtId="3" fontId="26" fillId="33" borderId="0" xfId="0" applyNumberFormat="1" applyFont="1" applyFill="1" applyBorder="1"/>
    <xf numFmtId="3" fontId="26" fillId="33" borderId="0" xfId="0" applyNumberFormat="1" applyFont="1" applyFill="1"/>
    <xf numFmtId="0" fontId="30" fillId="33" borderId="0" xfId="0" applyFont="1" applyFill="1"/>
    <xf numFmtId="3" fontId="28" fillId="33" borderId="0" xfId="0" applyNumberFormat="1" applyFont="1" applyFill="1"/>
    <xf numFmtId="0" fontId="26" fillId="0" borderId="0" xfId="0" applyFont="1" applyFill="1"/>
    <xf numFmtId="0" fontId="27" fillId="0" borderId="0" xfId="0" applyFont="1" applyFill="1" applyAlignment="1">
      <alignment vertical="center"/>
    </xf>
    <xf numFmtId="0" fontId="27" fillId="0" borderId="0" xfId="0" applyFont="1" applyFill="1"/>
    <xf numFmtId="0" fontId="28" fillId="0" borderId="0" xfId="0" applyFont="1" applyFill="1" applyAlignment="1">
      <alignment horizontal="right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/>
    <xf numFmtId="0" fontId="26" fillId="0" borderId="0" xfId="0" applyFont="1" applyFill="1"/>
    <xf numFmtId="0" fontId="27" fillId="0" borderId="0" xfId="0" applyFont="1" applyFill="1"/>
    <xf numFmtId="0" fontId="32" fillId="0" borderId="0" xfId="0" applyFont="1" applyFill="1" applyAlignment="1"/>
    <xf numFmtId="0" fontId="32" fillId="0" borderId="0" xfId="0" applyFont="1" applyFill="1"/>
    <xf numFmtId="0" fontId="28" fillId="0" borderId="61" xfId="0" applyFont="1" applyFill="1" applyBorder="1" applyAlignment="1">
      <alignment horizontal="center"/>
    </xf>
    <xf numFmtId="0" fontId="28" fillId="0" borderId="29" xfId="0" applyFont="1" applyFill="1" applyBorder="1" applyAlignment="1">
      <alignment horizontal="center"/>
    </xf>
    <xf numFmtId="0" fontId="28" fillId="0" borderId="47" xfId="0" applyFont="1" applyFill="1" applyBorder="1" applyAlignment="1">
      <alignment horizontal="center"/>
    </xf>
    <xf numFmtId="0" fontId="28" fillId="0" borderId="36" xfId="0" applyFont="1" applyFill="1" applyBorder="1"/>
    <xf numFmtId="3" fontId="26" fillId="0" borderId="11" xfId="0" applyNumberFormat="1" applyFont="1" applyFill="1" applyBorder="1"/>
    <xf numFmtId="3" fontId="26" fillId="0" borderId="10" xfId="0" applyNumberFormat="1" applyFont="1" applyFill="1" applyBorder="1"/>
    <xf numFmtId="164" fontId="26" fillId="0" borderId="33" xfId="0" applyNumberFormat="1" applyFont="1" applyFill="1" applyBorder="1"/>
    <xf numFmtId="0" fontId="28" fillId="0" borderId="37" xfId="0" applyFont="1" applyFill="1" applyBorder="1"/>
    <xf numFmtId="3" fontId="26" fillId="0" borderId="34" xfId="0" applyNumberFormat="1" applyFont="1" applyFill="1" applyBorder="1"/>
    <xf numFmtId="3" fontId="26" fillId="0" borderId="21" xfId="0" applyNumberFormat="1" applyFont="1" applyFill="1" applyBorder="1"/>
    <xf numFmtId="164" fontId="26" fillId="0" borderId="22" xfId="0" applyNumberFormat="1" applyFont="1" applyFill="1" applyBorder="1"/>
    <xf numFmtId="0" fontId="28" fillId="0" borderId="41" xfId="0" applyFont="1" applyFill="1" applyBorder="1"/>
    <xf numFmtId="3" fontId="26" fillId="0" borderId="42" xfId="0" applyNumberFormat="1" applyFont="1" applyFill="1" applyBorder="1"/>
    <xf numFmtId="3" fontId="26" fillId="0" borderId="43" xfId="0" applyNumberFormat="1" applyFont="1" applyFill="1" applyBorder="1"/>
    <xf numFmtId="164" fontId="26" fillId="0" borderId="44" xfId="0" applyNumberFormat="1" applyFont="1" applyFill="1" applyBorder="1"/>
    <xf numFmtId="0" fontId="26" fillId="0" borderId="31" xfId="0" applyFont="1" applyFill="1" applyBorder="1"/>
    <xf numFmtId="0" fontId="26" fillId="0" borderId="0" xfId="0" applyFont="1" applyFill="1" applyBorder="1"/>
    <xf numFmtId="0" fontId="26" fillId="0" borderId="32" xfId="0" applyFont="1" applyFill="1" applyBorder="1"/>
    <xf numFmtId="164" fontId="26" fillId="0" borderId="32" xfId="0" applyNumberFormat="1" applyFont="1" applyFill="1" applyBorder="1"/>
    <xf numFmtId="3" fontId="28" fillId="0" borderId="38" xfId="0" applyNumberFormat="1" applyFont="1" applyFill="1" applyBorder="1"/>
    <xf numFmtId="3" fontId="28" fillId="0" borderId="49" xfId="0" applyNumberFormat="1" applyFont="1" applyFill="1" applyBorder="1"/>
    <xf numFmtId="3" fontId="28" fillId="0" borderId="69" xfId="0" applyNumberFormat="1" applyFont="1" applyFill="1" applyBorder="1"/>
    <xf numFmtId="164" fontId="28" fillId="0" borderId="39" xfId="0" applyNumberFormat="1" applyFont="1" applyFill="1" applyBorder="1"/>
    <xf numFmtId="3" fontId="26" fillId="0" borderId="0" xfId="0" applyNumberFormat="1" applyFont="1" applyFill="1"/>
    <xf numFmtId="3" fontId="28" fillId="0" borderId="48" xfId="0" applyNumberFormat="1" applyFont="1" applyFill="1" applyBorder="1"/>
    <xf numFmtId="3" fontId="28" fillId="0" borderId="40" xfId="0" applyNumberFormat="1" applyFont="1" applyFill="1" applyBorder="1"/>
    <xf numFmtId="164" fontId="28" fillId="0" borderId="50" xfId="0" applyNumberFormat="1" applyFont="1" applyFill="1" applyBorder="1"/>
    <xf numFmtId="0" fontId="28" fillId="0" borderId="24" xfId="0" applyFont="1" applyFill="1" applyBorder="1"/>
    <xf numFmtId="0" fontId="28" fillId="0" borderId="15" xfId="0" applyFont="1" applyFill="1" applyBorder="1"/>
    <xf numFmtId="4" fontId="26" fillId="0" borderId="0" xfId="0" applyNumberFormat="1" applyFont="1" applyFill="1"/>
    <xf numFmtId="0" fontId="27" fillId="0" borderId="0" xfId="0" applyFont="1" applyFill="1"/>
    <xf numFmtId="0" fontId="28" fillId="0" borderId="0" xfId="0" applyFont="1" applyFill="1"/>
    <xf numFmtId="0" fontId="26" fillId="0" borderId="0" xfId="0" applyFont="1" applyFill="1"/>
    <xf numFmtId="3" fontId="26" fillId="0" borderId="31" xfId="0" applyNumberFormat="1" applyFont="1" applyFill="1" applyBorder="1"/>
    <xf numFmtId="3" fontId="26" fillId="0" borderId="0" xfId="0" applyNumberFormat="1" applyFont="1" applyFill="1" applyBorder="1"/>
    <xf numFmtId="0" fontId="26" fillId="0" borderId="0" xfId="0" applyFont="1" applyFill="1" applyAlignment="1">
      <alignment horizontal="center"/>
    </xf>
    <xf numFmtId="0" fontId="28" fillId="0" borderId="0" xfId="0" applyFont="1" applyFill="1" applyBorder="1"/>
    <xf numFmtId="0" fontId="27" fillId="0" borderId="0" xfId="0" applyFont="1" applyFill="1" applyBorder="1"/>
    <xf numFmtId="3" fontId="26" fillId="0" borderId="0" xfId="0" applyNumberFormat="1" applyFont="1" applyFill="1" applyBorder="1" applyAlignment="1">
      <alignment horizontal="left"/>
    </xf>
    <xf numFmtId="0" fontId="29" fillId="0" borderId="61" xfId="0" applyFont="1" applyFill="1" applyBorder="1" applyAlignment="1">
      <alignment horizontal="center"/>
    </xf>
    <xf numFmtId="0" fontId="29" fillId="0" borderId="29" xfId="0" applyFont="1" applyFill="1" applyBorder="1" applyAlignment="1">
      <alignment horizontal="center"/>
    </xf>
    <xf numFmtId="3" fontId="26" fillId="0" borderId="0" xfId="136" applyNumberFormat="1" applyFont="1" applyFill="1" applyBorder="1"/>
    <xf numFmtId="0" fontId="26" fillId="0" borderId="54" xfId="0" applyFont="1" applyFill="1" applyBorder="1"/>
    <xf numFmtId="0" fontId="26" fillId="0" borderId="56" xfId="0" applyFont="1" applyFill="1" applyBorder="1"/>
    <xf numFmtId="0" fontId="26" fillId="0" borderId="57" xfId="0" applyFont="1" applyFill="1" applyBorder="1"/>
    <xf numFmtId="3" fontId="26" fillId="0" borderId="73" xfId="0" applyNumberFormat="1" applyFont="1" applyFill="1" applyBorder="1"/>
    <xf numFmtId="3" fontId="26" fillId="0" borderId="14" xfId="0" applyNumberFormat="1" applyFont="1" applyFill="1" applyBorder="1"/>
    <xf numFmtId="164" fontId="26" fillId="0" borderId="72" xfId="0" applyNumberFormat="1" applyFont="1" applyFill="1" applyBorder="1"/>
    <xf numFmtId="3" fontId="26" fillId="33" borderId="74" xfId="0" applyNumberFormat="1" applyFont="1" applyFill="1" applyBorder="1"/>
    <xf numFmtId="3" fontId="28" fillId="0" borderId="0" xfId="0" applyNumberFormat="1" applyFont="1" applyFill="1"/>
    <xf numFmtId="0" fontId="28" fillId="0" borderId="13" xfId="0" applyFont="1" applyFill="1" applyBorder="1" applyAlignment="1">
      <alignment horizontal="center"/>
    </xf>
    <xf numFmtId="0" fontId="28" fillId="0" borderId="14" xfId="0" applyFont="1" applyFill="1" applyBorder="1"/>
    <xf numFmtId="0" fontId="28" fillId="0" borderId="20" xfId="0" applyFont="1" applyFill="1" applyBorder="1" applyAlignment="1">
      <alignment horizontal="center"/>
    </xf>
    <xf numFmtId="0" fontId="28" fillId="0" borderId="21" xfId="0" applyFont="1" applyFill="1" applyBorder="1"/>
    <xf numFmtId="0" fontId="26" fillId="0" borderId="43" xfId="0" applyFont="1" applyFill="1" applyBorder="1"/>
    <xf numFmtId="0" fontId="26" fillId="0" borderId="10" xfId="0" applyFont="1" applyFill="1" applyBorder="1"/>
    <xf numFmtId="0" fontId="26" fillId="0" borderId="21" xfId="0" applyFont="1" applyFill="1" applyBorder="1"/>
    <xf numFmtId="0" fontId="28" fillId="0" borderId="49" xfId="0" applyFont="1" applyFill="1" applyBorder="1"/>
    <xf numFmtId="164" fontId="26" fillId="0" borderId="0" xfId="0" applyNumberFormat="1" applyFont="1" applyFill="1"/>
    <xf numFmtId="0" fontId="27" fillId="0" borderId="0" xfId="0" applyFont="1" applyFill="1" applyAlignment="1">
      <alignment horizontal="center"/>
    </xf>
    <xf numFmtId="0" fontId="27" fillId="0" borderId="0" xfId="0" applyFont="1" applyFill="1"/>
    <xf numFmtId="0" fontId="28" fillId="0" borderId="0" xfId="0" applyFont="1" applyFill="1"/>
    <xf numFmtId="0" fontId="26" fillId="0" borderId="0" xfId="0" applyFont="1" applyFill="1"/>
    <xf numFmtId="0" fontId="26" fillId="0" borderId="53" xfId="0" applyFont="1" applyFill="1" applyBorder="1"/>
    <xf numFmtId="0" fontId="26" fillId="0" borderId="58" xfId="0" applyFont="1" applyFill="1" applyBorder="1"/>
    <xf numFmtId="0" fontId="26" fillId="0" borderId="63" xfId="0" applyFont="1" applyFill="1" applyBorder="1"/>
    <xf numFmtId="0" fontId="26" fillId="0" borderId="67" xfId="0" applyFont="1" applyFill="1" applyBorder="1"/>
    <xf numFmtId="0" fontId="28" fillId="0" borderId="54" xfId="0" applyFont="1" applyFill="1" applyBorder="1"/>
    <xf numFmtId="0" fontId="28" fillId="0" borderId="56" xfId="0" applyFont="1" applyFill="1" applyBorder="1"/>
    <xf numFmtId="0" fontId="28" fillId="0" borderId="57" xfId="0" applyFont="1" applyFill="1" applyBorder="1"/>
    <xf numFmtId="0" fontId="28" fillId="0" borderId="24" xfId="0" applyFont="1" applyFill="1" applyBorder="1" applyAlignment="1">
      <alignment vertical="center"/>
    </xf>
    <xf numFmtId="0" fontId="28" fillId="0" borderId="25" xfId="0" applyFont="1" applyFill="1" applyBorder="1"/>
    <xf numFmtId="0" fontId="26" fillId="0" borderId="64" xfId="0" applyFont="1" applyFill="1" applyBorder="1"/>
    <xf numFmtId="0" fontId="26" fillId="0" borderId="68" xfId="0" applyFont="1" applyFill="1" applyBorder="1"/>
    <xf numFmtId="0" fontId="28" fillId="0" borderId="38" xfId="0" applyFont="1" applyFill="1" applyBorder="1"/>
    <xf numFmtId="0" fontId="28" fillId="0" borderId="40" xfId="0" applyFont="1" applyFill="1" applyBorder="1"/>
    <xf numFmtId="0" fontId="28" fillId="0" borderId="69" xfId="0" applyFont="1" applyFill="1" applyBorder="1"/>
    <xf numFmtId="0" fontId="28" fillId="0" borderId="55" xfId="0" applyFont="1" applyFill="1" applyBorder="1"/>
    <xf numFmtId="0" fontId="26" fillId="0" borderId="50" xfId="0" applyFont="1" applyFill="1" applyBorder="1"/>
    <xf numFmtId="0" fontId="28" fillId="0" borderId="31" xfId="0" applyFont="1" applyFill="1" applyBorder="1"/>
    <xf numFmtId="0" fontId="26" fillId="0" borderId="0" xfId="0" applyFont="1" applyFill="1" applyBorder="1"/>
    <xf numFmtId="0" fontId="26" fillId="0" borderId="32" xfId="0" applyFont="1" applyFill="1" applyBorder="1"/>
    <xf numFmtId="0" fontId="28" fillId="0" borderId="32" xfId="0" applyFont="1" applyFill="1" applyBorder="1"/>
    <xf numFmtId="0" fontId="29" fillId="0" borderId="65" xfId="0" applyFont="1" applyFill="1" applyBorder="1" applyAlignment="1">
      <alignment horizontal="center"/>
    </xf>
    <xf numFmtId="0" fontId="29" fillId="0" borderId="66" xfId="0" applyFont="1" applyFill="1" applyBorder="1" applyAlignment="1">
      <alignment horizontal="center"/>
    </xf>
    <xf numFmtId="0" fontId="29" fillId="0" borderId="47" xfId="0" applyFont="1" applyFill="1" applyBorder="1" applyAlignment="1">
      <alignment horizontal="center"/>
    </xf>
    <xf numFmtId="0" fontId="28" fillId="0" borderId="70" xfId="0" applyFont="1" applyFill="1" applyBorder="1"/>
    <xf numFmtId="0" fontId="28" fillId="0" borderId="71" xfId="0" applyFont="1" applyFill="1" applyBorder="1"/>
    <xf numFmtId="0" fontId="28" fillId="0" borderId="26" xfId="0" applyFont="1" applyFill="1" applyBorder="1"/>
    <xf numFmtId="0" fontId="28" fillId="0" borderId="48" xfId="0" applyFont="1" applyFill="1" applyBorder="1"/>
    <xf numFmtId="3" fontId="31" fillId="0" borderId="11" xfId="0" applyNumberFormat="1" applyFont="1" applyFill="1" applyBorder="1"/>
    <xf numFmtId="3" fontId="31" fillId="0" borderId="10" xfId="0" applyNumberFormat="1" applyFont="1" applyFill="1" applyBorder="1"/>
    <xf numFmtId="0" fontId="28" fillId="0" borderId="12" xfId="0" applyFont="1" applyFill="1" applyBorder="1" applyAlignment="1">
      <alignment horizontal="center"/>
    </xf>
    <xf numFmtId="0" fontId="28" fillId="0" borderId="10" xfId="0" applyFont="1" applyFill="1" applyBorder="1"/>
    <xf numFmtId="0" fontId="28" fillId="0" borderId="28" xfId="0" applyFont="1" applyFill="1" applyBorder="1" applyAlignment="1">
      <alignment horizontal="center"/>
    </xf>
    <xf numFmtId="3" fontId="26" fillId="0" borderId="0" xfId="0" applyNumberFormat="1" applyFont="1" applyFill="1" applyAlignment="1">
      <alignment horizontal="right"/>
    </xf>
    <xf numFmtId="3" fontId="26" fillId="0" borderId="63" xfId="0" applyNumberFormat="1" applyFont="1" applyFill="1" applyBorder="1"/>
    <xf numFmtId="3" fontId="26" fillId="0" borderId="53" xfId="0" applyNumberFormat="1" applyFont="1" applyFill="1" applyBorder="1"/>
    <xf numFmtId="3" fontId="26" fillId="0" borderId="64" xfId="0" applyNumberFormat="1" applyFont="1" applyFill="1" applyBorder="1"/>
    <xf numFmtId="3" fontId="28" fillId="0" borderId="55" xfId="0" applyNumberFormat="1" applyFont="1" applyFill="1" applyBorder="1"/>
    <xf numFmtId="164" fontId="26" fillId="0" borderId="29" xfId="0" applyNumberFormat="1" applyFont="1" applyFill="1" applyBorder="1"/>
    <xf numFmtId="0" fontId="31" fillId="0" borderId="11" xfId="41" applyFont="1" applyFill="1" applyBorder="1"/>
    <xf numFmtId="0" fontId="31" fillId="0" borderId="10" xfId="41" applyFont="1" applyFill="1" applyBorder="1"/>
    <xf numFmtId="3" fontId="31" fillId="0" borderId="11" xfId="56" applyNumberFormat="1" applyFont="1" applyFill="1" applyBorder="1"/>
    <xf numFmtId="3" fontId="31" fillId="0" borderId="10" xfId="56" applyNumberFormat="1" applyFont="1" applyFill="1" applyBorder="1"/>
    <xf numFmtId="3" fontId="31" fillId="0" borderId="11" xfId="60" applyNumberFormat="1" applyFont="1" applyFill="1" applyBorder="1"/>
    <xf numFmtId="3" fontId="31" fillId="0" borderId="10" xfId="60" applyNumberFormat="1" applyFont="1" applyFill="1" applyBorder="1"/>
    <xf numFmtId="3" fontId="31" fillId="0" borderId="11" xfId="55" applyNumberFormat="1" applyFont="1" applyFill="1" applyBorder="1"/>
    <xf numFmtId="3" fontId="31" fillId="0" borderId="10" xfId="55" applyNumberFormat="1" applyFont="1" applyFill="1" applyBorder="1"/>
    <xf numFmtId="3" fontId="31" fillId="0" borderId="11" xfId="51" applyNumberFormat="1" applyFont="1" applyFill="1" applyBorder="1"/>
    <xf numFmtId="3" fontId="31" fillId="0" borderId="10" xfId="51" applyNumberFormat="1" applyFont="1" applyFill="1" applyBorder="1"/>
    <xf numFmtId="3" fontId="31" fillId="0" borderId="11" xfId="43" applyNumberFormat="1" applyFont="1" applyFill="1" applyBorder="1"/>
    <xf numFmtId="3" fontId="31" fillId="0" borderId="10" xfId="43" applyNumberFormat="1" applyFont="1" applyFill="1" applyBorder="1"/>
    <xf numFmtId="3" fontId="31" fillId="0" borderId="11" xfId="59" applyNumberFormat="1" applyFont="1" applyFill="1" applyBorder="1"/>
    <xf numFmtId="3" fontId="31" fillId="0" borderId="10" xfId="59" applyNumberFormat="1" applyFont="1" applyFill="1" applyBorder="1"/>
    <xf numFmtId="3" fontId="31" fillId="0" borderId="11" xfId="58" applyNumberFormat="1" applyFont="1" applyFill="1" applyBorder="1"/>
    <xf numFmtId="3" fontId="31" fillId="0" borderId="10" xfId="58" applyNumberFormat="1" applyFont="1" applyFill="1" applyBorder="1"/>
    <xf numFmtId="3" fontId="31" fillId="0" borderId="11" xfId="62" applyNumberFormat="1" applyFont="1" applyFill="1" applyBorder="1"/>
    <xf numFmtId="3" fontId="31" fillId="0" borderId="10" xfId="62" applyNumberFormat="1" applyFont="1" applyFill="1" applyBorder="1"/>
    <xf numFmtId="0" fontId="26" fillId="0" borderId="42" xfId="0" applyFont="1" applyFill="1" applyBorder="1"/>
    <xf numFmtId="0" fontId="26" fillId="0" borderId="11" xfId="0" applyFont="1" applyFill="1" applyBorder="1"/>
    <xf numFmtId="0" fontId="31" fillId="0" borderId="11" xfId="69" applyFont="1" applyFill="1" applyBorder="1"/>
    <xf numFmtId="0" fontId="31" fillId="0" borderId="10" xfId="69" applyFont="1" applyFill="1" applyBorder="1"/>
    <xf numFmtId="3" fontId="31" fillId="0" borderId="11" xfId="68" applyNumberFormat="1" applyFont="1" applyFill="1" applyBorder="1"/>
    <xf numFmtId="3" fontId="31" fillId="0" borderId="10" xfId="68" applyNumberFormat="1" applyFont="1" applyFill="1" applyBorder="1"/>
    <xf numFmtId="0" fontId="26" fillId="0" borderId="34" xfId="0" applyFont="1" applyFill="1" applyBorder="1"/>
    <xf numFmtId="0" fontId="26" fillId="0" borderId="74" xfId="0" applyFont="1" applyFill="1" applyBorder="1"/>
    <xf numFmtId="0" fontId="26" fillId="0" borderId="73" xfId="0" applyFont="1" applyFill="1" applyBorder="1"/>
    <xf numFmtId="0" fontId="26" fillId="0" borderId="14" xfId="0" applyFont="1" applyFill="1" applyBorder="1"/>
    <xf numFmtId="3" fontId="31" fillId="0" borderId="11" xfId="78" applyNumberFormat="1" applyFont="1" applyFill="1" applyBorder="1"/>
    <xf numFmtId="3" fontId="31" fillId="0" borderId="10" xfId="78" applyNumberFormat="1" applyFont="1" applyFill="1" applyBorder="1"/>
    <xf numFmtId="3" fontId="31" fillId="0" borderId="11" xfId="98" applyNumberFormat="1" applyFont="1" applyFill="1" applyBorder="1"/>
    <xf numFmtId="3" fontId="31" fillId="0" borderId="10" xfId="98" applyNumberFormat="1" applyFont="1" applyFill="1" applyBorder="1"/>
    <xf numFmtId="3" fontId="31" fillId="0" borderId="11" xfId="84" applyNumberFormat="1" applyFont="1" applyFill="1" applyBorder="1"/>
    <xf numFmtId="3" fontId="31" fillId="0" borderId="10" xfId="84" applyNumberFormat="1" applyFont="1" applyFill="1" applyBorder="1"/>
    <xf numFmtId="3" fontId="31" fillId="0" borderId="11" xfId="97" applyNumberFormat="1" applyFont="1" applyFill="1" applyBorder="1"/>
    <xf numFmtId="3" fontId="31" fillId="0" borderId="10" xfId="97" applyNumberFormat="1" applyFont="1" applyFill="1" applyBorder="1"/>
    <xf numFmtId="3" fontId="31" fillId="0" borderId="11" xfId="88" applyNumberFormat="1" applyFont="1" applyFill="1" applyBorder="1"/>
    <xf numFmtId="3" fontId="31" fillId="0" borderId="10" xfId="88" applyNumberFormat="1" applyFont="1" applyFill="1" applyBorder="1"/>
    <xf numFmtId="3" fontId="31" fillId="0" borderId="11" xfId="82" applyNumberFormat="1" applyFont="1" applyFill="1" applyBorder="1"/>
    <xf numFmtId="3" fontId="31" fillId="0" borderId="10" xfId="82" applyNumberFormat="1" applyFont="1" applyFill="1" applyBorder="1"/>
    <xf numFmtId="3" fontId="31" fillId="0" borderId="11" xfId="72" applyNumberFormat="1" applyFont="1" applyFill="1" applyBorder="1"/>
    <xf numFmtId="3" fontId="31" fillId="0" borderId="10" xfId="72" applyNumberFormat="1" applyFont="1" applyFill="1" applyBorder="1"/>
    <xf numFmtId="3" fontId="31" fillId="0" borderId="11" xfId="74" applyNumberFormat="1" applyFont="1" applyFill="1" applyBorder="1"/>
    <xf numFmtId="3" fontId="31" fillId="0" borderId="10" xfId="74" applyNumberFormat="1" applyFont="1" applyFill="1" applyBorder="1"/>
    <xf numFmtId="3" fontId="31" fillId="0" borderId="11" xfId="87" applyNumberFormat="1" applyFont="1" applyFill="1" applyBorder="1"/>
    <xf numFmtId="3" fontId="31" fillId="0" borderId="10" xfId="87" applyNumberFormat="1" applyFont="1" applyFill="1" applyBorder="1"/>
    <xf numFmtId="3" fontId="31" fillId="0" borderId="42" xfId="86" applyNumberFormat="1" applyFont="1" applyFill="1" applyBorder="1"/>
    <xf numFmtId="3" fontId="31" fillId="0" borderId="43" xfId="86" applyNumberFormat="1" applyFont="1" applyFill="1" applyBorder="1"/>
    <xf numFmtId="3" fontId="31" fillId="0" borderId="11" xfId="90" applyNumberFormat="1" applyFont="1" applyFill="1" applyBorder="1"/>
    <xf numFmtId="3" fontId="31" fillId="0" borderId="10" xfId="90" applyNumberFormat="1" applyFont="1" applyFill="1" applyBorder="1"/>
    <xf numFmtId="3" fontId="31" fillId="0" borderId="11" xfId="96" applyNumberFormat="1" applyFont="1" applyFill="1" applyBorder="1"/>
    <xf numFmtId="3" fontId="31" fillId="0" borderId="10" xfId="96" applyNumberFormat="1" applyFont="1" applyFill="1" applyBorder="1"/>
    <xf numFmtId="3" fontId="31" fillId="0" borderId="11" xfId="92" applyNumberFormat="1" applyFont="1" applyFill="1" applyBorder="1"/>
    <xf numFmtId="3" fontId="31" fillId="0" borderId="10" xfId="92" applyNumberFormat="1" applyFont="1" applyFill="1" applyBorder="1"/>
    <xf numFmtId="3" fontId="31" fillId="0" borderId="11" xfId="89" applyNumberFormat="1" applyFont="1" applyFill="1" applyBorder="1"/>
    <xf numFmtId="3" fontId="31" fillId="0" borderId="10" xfId="89" applyNumberFormat="1" applyFont="1" applyFill="1" applyBorder="1"/>
    <xf numFmtId="3" fontId="31" fillId="0" borderId="11" xfId="100" applyNumberFormat="1" applyFont="1" applyFill="1" applyBorder="1"/>
    <xf numFmtId="3" fontId="31" fillId="0" borderId="10" xfId="100" applyNumberFormat="1" applyFont="1" applyFill="1" applyBorder="1"/>
    <xf numFmtId="3" fontId="31" fillId="0" borderId="11" xfId="102" applyNumberFormat="1" applyFont="1" applyFill="1" applyBorder="1"/>
    <xf numFmtId="3" fontId="31" fillId="0" borderId="10" xfId="102" applyNumberFormat="1" applyFont="1" applyFill="1" applyBorder="1"/>
    <xf numFmtId="3" fontId="31" fillId="0" borderId="11" xfId="104" applyNumberFormat="1" applyFont="1" applyFill="1" applyBorder="1"/>
    <xf numFmtId="3" fontId="31" fillId="0" borderId="10" xfId="104" applyNumberFormat="1" applyFont="1" applyFill="1" applyBorder="1"/>
    <xf numFmtId="3" fontId="31" fillId="0" borderId="11" xfId="106" applyNumberFormat="1" applyFont="1" applyFill="1" applyBorder="1"/>
    <xf numFmtId="3" fontId="31" fillId="0" borderId="10" xfId="106" applyNumberFormat="1" applyFont="1" applyFill="1" applyBorder="1"/>
    <xf numFmtId="3" fontId="31" fillId="0" borderId="11" xfId="108" applyNumberFormat="1" applyFont="1" applyFill="1" applyBorder="1"/>
    <xf numFmtId="3" fontId="31" fillId="0" borderId="10" xfId="108" applyNumberFormat="1" applyFont="1" applyFill="1" applyBorder="1"/>
    <xf numFmtId="3" fontId="31" fillId="0" borderId="11" xfId="110" applyNumberFormat="1" applyFont="1" applyFill="1" applyBorder="1"/>
    <xf numFmtId="3" fontId="31" fillId="0" borderId="10" xfId="110" applyNumberFormat="1" applyFont="1" applyFill="1" applyBorder="1"/>
    <xf numFmtId="3" fontId="31" fillId="0" borderId="11" xfId="111" applyNumberFormat="1" applyFont="1" applyFill="1" applyBorder="1"/>
    <xf numFmtId="3" fontId="31" fillId="0" borderId="10" xfId="111" applyNumberFormat="1" applyFont="1" applyFill="1" applyBorder="1"/>
    <xf numFmtId="3" fontId="31" fillId="0" borderId="11" xfId="112" applyNumberFormat="1" applyFont="1" applyFill="1" applyBorder="1"/>
    <xf numFmtId="3" fontId="31" fillId="0" borderId="10" xfId="112" applyNumberFormat="1" applyFont="1" applyFill="1" applyBorder="1"/>
    <xf numFmtId="3" fontId="31" fillId="0" borderId="11" xfId="113" applyNumberFormat="1" applyFont="1" applyFill="1" applyBorder="1"/>
    <xf numFmtId="3" fontId="31" fillId="0" borderId="10" xfId="113" applyNumberFormat="1" applyFont="1" applyFill="1" applyBorder="1"/>
    <xf numFmtId="3" fontId="31" fillId="0" borderId="11" xfId="114" applyNumberFormat="1" applyFont="1" applyFill="1" applyBorder="1"/>
    <xf numFmtId="3" fontId="31" fillId="0" borderId="10" xfId="114" applyNumberFormat="1" applyFont="1" applyFill="1" applyBorder="1"/>
    <xf numFmtId="3" fontId="31" fillId="0" borderId="11" xfId="115" applyNumberFormat="1" applyFont="1" applyFill="1" applyBorder="1"/>
    <xf numFmtId="3" fontId="31" fillId="0" borderId="10" xfId="115" applyNumberFormat="1" applyFont="1" applyFill="1" applyBorder="1"/>
    <xf numFmtId="3" fontId="31" fillId="0" borderId="11" xfId="116" applyNumberFormat="1" applyFont="1" applyFill="1" applyBorder="1"/>
    <xf numFmtId="3" fontId="31" fillId="0" borderId="10" xfId="116" applyNumberFormat="1" applyFont="1" applyFill="1" applyBorder="1"/>
    <xf numFmtId="3" fontId="31" fillId="0" borderId="11" xfId="117" applyNumberFormat="1" applyFont="1" applyFill="1" applyBorder="1"/>
    <xf numFmtId="3" fontId="31" fillId="0" borderId="10" xfId="117" applyNumberFormat="1" applyFont="1" applyFill="1" applyBorder="1"/>
    <xf numFmtId="3" fontId="31" fillId="0" borderId="11" xfId="118" applyNumberFormat="1" applyFont="1" applyFill="1" applyBorder="1"/>
    <xf numFmtId="3" fontId="31" fillId="0" borderId="10" xfId="118" applyNumberFormat="1" applyFont="1" applyFill="1" applyBorder="1"/>
    <xf numFmtId="0" fontId="26" fillId="0" borderId="26" xfId="0" applyFont="1" applyFill="1" applyBorder="1"/>
    <xf numFmtId="0" fontId="26" fillId="0" borderId="70" xfId="0" applyFont="1" applyFill="1" applyBorder="1"/>
    <xf numFmtId="0" fontId="26" fillId="0" borderId="71" xfId="0" applyFont="1" applyFill="1" applyBorder="1"/>
    <xf numFmtId="3" fontId="26" fillId="0" borderId="20" xfId="0" applyNumberFormat="1" applyFont="1" applyFill="1" applyBorder="1"/>
    <xf numFmtId="3" fontId="26" fillId="0" borderId="74" xfId="0" applyNumberFormat="1" applyFont="1" applyFill="1" applyBorder="1" applyAlignment="1">
      <alignment horizontal="right"/>
    </xf>
    <xf numFmtId="3" fontId="26" fillId="0" borderId="42" xfId="121" applyNumberFormat="1" applyFont="1" applyFill="1" applyBorder="1"/>
    <xf numFmtId="3" fontId="26" fillId="0" borderId="44" xfId="120" applyNumberFormat="1" applyFont="1" applyFill="1" applyBorder="1"/>
    <xf numFmtId="3" fontId="26" fillId="0" borderId="11" xfId="121" applyNumberFormat="1" applyFont="1" applyFill="1" applyBorder="1"/>
    <xf numFmtId="3" fontId="26" fillId="0" borderId="33" xfId="120" applyNumberFormat="1" applyFont="1" applyFill="1" applyBorder="1"/>
    <xf numFmtId="3" fontId="26" fillId="0" borderId="34" xfId="121" applyNumberFormat="1" applyFont="1" applyFill="1" applyBorder="1"/>
    <xf numFmtId="3" fontId="26" fillId="0" borderId="22" xfId="120" applyNumberFormat="1" applyFont="1" applyFill="1" applyBorder="1"/>
    <xf numFmtId="0" fontId="28" fillId="0" borderId="34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/>
    </xf>
    <xf numFmtId="3" fontId="26" fillId="0" borderId="32" xfId="0" applyNumberFormat="1" applyFont="1" applyFill="1" applyBorder="1"/>
    <xf numFmtId="3" fontId="28" fillId="0" borderId="39" xfId="0" applyNumberFormat="1" applyFont="1" applyFill="1" applyBorder="1"/>
    <xf numFmtId="0" fontId="27" fillId="0" borderId="0" xfId="0" applyFont="1" applyFill="1" applyAlignment="1">
      <alignment horizontal="center" vertical="center"/>
    </xf>
    <xf numFmtId="0" fontId="27" fillId="0" borderId="0" xfId="0" applyFont="1" applyFill="1"/>
    <xf numFmtId="0" fontId="29" fillId="0" borderId="60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6" fillId="0" borderId="0" xfId="0" applyFont="1" applyFill="1"/>
    <xf numFmtId="0" fontId="26" fillId="0" borderId="0" xfId="0" applyFont="1" applyFill="1" applyBorder="1"/>
    <xf numFmtId="0" fontId="26" fillId="0" borderId="32" xfId="0" applyFont="1" applyFill="1" applyBorder="1"/>
    <xf numFmtId="0" fontId="30" fillId="0" borderId="0" xfId="0" applyFont="1" applyFill="1"/>
    <xf numFmtId="0" fontId="26" fillId="0" borderId="24" xfId="0" applyFont="1" applyFill="1" applyBorder="1"/>
    <xf numFmtId="0" fontId="26" fillId="0" borderId="0" xfId="0" applyFont="1" applyFill="1" applyBorder="1" applyAlignment="1">
      <alignment horizontal="center"/>
    </xf>
    <xf numFmtId="0" fontId="27" fillId="0" borderId="0" xfId="0" applyFont="1" applyFill="1"/>
    <xf numFmtId="0" fontId="28" fillId="0" borderId="0" xfId="0" applyFont="1" applyFill="1"/>
    <xf numFmtId="0" fontId="26" fillId="0" borderId="0" xfId="0" applyFont="1" applyFill="1"/>
    <xf numFmtId="0" fontId="26" fillId="0" borderId="0" xfId="0" applyFont="1" applyFill="1" applyBorder="1"/>
    <xf numFmtId="0" fontId="26" fillId="0" borderId="32" xfId="0" applyFont="1" applyFill="1" applyBorder="1"/>
    <xf numFmtId="164" fontId="26" fillId="0" borderId="67" xfId="0" applyNumberFormat="1" applyFont="1" applyFill="1" applyBorder="1"/>
    <xf numFmtId="4" fontId="30" fillId="0" borderId="43" xfId="0" applyNumberFormat="1" applyFont="1" applyFill="1" applyBorder="1"/>
    <xf numFmtId="164" fontId="26" fillId="0" borderId="58" xfId="0" applyNumberFormat="1" applyFont="1" applyFill="1" applyBorder="1"/>
    <xf numFmtId="3" fontId="26" fillId="0" borderId="10" xfId="119" applyNumberFormat="1" applyFont="1" applyFill="1" applyBorder="1"/>
    <xf numFmtId="4" fontId="30" fillId="0" borderId="75" xfId="0" applyNumberFormat="1" applyFont="1" applyFill="1" applyBorder="1"/>
    <xf numFmtId="4" fontId="30" fillId="0" borderId="58" xfId="0" applyNumberFormat="1" applyFont="1" applyFill="1" applyBorder="1"/>
    <xf numFmtId="3" fontId="30" fillId="0" borderId="58" xfId="0" applyNumberFormat="1" applyFont="1" applyFill="1" applyBorder="1"/>
    <xf numFmtId="164" fontId="26" fillId="0" borderId="68" xfId="0" applyNumberFormat="1" applyFont="1" applyFill="1" applyBorder="1"/>
    <xf numFmtId="4" fontId="30" fillId="0" borderId="68" xfId="0" applyNumberFormat="1" applyFont="1" applyFill="1" applyBorder="1"/>
    <xf numFmtId="3" fontId="30" fillId="0" borderId="0" xfId="0" applyNumberFormat="1" applyFont="1" applyFill="1"/>
    <xf numFmtId="164" fontId="28" fillId="0" borderId="40" xfId="0" applyNumberFormat="1" applyFont="1" applyFill="1" applyBorder="1"/>
    <xf numFmtId="0" fontId="29" fillId="0" borderId="0" xfId="547" applyFont="1" applyFill="1"/>
    <xf numFmtId="3" fontId="26" fillId="0" borderId="41" xfId="0" applyNumberFormat="1" applyFont="1" applyFill="1" applyBorder="1"/>
    <xf numFmtId="4" fontId="30" fillId="0" borderId="0" xfId="137" applyNumberFormat="1" applyFont="1" applyFill="1"/>
    <xf numFmtId="3" fontId="26" fillId="0" borderId="36" xfId="0" applyNumberFormat="1" applyFont="1" applyFill="1" applyBorder="1"/>
    <xf numFmtId="4" fontId="30" fillId="0" borderId="0" xfId="517" applyNumberFormat="1" applyFont="1" applyFill="1"/>
    <xf numFmtId="4" fontId="30" fillId="0" borderId="0" xfId="537" applyNumberFormat="1" applyFont="1" applyFill="1"/>
    <xf numFmtId="4" fontId="30" fillId="0" borderId="0" xfId="506" applyNumberFormat="1" applyFont="1" applyFill="1"/>
    <xf numFmtId="4" fontId="30" fillId="0" borderId="0" xfId="527" applyNumberFormat="1" applyFont="1" applyFill="1"/>
    <xf numFmtId="4" fontId="30" fillId="0" borderId="0" xfId="299" applyNumberFormat="1" applyFont="1" applyFill="1"/>
    <xf numFmtId="4" fontId="30" fillId="0" borderId="0" xfId="313" applyNumberFormat="1" applyFont="1" applyFill="1"/>
    <xf numFmtId="4" fontId="30" fillId="0" borderId="0" xfId="383" applyNumberFormat="1" applyFont="1" applyFill="1"/>
    <xf numFmtId="4" fontId="30" fillId="0" borderId="0" xfId="494" applyNumberFormat="1" applyFont="1" applyFill="1"/>
    <xf numFmtId="4" fontId="30" fillId="0" borderId="0" xfId="215" applyNumberFormat="1" applyFont="1" applyFill="1"/>
    <xf numFmtId="4" fontId="30" fillId="0" borderId="0" xfId="285" applyNumberFormat="1" applyFont="1" applyFill="1"/>
    <xf numFmtId="4" fontId="30" fillId="0" borderId="0" xfId="271" applyNumberFormat="1" applyFont="1" applyFill="1"/>
    <xf numFmtId="4" fontId="30" fillId="0" borderId="0" xfId="327" applyNumberFormat="1" applyFont="1" applyFill="1"/>
    <xf numFmtId="4" fontId="30" fillId="0" borderId="0" xfId="481" applyNumberFormat="1" applyFont="1" applyFill="1"/>
    <xf numFmtId="4" fontId="30" fillId="0" borderId="0" xfId="341" applyNumberFormat="1" applyFont="1" applyFill="1"/>
    <xf numFmtId="4" fontId="30" fillId="0" borderId="0" xfId="397" applyNumberFormat="1" applyFont="1" applyFill="1"/>
    <xf numFmtId="4" fontId="30" fillId="0" borderId="0" xfId="439" applyNumberFormat="1" applyFont="1" applyFill="1"/>
    <xf numFmtId="4" fontId="30" fillId="0" borderId="0" xfId="453" applyNumberFormat="1" applyFont="1" applyFill="1"/>
    <xf numFmtId="4" fontId="30" fillId="0" borderId="0" xfId="369" applyNumberFormat="1" applyFont="1" applyFill="1"/>
    <xf numFmtId="4" fontId="30" fillId="0" borderId="0" xfId="425" applyNumberFormat="1" applyFont="1" applyFill="1"/>
    <xf numFmtId="4" fontId="30" fillId="0" borderId="0" xfId="467" applyNumberFormat="1" applyFont="1" applyFill="1"/>
    <xf numFmtId="4" fontId="30" fillId="0" borderId="0" xfId="411" applyNumberFormat="1" applyFont="1" applyFill="1"/>
    <xf numFmtId="4" fontId="30" fillId="0" borderId="0" xfId="355" applyNumberFormat="1" applyFont="1" applyFill="1"/>
    <xf numFmtId="4" fontId="30" fillId="0" borderId="0" xfId="229" applyNumberFormat="1" applyFont="1" applyFill="1"/>
    <xf numFmtId="4" fontId="30" fillId="0" borderId="0" xfId="257" applyNumberFormat="1" applyFont="1" applyFill="1"/>
    <xf numFmtId="4" fontId="30" fillId="0" borderId="0" xfId="243" applyNumberFormat="1" applyFont="1" applyFill="1"/>
    <xf numFmtId="4" fontId="30" fillId="0" borderId="0" xfId="173" applyNumberFormat="1" applyFont="1" applyFill="1"/>
    <xf numFmtId="4" fontId="30" fillId="0" borderId="0" xfId="201" applyNumberFormat="1" applyFont="1" applyFill="1"/>
    <xf numFmtId="3" fontId="26" fillId="0" borderId="37" xfId="0" applyNumberFormat="1" applyFont="1" applyFill="1" applyBorder="1"/>
    <xf numFmtId="4" fontId="30" fillId="0" borderId="0" xfId="187" applyNumberFormat="1" applyFont="1" applyFill="1"/>
    <xf numFmtId="4" fontId="30" fillId="0" borderId="0" xfId="122" applyNumberFormat="1" applyFont="1" applyFill="1"/>
    <xf numFmtId="3" fontId="28" fillId="0" borderId="15" xfId="0" applyNumberFormat="1" applyFont="1" applyFill="1" applyBorder="1"/>
    <xf numFmtId="164" fontId="28" fillId="0" borderId="69" xfId="0" applyNumberFormat="1" applyFont="1" applyFill="1" applyBorder="1"/>
    <xf numFmtId="0" fontId="26" fillId="0" borderId="0" xfId="0" applyFont="1" applyFill="1" applyBorder="1"/>
    <xf numFmtId="0" fontId="26" fillId="0" borderId="0" xfId="0" applyFont="1" applyFill="1"/>
    <xf numFmtId="3" fontId="26" fillId="0" borderId="54" xfId="0" applyNumberFormat="1" applyFont="1" applyFill="1" applyBorder="1"/>
    <xf numFmtId="3" fontId="26" fillId="0" borderId="56" xfId="0" applyNumberFormat="1" applyFont="1" applyFill="1" applyBorder="1"/>
    <xf numFmtId="0" fontId="26" fillId="0" borderId="0" xfId="0" applyFont="1" applyFill="1" applyBorder="1"/>
    <xf numFmtId="0" fontId="26" fillId="0" borderId="32" xfId="0" applyFont="1" applyFill="1" applyBorder="1"/>
    <xf numFmtId="0" fontId="26" fillId="0" borderId="0" xfId="0" applyFont="1" applyFill="1" applyBorder="1" applyAlignment="1">
      <alignment horizontal="center"/>
    </xf>
    <xf numFmtId="0" fontId="26" fillId="0" borderId="0" xfId="0" applyFont="1" applyFill="1"/>
    <xf numFmtId="0" fontId="26" fillId="0" borderId="0" xfId="0" applyFont="1" applyFill="1" applyBorder="1"/>
    <xf numFmtId="0" fontId="26" fillId="0" borderId="32" xfId="0" applyFont="1" applyFill="1" applyBorder="1"/>
    <xf numFmtId="0" fontId="27" fillId="0" borderId="0" xfId="0" applyFont="1" applyFill="1"/>
    <xf numFmtId="0" fontId="26" fillId="0" borderId="0" xfId="0" applyFont="1" applyFill="1"/>
    <xf numFmtId="0" fontId="26" fillId="0" borderId="0" xfId="0" applyFont="1" applyFill="1" applyBorder="1"/>
    <xf numFmtId="164" fontId="26" fillId="0" borderId="0" xfId="0" applyNumberFormat="1" applyFont="1" applyFill="1" applyBorder="1"/>
    <xf numFmtId="0" fontId="26" fillId="0" borderId="76" xfId="0" applyFont="1" applyFill="1" applyBorder="1"/>
    <xf numFmtId="164" fontId="26" fillId="0" borderId="56" xfId="0" applyNumberFormat="1" applyFont="1" applyFill="1" applyBorder="1"/>
    <xf numFmtId="164" fontId="26" fillId="0" borderId="66" xfId="0" applyNumberFormat="1" applyFont="1" applyFill="1" applyBorder="1"/>
    <xf numFmtId="164" fontId="26" fillId="0" borderId="57" xfId="0" applyNumberFormat="1" applyFont="1" applyFill="1" applyBorder="1"/>
    <xf numFmtId="0" fontId="26" fillId="0" borderId="77" xfId="0" applyFont="1" applyFill="1" applyBorder="1"/>
    <xf numFmtId="0" fontId="26" fillId="0" borderId="0" xfId="0" applyFont="1" applyFill="1" applyAlignment="1"/>
    <xf numFmtId="0" fontId="37" fillId="0" borderId="61" xfId="0" applyFont="1" applyFill="1" applyBorder="1" applyAlignment="1">
      <alignment horizontal="center"/>
    </xf>
    <xf numFmtId="0" fontId="37" fillId="0" borderId="65" xfId="0" applyFont="1" applyFill="1" applyBorder="1" applyAlignment="1">
      <alignment horizontal="center"/>
    </xf>
    <xf numFmtId="0" fontId="37" fillId="0" borderId="60" xfId="0" applyFont="1" applyFill="1" applyBorder="1" applyAlignment="1">
      <alignment horizontal="center"/>
    </xf>
    <xf numFmtId="0" fontId="37" fillId="0" borderId="0" xfId="0" applyFont="1" applyFill="1"/>
    <xf numFmtId="0" fontId="37" fillId="0" borderId="29" xfId="0" applyFont="1" applyFill="1" applyBorder="1" applyAlignment="1">
      <alignment horizontal="center"/>
    </xf>
    <xf numFmtId="0" fontId="37" fillId="0" borderId="66" xfId="0" applyFont="1" applyFill="1" applyBorder="1" applyAlignment="1">
      <alignment horizontal="center"/>
    </xf>
    <xf numFmtId="0" fontId="37" fillId="0" borderId="20" xfId="0" applyFont="1" applyFill="1" applyBorder="1" applyAlignment="1">
      <alignment horizontal="center"/>
    </xf>
    <xf numFmtId="164" fontId="26" fillId="0" borderId="17" xfId="0" applyNumberFormat="1" applyFont="1" applyFill="1" applyBorder="1"/>
    <xf numFmtId="164" fontId="26" fillId="0" borderId="78" xfId="0" applyNumberFormat="1" applyFont="1" applyFill="1" applyBorder="1"/>
    <xf numFmtId="164" fontId="26" fillId="0" borderId="79" xfId="0" applyNumberFormat="1" applyFont="1" applyFill="1" applyBorder="1"/>
    <xf numFmtId="3" fontId="26" fillId="0" borderId="44" xfId="0" applyNumberFormat="1" applyFont="1" applyFill="1" applyBorder="1"/>
    <xf numFmtId="3" fontId="26" fillId="0" borderId="33" xfId="0" applyNumberFormat="1" applyFont="1" applyFill="1" applyBorder="1"/>
    <xf numFmtId="3" fontId="26" fillId="0" borderId="22" xfId="0" applyNumberFormat="1" applyFont="1" applyFill="1" applyBorder="1"/>
    <xf numFmtId="164" fontId="26" fillId="0" borderId="63" xfId="0" applyNumberFormat="1" applyFont="1" applyFill="1" applyBorder="1"/>
    <xf numFmtId="164" fontId="26" fillId="0" borderId="53" xfId="0" applyNumberFormat="1" applyFont="1" applyFill="1" applyBorder="1"/>
    <xf numFmtId="3" fontId="31" fillId="0" borderId="10" xfId="86" applyNumberFormat="1" applyFont="1" applyFill="1" applyBorder="1"/>
    <xf numFmtId="0" fontId="26" fillId="0" borderId="0" xfId="0" applyFont="1" applyFill="1" applyBorder="1" applyAlignment="1">
      <alignment horizontal="center"/>
    </xf>
    <xf numFmtId="0" fontId="26" fillId="0" borderId="31" xfId="0" applyFont="1" applyFill="1" applyBorder="1"/>
    <xf numFmtId="0" fontId="26" fillId="0" borderId="0" xfId="0" applyFont="1" applyFill="1" applyBorder="1"/>
    <xf numFmtId="0" fontId="26" fillId="0" borderId="32" xfId="0" applyFont="1" applyFill="1" applyBorder="1"/>
    <xf numFmtId="0" fontId="28" fillId="0" borderId="51" xfId="0" applyFont="1" applyFill="1" applyBorder="1" applyAlignment="1"/>
    <xf numFmtId="3" fontId="31" fillId="0" borderId="21" xfId="86" applyNumberFormat="1" applyFont="1" applyFill="1" applyBorder="1"/>
    <xf numFmtId="3" fontId="26" fillId="0" borderId="67" xfId="0" applyNumberFormat="1" applyFont="1" applyFill="1" applyBorder="1"/>
    <xf numFmtId="3" fontId="26" fillId="0" borderId="58" xfId="0" applyNumberFormat="1" applyFont="1" applyFill="1" applyBorder="1"/>
    <xf numFmtId="3" fontId="26" fillId="0" borderId="68" xfId="0" applyNumberFormat="1" applyFont="1" applyFill="1" applyBorder="1"/>
    <xf numFmtId="0" fontId="28" fillId="0" borderId="35" xfId="0" applyFont="1" applyFill="1" applyBorder="1" applyAlignment="1"/>
    <xf numFmtId="164" fontId="26" fillId="0" borderId="10" xfId="0" applyNumberFormat="1" applyFont="1" applyFill="1" applyBorder="1"/>
    <xf numFmtId="164" fontId="26" fillId="0" borderId="21" xfId="0" applyNumberFormat="1" applyFont="1" applyFill="1" applyBorder="1"/>
    <xf numFmtId="164" fontId="26" fillId="0" borderId="43" xfId="0" applyNumberFormat="1" applyFont="1" applyFill="1" applyBorder="1"/>
    <xf numFmtId="0" fontId="28" fillId="0" borderId="0" xfId="0" applyFont="1" applyFill="1" applyAlignment="1">
      <alignment horizontal="left"/>
    </xf>
    <xf numFmtId="0" fontId="28" fillId="0" borderId="13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8" fillId="0" borderId="26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28" fillId="0" borderId="30" xfId="0" applyFont="1" applyFill="1" applyBorder="1" applyAlignment="1">
      <alignment horizontal="center"/>
    </xf>
    <xf numFmtId="0" fontId="28" fillId="0" borderId="35" xfId="0" applyFont="1" applyFill="1" applyBorder="1" applyAlignment="1">
      <alignment horizontal="center"/>
    </xf>
    <xf numFmtId="0" fontId="28" fillId="0" borderId="45" xfId="0" applyFont="1" applyFill="1" applyBorder="1" applyAlignment="1">
      <alignment horizontal="center"/>
    </xf>
    <xf numFmtId="0" fontId="28" fillId="0" borderId="46" xfId="0" applyFont="1" applyFill="1" applyBorder="1" applyAlignment="1">
      <alignment horizontal="center"/>
    </xf>
    <xf numFmtId="0" fontId="28" fillId="0" borderId="48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0" fontId="28" fillId="0" borderId="50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/>
    </xf>
    <xf numFmtId="0" fontId="28" fillId="0" borderId="56" xfId="0" applyFont="1" applyFill="1" applyBorder="1" applyAlignment="1">
      <alignment horizontal="center"/>
    </xf>
    <xf numFmtId="0" fontId="28" fillId="0" borderId="57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center"/>
    </xf>
    <xf numFmtId="0" fontId="28" fillId="0" borderId="59" xfId="0" applyFont="1" applyFill="1" applyBorder="1" applyAlignment="1">
      <alignment horizontal="center" vertical="center" wrapText="1"/>
    </xf>
    <xf numFmtId="0" fontId="26" fillId="33" borderId="0" xfId="0" applyFont="1" applyFill="1"/>
    <xf numFmtId="0" fontId="30" fillId="33" borderId="0" xfId="0" applyFont="1" applyFill="1"/>
    <xf numFmtId="0" fontId="26" fillId="0" borderId="31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32" xfId="0" applyFont="1" applyFill="1" applyBorder="1" applyAlignment="1">
      <alignment horizontal="center"/>
    </xf>
    <xf numFmtId="0" fontId="29" fillId="0" borderId="59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/>
    </xf>
    <xf numFmtId="0" fontId="35" fillId="0" borderId="49" xfId="0" applyFont="1" applyFill="1" applyBorder="1" applyAlignment="1">
      <alignment horizontal="center" vertical="center"/>
    </xf>
    <xf numFmtId="0" fontId="35" fillId="0" borderId="50" xfId="0" applyFont="1" applyFill="1" applyBorder="1" applyAlignment="1">
      <alignment horizontal="center" vertical="center"/>
    </xf>
    <xf numFmtId="0" fontId="27" fillId="0" borderId="0" xfId="0" applyFont="1" applyFill="1"/>
    <xf numFmtId="0" fontId="26" fillId="0" borderId="30" xfId="0" applyFont="1" applyFill="1" applyBorder="1" applyAlignment="1">
      <alignment horizontal="center"/>
    </xf>
    <xf numFmtId="0" fontId="26" fillId="0" borderId="51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28" fillId="0" borderId="48" xfId="0" applyFont="1" applyFill="1" applyBorder="1" applyAlignment="1">
      <alignment horizontal="center"/>
    </xf>
    <xf numFmtId="0" fontId="28" fillId="0" borderId="49" xfId="0" applyFont="1" applyFill="1" applyBorder="1" applyAlignment="1">
      <alignment horizontal="center"/>
    </xf>
    <xf numFmtId="0" fontId="28" fillId="0" borderId="50" xfId="0" applyFont="1" applyFill="1" applyBorder="1" applyAlignment="1">
      <alignment horizontal="center"/>
    </xf>
    <xf numFmtId="0" fontId="28" fillId="0" borderId="0" xfId="0" applyFont="1" applyFill="1"/>
    <xf numFmtId="0" fontId="26" fillId="0" borderId="0" xfId="0" applyFont="1" applyFill="1"/>
    <xf numFmtId="0" fontId="26" fillId="0" borderId="48" xfId="0" applyFont="1" applyFill="1" applyBorder="1" applyAlignment="1">
      <alignment horizontal="center"/>
    </xf>
    <xf numFmtId="0" fontId="26" fillId="0" borderId="49" xfId="0" applyFont="1" applyFill="1" applyBorder="1" applyAlignment="1">
      <alignment horizontal="center"/>
    </xf>
    <xf numFmtId="0" fontId="26" fillId="0" borderId="50" xfId="0" applyFont="1" applyFill="1" applyBorder="1" applyAlignment="1">
      <alignment horizontal="center"/>
    </xf>
    <xf numFmtId="0" fontId="28" fillId="0" borderId="31" xfId="0" applyFont="1" applyFill="1" applyBorder="1" applyAlignment="1">
      <alignment horizontal="center" vertical="center"/>
    </xf>
    <xf numFmtId="0" fontId="28" fillId="0" borderId="54" xfId="0" applyFont="1" applyFill="1" applyBorder="1" applyAlignment="1">
      <alignment horizontal="center" vertical="center"/>
    </xf>
    <xf numFmtId="0" fontId="37" fillId="0" borderId="60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59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26" fillId="0" borderId="81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/>
    </xf>
    <xf numFmtId="0" fontId="26" fillId="0" borderId="83" xfId="0" applyFont="1" applyFill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26" fillId="0" borderId="31" xfId="0" applyFont="1" applyFill="1" applyBorder="1"/>
    <xf numFmtId="0" fontId="26" fillId="0" borderId="0" xfId="0" applyFont="1" applyFill="1" applyBorder="1"/>
    <xf numFmtId="0" fontId="26" fillId="0" borderId="32" xfId="0" applyFont="1" applyFill="1" applyBorder="1"/>
    <xf numFmtId="0" fontId="36" fillId="0" borderId="60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top"/>
    </xf>
    <xf numFmtId="0" fontId="26" fillId="0" borderId="51" xfId="0" applyFont="1" applyFill="1" applyBorder="1" applyAlignment="1">
      <alignment horizontal="center" vertical="top"/>
    </xf>
    <xf numFmtId="0" fontId="26" fillId="0" borderId="35" xfId="0" applyFont="1" applyFill="1" applyBorder="1" applyAlignment="1">
      <alignment horizontal="center" vertical="top"/>
    </xf>
    <xf numFmtId="0" fontId="26" fillId="0" borderId="54" xfId="0" applyFont="1" applyFill="1" applyBorder="1" applyAlignment="1">
      <alignment horizontal="center" vertical="top"/>
    </xf>
    <xf numFmtId="0" fontId="26" fillId="0" borderId="56" xfId="0" applyFont="1" applyFill="1" applyBorder="1" applyAlignment="1">
      <alignment horizontal="center" vertical="top"/>
    </xf>
    <xf numFmtId="0" fontId="26" fillId="0" borderId="57" xfId="0" applyFont="1" applyFill="1" applyBorder="1" applyAlignment="1">
      <alignment horizontal="center" vertical="top"/>
    </xf>
    <xf numFmtId="0" fontId="28" fillId="0" borderId="31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/>
    </xf>
    <xf numFmtId="0" fontId="29" fillId="0" borderId="62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" fontId="26" fillId="0" borderId="0" xfId="0" applyNumberFormat="1" applyFont="1" applyFill="1" applyAlignment="1">
      <alignment horizontal="center"/>
    </xf>
    <xf numFmtId="0" fontId="30" fillId="0" borderId="0" xfId="0" applyFont="1" applyFill="1"/>
    <xf numFmtId="0" fontId="38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 vertical="center"/>
    </xf>
  </cellXfs>
  <cellStyles count="558">
    <cellStyle name="20 % – Zvýraznění1" xfId="18" builtinId="30" customBuiltin="1"/>
    <cellStyle name="20 % – Zvýraznění1 10" xfId="157"/>
    <cellStyle name="20 % – Zvýraznění1 11" xfId="176"/>
    <cellStyle name="20 % – Zvýraznění1 12" xfId="190"/>
    <cellStyle name="20 % – Zvýraznění1 13" xfId="204"/>
    <cellStyle name="20 % – Zvýraznění1 14" xfId="218"/>
    <cellStyle name="20 % – Zvýraznění1 15" xfId="232"/>
    <cellStyle name="20 % – Zvýraznění1 16" xfId="246"/>
    <cellStyle name="20 % – Zvýraznění1 17" xfId="260"/>
    <cellStyle name="20 % – Zvýraznění1 18" xfId="274"/>
    <cellStyle name="20 % – Zvýraznění1 19" xfId="288"/>
    <cellStyle name="20 % – Zvýraznění1 2" xfId="124"/>
    <cellStyle name="20 % – Zvýraznění1 20" xfId="302"/>
    <cellStyle name="20 % – Zvýraznění1 21" xfId="316"/>
    <cellStyle name="20 % – Zvýraznění1 22" xfId="330"/>
    <cellStyle name="20 % – Zvýraznění1 23" xfId="344"/>
    <cellStyle name="20 % – Zvýraznění1 24" xfId="358"/>
    <cellStyle name="20 % – Zvýraznění1 25" xfId="372"/>
    <cellStyle name="20 % – Zvýraznění1 26" xfId="386"/>
    <cellStyle name="20 % – Zvýraznění1 27" xfId="400"/>
    <cellStyle name="20 % – Zvýraznění1 28" xfId="414"/>
    <cellStyle name="20 % – Zvýraznění1 29" xfId="428"/>
    <cellStyle name="20 % – Zvýraznění1 3" xfId="154"/>
    <cellStyle name="20 % – Zvýraznění1 30" xfId="442"/>
    <cellStyle name="20 % – Zvýraznění1 31" xfId="456"/>
    <cellStyle name="20 % – Zvýraznění1 32" xfId="470"/>
    <cellStyle name="20 % – Zvýraznění1 4" xfId="148"/>
    <cellStyle name="20 % – Zvýraznění1 5" xfId="145"/>
    <cellStyle name="20 % – Zvýraznění1 6" xfId="147"/>
    <cellStyle name="20 % – Zvýraznění1 7" xfId="143"/>
    <cellStyle name="20 % – Zvýraznění1 8" xfId="151"/>
    <cellStyle name="20 % – Zvýraznění1 9" xfId="141"/>
    <cellStyle name="20 % – Zvýraznění2" xfId="22" builtinId="34" customBuiltin="1"/>
    <cellStyle name="20 % – Zvýraznění2 10" xfId="256"/>
    <cellStyle name="20 % – Zvýraznění2 11" xfId="270"/>
    <cellStyle name="20 % – Zvýraznění2 12" xfId="284"/>
    <cellStyle name="20 % – Zvýraznění2 13" xfId="298"/>
    <cellStyle name="20 % – Zvýraznění2 14" xfId="312"/>
    <cellStyle name="20 % – Zvýraznění2 15" xfId="326"/>
    <cellStyle name="20 % – Zvýraznění2 16" xfId="340"/>
    <cellStyle name="20 % – Zvýraznění2 17" xfId="354"/>
    <cellStyle name="20 % – Zvýraznění2 18" xfId="368"/>
    <cellStyle name="20 % – Zvýraznění2 19" xfId="382"/>
    <cellStyle name="20 % – Zvýraznění2 2" xfId="126"/>
    <cellStyle name="20 % – Zvýraznění2 20" xfId="396"/>
    <cellStyle name="20 % – Zvýraznění2 21" xfId="410"/>
    <cellStyle name="20 % – Zvýraznění2 22" xfId="424"/>
    <cellStyle name="20 % – Zvýraznění2 23" xfId="438"/>
    <cellStyle name="20 % – Zvýraznění2 24" xfId="452"/>
    <cellStyle name="20 % – Zvýraznění2 25" xfId="466"/>
    <cellStyle name="20 % – Zvýraznění2 26" xfId="480"/>
    <cellStyle name="20 % – Zvýraznění2 27" xfId="493"/>
    <cellStyle name="20 % – Zvýraznění2 28" xfId="505"/>
    <cellStyle name="20 % – Zvýraznění2 29" xfId="516"/>
    <cellStyle name="20 % – Zvýraznění2 3" xfId="158"/>
    <cellStyle name="20 % – Zvýraznění2 30" xfId="526"/>
    <cellStyle name="20 % – Zvýraznění2 31" xfId="536"/>
    <cellStyle name="20 % – Zvýraznění2 32" xfId="546"/>
    <cellStyle name="20 % – Zvýraznění2 4" xfId="172"/>
    <cellStyle name="20 % – Zvýraznění2 5" xfId="186"/>
    <cellStyle name="20 % – Zvýraznění2 6" xfId="200"/>
    <cellStyle name="20 % – Zvýraznění2 7" xfId="214"/>
    <cellStyle name="20 % – Zvýraznění2 8" xfId="228"/>
    <cellStyle name="20 % – Zvýraznění2 9" xfId="242"/>
    <cellStyle name="20 % – Zvýraznění3" xfId="26" builtinId="38" customBuiltin="1"/>
    <cellStyle name="20 % – Zvýraznění3 10" xfId="178"/>
    <cellStyle name="20 % – Zvýraznění3 11" xfId="192"/>
    <cellStyle name="20 % – Zvýraznění3 12" xfId="206"/>
    <cellStyle name="20 % – Zvýraznění3 13" xfId="220"/>
    <cellStyle name="20 % – Zvýraznění3 14" xfId="234"/>
    <cellStyle name="20 % – Zvýraznění3 15" xfId="248"/>
    <cellStyle name="20 % – Zvýraznění3 16" xfId="262"/>
    <cellStyle name="20 % – Zvýraznění3 17" xfId="276"/>
    <cellStyle name="20 % – Zvýraznění3 18" xfId="290"/>
    <cellStyle name="20 % – Zvýraznění3 19" xfId="304"/>
    <cellStyle name="20 % – Zvýraznění3 2" xfId="128"/>
    <cellStyle name="20 % – Zvýraznění3 20" xfId="318"/>
    <cellStyle name="20 % – Zvýraznění3 21" xfId="332"/>
    <cellStyle name="20 % – Zvýraznění3 22" xfId="346"/>
    <cellStyle name="20 % – Zvýraznění3 23" xfId="360"/>
    <cellStyle name="20 % – Zvýraznění3 24" xfId="374"/>
    <cellStyle name="20 % – Zvýraznění3 25" xfId="388"/>
    <cellStyle name="20 % – Zvýraznění3 26" xfId="402"/>
    <cellStyle name="20 % – Zvýraznění3 27" xfId="416"/>
    <cellStyle name="20 % – Zvýraznění3 28" xfId="430"/>
    <cellStyle name="20 % – Zvýraznění3 29" xfId="444"/>
    <cellStyle name="20 % – Zvýraznění3 3" xfId="162"/>
    <cellStyle name="20 % – Zvýraznění3 30" xfId="458"/>
    <cellStyle name="20 % – Zvýraznění3 31" xfId="472"/>
    <cellStyle name="20 % – Zvýraznění3 32" xfId="485"/>
    <cellStyle name="20 % – Zvýraznění3 4" xfId="156"/>
    <cellStyle name="20 % – Zvýraznění3 5" xfId="152"/>
    <cellStyle name="20 % – Zvýraznění3 6" xfId="140"/>
    <cellStyle name="20 % – Zvýraznění3 7" xfId="161"/>
    <cellStyle name="20 % – Zvýraznění3 8" xfId="160"/>
    <cellStyle name="20 % – Zvýraznění3 9" xfId="164"/>
    <cellStyle name="20 % – Zvýraznění4" xfId="30" builtinId="42" customBuiltin="1"/>
    <cellStyle name="20 % – Zvýraznění4 10" xfId="264"/>
    <cellStyle name="20 % – Zvýraznění4 11" xfId="278"/>
    <cellStyle name="20 % – Zvýraznění4 12" xfId="292"/>
    <cellStyle name="20 % – Zvýraznění4 13" xfId="306"/>
    <cellStyle name="20 % – Zvýraznění4 14" xfId="320"/>
    <cellStyle name="20 % – Zvýraznění4 15" xfId="334"/>
    <cellStyle name="20 % – Zvýraznění4 16" xfId="348"/>
    <cellStyle name="20 % – Zvýraznění4 17" xfId="362"/>
    <cellStyle name="20 % – Zvýraznění4 18" xfId="376"/>
    <cellStyle name="20 % – Zvýraznění4 19" xfId="390"/>
    <cellStyle name="20 % – Zvýraznění4 2" xfId="130"/>
    <cellStyle name="20 % – Zvýraznění4 20" xfId="404"/>
    <cellStyle name="20 % – Zvýraznění4 21" xfId="418"/>
    <cellStyle name="20 % – Zvýraznění4 22" xfId="432"/>
    <cellStyle name="20 % – Zvýraznění4 23" xfId="446"/>
    <cellStyle name="20 % – Zvýraznění4 24" xfId="460"/>
    <cellStyle name="20 % – Zvýraznění4 25" xfId="474"/>
    <cellStyle name="20 % – Zvýraznění4 26" xfId="487"/>
    <cellStyle name="20 % – Zvýraznění4 27" xfId="499"/>
    <cellStyle name="20 % – Zvýraznění4 28" xfId="511"/>
    <cellStyle name="20 % – Zvýraznění4 29" xfId="521"/>
    <cellStyle name="20 % – Zvýraznění4 3" xfId="166"/>
    <cellStyle name="20 % – Zvýraznění4 30" xfId="531"/>
    <cellStyle name="20 % – Zvýraznění4 31" xfId="541"/>
    <cellStyle name="20 % – Zvýraznění4 32" xfId="551"/>
    <cellStyle name="20 % – Zvýraznění4 4" xfId="180"/>
    <cellStyle name="20 % – Zvýraznění4 5" xfId="194"/>
    <cellStyle name="20 % – Zvýraznění4 6" xfId="208"/>
    <cellStyle name="20 % – Zvýraznění4 7" xfId="222"/>
    <cellStyle name="20 % – Zvýraznění4 8" xfId="236"/>
    <cellStyle name="20 % – Zvýraznění4 9" xfId="250"/>
    <cellStyle name="20 % – Zvýraznění5" xfId="34" builtinId="46" customBuiltin="1"/>
    <cellStyle name="20 % – Zvýraznění5 10" xfId="268"/>
    <cellStyle name="20 % – Zvýraznění5 11" xfId="282"/>
    <cellStyle name="20 % – Zvýraznění5 12" xfId="296"/>
    <cellStyle name="20 % – Zvýraznění5 13" xfId="310"/>
    <cellStyle name="20 % – Zvýraznění5 14" xfId="324"/>
    <cellStyle name="20 % – Zvýraznění5 15" xfId="338"/>
    <cellStyle name="20 % – Zvýraznění5 16" xfId="352"/>
    <cellStyle name="20 % – Zvýraznění5 17" xfId="366"/>
    <cellStyle name="20 % – Zvýraznění5 18" xfId="380"/>
    <cellStyle name="20 % – Zvýraznění5 19" xfId="394"/>
    <cellStyle name="20 % – Zvýraznění5 2" xfId="132"/>
    <cellStyle name="20 % – Zvýraznění5 20" xfId="408"/>
    <cellStyle name="20 % – Zvýraznění5 21" xfId="422"/>
    <cellStyle name="20 % – Zvýraznění5 22" xfId="436"/>
    <cellStyle name="20 % – Zvýraznění5 23" xfId="450"/>
    <cellStyle name="20 % – Zvýraznění5 24" xfId="464"/>
    <cellStyle name="20 % – Zvýraznění5 25" xfId="478"/>
    <cellStyle name="20 % – Zvýraznění5 26" xfId="491"/>
    <cellStyle name="20 % – Zvýraznění5 27" xfId="503"/>
    <cellStyle name="20 % – Zvýraznění5 28" xfId="514"/>
    <cellStyle name="20 % – Zvýraznění5 29" xfId="524"/>
    <cellStyle name="20 % – Zvýraznění5 3" xfId="170"/>
    <cellStyle name="20 % – Zvýraznění5 30" xfId="534"/>
    <cellStyle name="20 % – Zvýraznění5 31" xfId="544"/>
    <cellStyle name="20 % – Zvýraznění5 32" xfId="553"/>
    <cellStyle name="20 % – Zvýraznění5 4" xfId="184"/>
    <cellStyle name="20 % – Zvýraznění5 5" xfId="198"/>
    <cellStyle name="20 % – Zvýraznění5 6" xfId="212"/>
    <cellStyle name="20 % – Zvýraznění5 7" xfId="226"/>
    <cellStyle name="20 % – Zvýraznění5 8" xfId="240"/>
    <cellStyle name="20 % – Zvýraznění5 9" xfId="254"/>
    <cellStyle name="20 % – Zvýraznění6" xfId="38" builtinId="50" customBuiltin="1"/>
    <cellStyle name="20 % – Zvýraznění6 10" xfId="272"/>
    <cellStyle name="20 % – Zvýraznění6 11" xfId="286"/>
    <cellStyle name="20 % – Zvýraznění6 12" xfId="300"/>
    <cellStyle name="20 % – Zvýraznění6 13" xfId="314"/>
    <cellStyle name="20 % – Zvýraznění6 14" xfId="328"/>
    <cellStyle name="20 % – Zvýraznění6 15" xfId="342"/>
    <cellStyle name="20 % – Zvýraznění6 16" xfId="356"/>
    <cellStyle name="20 % – Zvýraznění6 17" xfId="370"/>
    <cellStyle name="20 % – Zvýraznění6 18" xfId="384"/>
    <cellStyle name="20 % – Zvýraznění6 19" xfId="398"/>
    <cellStyle name="20 % – Zvýraznění6 2" xfId="134"/>
    <cellStyle name="20 % – Zvýraznění6 20" xfId="412"/>
    <cellStyle name="20 % – Zvýraznění6 21" xfId="426"/>
    <cellStyle name="20 % – Zvýraznění6 22" xfId="440"/>
    <cellStyle name="20 % – Zvýraznění6 23" xfId="454"/>
    <cellStyle name="20 % – Zvýraznění6 24" xfId="468"/>
    <cellStyle name="20 % – Zvýraznění6 25" xfId="482"/>
    <cellStyle name="20 % – Zvýraznění6 26" xfId="495"/>
    <cellStyle name="20 % – Zvýraznění6 27" xfId="507"/>
    <cellStyle name="20 % – Zvýraznění6 28" xfId="518"/>
    <cellStyle name="20 % – Zvýraznění6 29" xfId="528"/>
    <cellStyle name="20 % – Zvýraznění6 3" xfId="174"/>
    <cellStyle name="20 % – Zvýraznění6 30" xfId="538"/>
    <cellStyle name="20 % – Zvýraznění6 31" xfId="548"/>
    <cellStyle name="20 % – Zvýraznění6 32" xfId="555"/>
    <cellStyle name="20 % – Zvýraznění6 4" xfId="188"/>
    <cellStyle name="20 % – Zvýraznění6 5" xfId="202"/>
    <cellStyle name="20 % – Zvýraznění6 6" xfId="216"/>
    <cellStyle name="20 % – Zvýraznění6 7" xfId="230"/>
    <cellStyle name="20 % – Zvýraznění6 8" xfId="244"/>
    <cellStyle name="20 % – Zvýraznění6 9" xfId="258"/>
    <cellStyle name="40 % – Zvýraznění1" xfId="19" builtinId="31" customBuiltin="1"/>
    <cellStyle name="40 % – Zvýraznění1 10" xfId="197"/>
    <cellStyle name="40 % – Zvýraznění1 11" xfId="211"/>
    <cellStyle name="40 % – Zvýraznění1 12" xfId="225"/>
    <cellStyle name="40 % – Zvýraznění1 13" xfId="239"/>
    <cellStyle name="40 % – Zvýraznění1 14" xfId="253"/>
    <cellStyle name="40 % – Zvýraznění1 15" xfId="267"/>
    <cellStyle name="40 % – Zvýraznění1 16" xfId="281"/>
    <cellStyle name="40 % – Zvýraznění1 17" xfId="295"/>
    <cellStyle name="40 % – Zvýraznění1 18" xfId="309"/>
    <cellStyle name="40 % – Zvýraznění1 19" xfId="323"/>
    <cellStyle name="40 % – Zvýraznění1 2" xfId="125"/>
    <cellStyle name="40 % – Zvýraznění1 20" xfId="337"/>
    <cellStyle name="40 % – Zvýraznění1 21" xfId="351"/>
    <cellStyle name="40 % – Zvýraznění1 22" xfId="365"/>
    <cellStyle name="40 % – Zvýraznění1 23" xfId="379"/>
    <cellStyle name="40 % – Zvýraznění1 24" xfId="393"/>
    <cellStyle name="40 % – Zvýraznění1 25" xfId="407"/>
    <cellStyle name="40 % – Zvýraznění1 26" xfId="421"/>
    <cellStyle name="40 % – Zvýraznění1 27" xfId="435"/>
    <cellStyle name="40 % – Zvýraznění1 28" xfId="449"/>
    <cellStyle name="40 % – Zvýraznění1 29" xfId="463"/>
    <cellStyle name="40 % – Zvýraznění1 3" xfId="155"/>
    <cellStyle name="40 % – Zvýraznění1 30" xfId="477"/>
    <cellStyle name="40 % – Zvýraznění1 31" xfId="490"/>
    <cellStyle name="40 % – Zvýraznění1 32" xfId="502"/>
    <cellStyle name="40 % – Zvýraznění1 4" xfId="144"/>
    <cellStyle name="40 % – Zvýraznění1 5" xfId="146"/>
    <cellStyle name="40 % – Zvýraznění1 6" xfId="149"/>
    <cellStyle name="40 % – Zvýraznění1 7" xfId="138"/>
    <cellStyle name="40 % – Zvýraznění1 8" xfId="169"/>
    <cellStyle name="40 % – Zvýraznění1 9" xfId="183"/>
    <cellStyle name="40 % – Zvýraznění2" xfId="23" builtinId="35" customBuiltin="1"/>
    <cellStyle name="40 % – Zvýraznění2 10" xfId="252"/>
    <cellStyle name="40 % – Zvýraznění2 11" xfId="266"/>
    <cellStyle name="40 % – Zvýraznění2 12" xfId="280"/>
    <cellStyle name="40 % – Zvýraznění2 13" xfId="294"/>
    <cellStyle name="40 % – Zvýraznění2 14" xfId="308"/>
    <cellStyle name="40 % – Zvýraznění2 15" xfId="322"/>
    <cellStyle name="40 % – Zvýraznění2 16" xfId="336"/>
    <cellStyle name="40 % – Zvýraznění2 17" xfId="350"/>
    <cellStyle name="40 % – Zvýraznění2 18" xfId="364"/>
    <cellStyle name="40 % – Zvýraznění2 19" xfId="378"/>
    <cellStyle name="40 % – Zvýraznění2 2" xfId="127"/>
    <cellStyle name="40 % – Zvýraznění2 20" xfId="392"/>
    <cellStyle name="40 % – Zvýraznění2 21" xfId="406"/>
    <cellStyle name="40 % – Zvýraznění2 22" xfId="420"/>
    <cellStyle name="40 % – Zvýraznění2 23" xfId="434"/>
    <cellStyle name="40 % – Zvýraznění2 24" xfId="448"/>
    <cellStyle name="40 % – Zvýraznění2 25" xfId="462"/>
    <cellStyle name="40 % – Zvýraznění2 26" xfId="476"/>
    <cellStyle name="40 % – Zvýraznění2 27" xfId="489"/>
    <cellStyle name="40 % – Zvýraznění2 28" xfId="501"/>
    <cellStyle name="40 % – Zvýraznění2 29" xfId="513"/>
    <cellStyle name="40 % – Zvýraznění2 3" xfId="159"/>
    <cellStyle name="40 % – Zvýraznění2 30" xfId="523"/>
    <cellStyle name="40 % – Zvýraznění2 31" xfId="533"/>
    <cellStyle name="40 % – Zvýraznění2 32" xfId="543"/>
    <cellStyle name="40 % – Zvýraznění2 4" xfId="168"/>
    <cellStyle name="40 % – Zvýraznění2 5" xfId="182"/>
    <cellStyle name="40 % – Zvýraznění2 6" xfId="196"/>
    <cellStyle name="40 % – Zvýraznění2 7" xfId="210"/>
    <cellStyle name="40 % – Zvýraznění2 8" xfId="224"/>
    <cellStyle name="40 % – Zvýraznění2 9" xfId="238"/>
    <cellStyle name="40 % – Zvýraznění3" xfId="27" builtinId="39" customBuiltin="1"/>
    <cellStyle name="40 % – Zvýraznění3 10" xfId="261"/>
    <cellStyle name="40 % – Zvýraznění3 11" xfId="275"/>
    <cellStyle name="40 % – Zvýraznění3 12" xfId="289"/>
    <cellStyle name="40 % – Zvýraznění3 13" xfId="303"/>
    <cellStyle name="40 % – Zvýraznění3 14" xfId="317"/>
    <cellStyle name="40 % – Zvýraznění3 15" xfId="331"/>
    <cellStyle name="40 % – Zvýraznění3 16" xfId="345"/>
    <cellStyle name="40 % – Zvýraznění3 17" xfId="359"/>
    <cellStyle name="40 % – Zvýraznění3 18" xfId="373"/>
    <cellStyle name="40 % – Zvýraznění3 19" xfId="387"/>
    <cellStyle name="40 % – Zvýraznění3 2" xfId="129"/>
    <cellStyle name="40 % – Zvýraznění3 20" xfId="401"/>
    <cellStyle name="40 % – Zvýraznění3 21" xfId="415"/>
    <cellStyle name="40 % – Zvýraznění3 22" xfId="429"/>
    <cellStyle name="40 % – Zvýraznění3 23" xfId="443"/>
    <cellStyle name="40 % – Zvýraznění3 24" xfId="457"/>
    <cellStyle name="40 % – Zvýraznění3 25" xfId="471"/>
    <cellStyle name="40 % – Zvýraznění3 26" xfId="484"/>
    <cellStyle name="40 % – Zvýraznění3 27" xfId="497"/>
    <cellStyle name="40 % – Zvýraznění3 28" xfId="509"/>
    <cellStyle name="40 % – Zvýraznění3 29" xfId="520"/>
    <cellStyle name="40 % – Zvýraznění3 3" xfId="163"/>
    <cellStyle name="40 % – Zvýraznění3 30" xfId="530"/>
    <cellStyle name="40 % – Zvýraznění3 31" xfId="540"/>
    <cellStyle name="40 % – Zvýraznění3 32" xfId="550"/>
    <cellStyle name="40 % – Zvýraznění3 4" xfId="177"/>
    <cellStyle name="40 % – Zvýraznění3 5" xfId="191"/>
    <cellStyle name="40 % – Zvýraznění3 6" xfId="205"/>
    <cellStyle name="40 % – Zvýraznění3 7" xfId="219"/>
    <cellStyle name="40 % – Zvýraznění3 8" xfId="233"/>
    <cellStyle name="40 % – Zvýraznění3 9" xfId="247"/>
    <cellStyle name="40 % – Zvýraznění4" xfId="31" builtinId="43" customBuiltin="1"/>
    <cellStyle name="40 % – Zvýraznění4 10" xfId="265"/>
    <cellStyle name="40 % – Zvýraznění4 11" xfId="279"/>
    <cellStyle name="40 % – Zvýraznění4 12" xfId="293"/>
    <cellStyle name="40 % – Zvýraznění4 13" xfId="307"/>
    <cellStyle name="40 % – Zvýraznění4 14" xfId="321"/>
    <cellStyle name="40 % – Zvýraznění4 15" xfId="335"/>
    <cellStyle name="40 % – Zvýraznění4 16" xfId="349"/>
    <cellStyle name="40 % – Zvýraznění4 17" xfId="363"/>
    <cellStyle name="40 % – Zvýraznění4 18" xfId="377"/>
    <cellStyle name="40 % – Zvýraznění4 19" xfId="391"/>
    <cellStyle name="40 % – Zvýraznění4 2" xfId="131"/>
    <cellStyle name="40 % – Zvýraznění4 20" xfId="405"/>
    <cellStyle name="40 % – Zvýraznění4 21" xfId="419"/>
    <cellStyle name="40 % – Zvýraznění4 22" xfId="433"/>
    <cellStyle name="40 % – Zvýraznění4 23" xfId="447"/>
    <cellStyle name="40 % – Zvýraznění4 24" xfId="461"/>
    <cellStyle name="40 % – Zvýraznění4 25" xfId="475"/>
    <cellStyle name="40 % – Zvýraznění4 26" xfId="488"/>
    <cellStyle name="40 % – Zvýraznění4 27" xfId="500"/>
    <cellStyle name="40 % – Zvýraznění4 28" xfId="512"/>
    <cellStyle name="40 % – Zvýraznění4 29" xfId="522"/>
    <cellStyle name="40 % – Zvýraznění4 3" xfId="167"/>
    <cellStyle name="40 % – Zvýraznění4 30" xfId="532"/>
    <cellStyle name="40 % – Zvýraznění4 31" xfId="542"/>
    <cellStyle name="40 % – Zvýraznění4 32" xfId="552"/>
    <cellStyle name="40 % – Zvýraznění4 4" xfId="181"/>
    <cellStyle name="40 % – Zvýraznění4 5" xfId="195"/>
    <cellStyle name="40 % – Zvýraznění4 6" xfId="209"/>
    <cellStyle name="40 % – Zvýraznění4 7" xfId="223"/>
    <cellStyle name="40 % – Zvýraznění4 8" xfId="237"/>
    <cellStyle name="40 % – Zvýraznění4 9" xfId="251"/>
    <cellStyle name="40 % – Zvýraznění5" xfId="35" builtinId="47" customBuiltin="1"/>
    <cellStyle name="40 % – Zvýraznění5 10" xfId="269"/>
    <cellStyle name="40 % – Zvýraznění5 11" xfId="283"/>
    <cellStyle name="40 % – Zvýraznění5 12" xfId="297"/>
    <cellStyle name="40 % – Zvýraznění5 13" xfId="311"/>
    <cellStyle name="40 % – Zvýraznění5 14" xfId="325"/>
    <cellStyle name="40 % – Zvýraznění5 15" xfId="339"/>
    <cellStyle name="40 % – Zvýraznění5 16" xfId="353"/>
    <cellStyle name="40 % – Zvýraznění5 17" xfId="367"/>
    <cellStyle name="40 % – Zvýraznění5 18" xfId="381"/>
    <cellStyle name="40 % – Zvýraznění5 19" xfId="395"/>
    <cellStyle name="40 % – Zvýraznění5 2" xfId="133"/>
    <cellStyle name="40 % – Zvýraznění5 20" xfId="409"/>
    <cellStyle name="40 % – Zvýraznění5 21" xfId="423"/>
    <cellStyle name="40 % – Zvýraznění5 22" xfId="437"/>
    <cellStyle name="40 % – Zvýraznění5 23" xfId="451"/>
    <cellStyle name="40 % – Zvýraznění5 24" xfId="465"/>
    <cellStyle name="40 % – Zvýraznění5 25" xfId="479"/>
    <cellStyle name="40 % – Zvýraznění5 26" xfId="492"/>
    <cellStyle name="40 % – Zvýraznění5 27" xfId="504"/>
    <cellStyle name="40 % – Zvýraznění5 28" xfId="515"/>
    <cellStyle name="40 % – Zvýraznění5 29" xfId="525"/>
    <cellStyle name="40 % – Zvýraznění5 3" xfId="171"/>
    <cellStyle name="40 % – Zvýraznění5 30" xfId="535"/>
    <cellStyle name="40 % – Zvýraznění5 31" xfId="545"/>
    <cellStyle name="40 % – Zvýraznění5 32" xfId="554"/>
    <cellStyle name="40 % – Zvýraznění5 4" xfId="185"/>
    <cellStyle name="40 % – Zvýraznění5 5" xfId="199"/>
    <cellStyle name="40 % – Zvýraznění5 6" xfId="213"/>
    <cellStyle name="40 % – Zvýraznění5 7" xfId="227"/>
    <cellStyle name="40 % – Zvýraznění5 8" xfId="241"/>
    <cellStyle name="40 % – Zvýraznění5 9" xfId="255"/>
    <cellStyle name="40 % – Zvýraznění6" xfId="39" builtinId="51" customBuiltin="1"/>
    <cellStyle name="40 % – Zvýraznění6 10" xfId="273"/>
    <cellStyle name="40 % – Zvýraznění6 11" xfId="287"/>
    <cellStyle name="40 % – Zvýraznění6 12" xfId="301"/>
    <cellStyle name="40 % – Zvýraznění6 13" xfId="315"/>
    <cellStyle name="40 % – Zvýraznění6 14" xfId="329"/>
    <cellStyle name="40 % – Zvýraznění6 15" xfId="343"/>
    <cellStyle name="40 % – Zvýraznění6 16" xfId="357"/>
    <cellStyle name="40 % – Zvýraznění6 17" xfId="371"/>
    <cellStyle name="40 % – Zvýraznění6 18" xfId="385"/>
    <cellStyle name="40 % – Zvýraznění6 19" xfId="399"/>
    <cellStyle name="40 % – Zvýraznění6 2" xfId="135"/>
    <cellStyle name="40 % – Zvýraznění6 20" xfId="413"/>
    <cellStyle name="40 % – Zvýraznění6 21" xfId="427"/>
    <cellStyle name="40 % – Zvýraznění6 22" xfId="441"/>
    <cellStyle name="40 % – Zvýraznění6 23" xfId="455"/>
    <cellStyle name="40 % – Zvýraznění6 24" xfId="469"/>
    <cellStyle name="40 % – Zvýraznění6 25" xfId="483"/>
    <cellStyle name="40 % – Zvýraznění6 26" xfId="496"/>
    <cellStyle name="40 % – Zvýraznění6 27" xfId="508"/>
    <cellStyle name="40 % – Zvýraznění6 28" xfId="519"/>
    <cellStyle name="40 % – Zvýraznění6 29" xfId="529"/>
    <cellStyle name="40 % – Zvýraznění6 3" xfId="175"/>
    <cellStyle name="40 % – Zvýraznění6 30" xfId="539"/>
    <cellStyle name="40 % – Zvýraznění6 31" xfId="549"/>
    <cellStyle name="40 % – Zvýraznění6 32" xfId="556"/>
    <cellStyle name="40 % – Zvýraznění6 4" xfId="189"/>
    <cellStyle name="40 % – Zvýraznění6 5" xfId="203"/>
    <cellStyle name="40 % – Zvýraznění6 6" xfId="217"/>
    <cellStyle name="40 % – Zvýraznění6 7" xfId="231"/>
    <cellStyle name="40 % – Zvýraznění6 8" xfId="245"/>
    <cellStyle name="40 % – Zvýraznění6 9" xfId="259"/>
    <cellStyle name="60 % – Zvýraznění1" xfId="20" builtinId="32" customBuiltin="1"/>
    <cellStyle name="60 % – Zvýraznění2" xfId="24" builtinId="36" customBuiltin="1"/>
    <cellStyle name="60 % – Zvýraznění3" xfId="28" builtinId="40" customBuiltin="1"/>
    <cellStyle name="60 % – Zvýraznění4" xfId="32" builtinId="44" customBuiltin="1"/>
    <cellStyle name="60 % – Zvýraznění5" xfId="36" builtinId="48" customBuiltin="1"/>
    <cellStyle name="60 % – Zvýraznění6" xfId="40" builtinId="52" customBuiltin="1"/>
    <cellStyle name="Celkem" xfId="16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10" xfId="59"/>
    <cellStyle name="normální 11" xfId="58"/>
    <cellStyle name="normální 12" xfId="62"/>
    <cellStyle name="normální 13" xfId="78"/>
    <cellStyle name="normální 14" xfId="98"/>
    <cellStyle name="normální 15" xfId="84"/>
    <cellStyle name="normální 16" xfId="97"/>
    <cellStyle name="normální 17" xfId="88"/>
    <cellStyle name="normální 18" xfId="82"/>
    <cellStyle name="normální 19" xfId="72"/>
    <cellStyle name="normální 2" xfId="41"/>
    <cellStyle name="normální 2 2" xfId="557"/>
    <cellStyle name="normální 20" xfId="74"/>
    <cellStyle name="normální 21" xfId="87"/>
    <cellStyle name="normální 22" xfId="86"/>
    <cellStyle name="normální 23" xfId="90"/>
    <cellStyle name="normální 24" xfId="96"/>
    <cellStyle name="normální 25" xfId="92"/>
    <cellStyle name="normální 26" xfId="89"/>
    <cellStyle name="normální 27" xfId="100"/>
    <cellStyle name="normální 28" xfId="102"/>
    <cellStyle name="normální 29" xfId="104"/>
    <cellStyle name="normální 3" xfId="69"/>
    <cellStyle name="normální 30" xfId="106"/>
    <cellStyle name="normální 31" xfId="108"/>
    <cellStyle name="normální 32" xfId="110"/>
    <cellStyle name="normální 33" xfId="111"/>
    <cellStyle name="normální 34" xfId="112"/>
    <cellStyle name="normální 35" xfId="113"/>
    <cellStyle name="normální 36" xfId="114"/>
    <cellStyle name="normální 37" xfId="115"/>
    <cellStyle name="normální 38" xfId="116"/>
    <cellStyle name="normální 39" xfId="117"/>
    <cellStyle name="normální 4" xfId="56"/>
    <cellStyle name="normální 40" xfId="118"/>
    <cellStyle name="normální 41" xfId="122"/>
    <cellStyle name="normální 42" xfId="137"/>
    <cellStyle name="normální 43" xfId="173"/>
    <cellStyle name="normální 44" xfId="187"/>
    <cellStyle name="normální 45" xfId="201"/>
    <cellStyle name="normální 46" xfId="215"/>
    <cellStyle name="normální 47" xfId="229"/>
    <cellStyle name="normální 48" xfId="243"/>
    <cellStyle name="normální 49" xfId="257"/>
    <cellStyle name="normální 5" xfId="68"/>
    <cellStyle name="normální 50" xfId="271"/>
    <cellStyle name="normální 51" xfId="285"/>
    <cellStyle name="normální 52" xfId="299"/>
    <cellStyle name="normální 53" xfId="313"/>
    <cellStyle name="normální 54" xfId="327"/>
    <cellStyle name="normální 55" xfId="341"/>
    <cellStyle name="normální 56" xfId="355"/>
    <cellStyle name="normální 57" xfId="369"/>
    <cellStyle name="normální 58" xfId="383"/>
    <cellStyle name="normální 59" xfId="397"/>
    <cellStyle name="normální 6" xfId="60"/>
    <cellStyle name="normální 60" xfId="411"/>
    <cellStyle name="normální 61" xfId="425"/>
    <cellStyle name="normální 62" xfId="439"/>
    <cellStyle name="normální 63" xfId="453"/>
    <cellStyle name="normální 64" xfId="467"/>
    <cellStyle name="normální 65" xfId="481"/>
    <cellStyle name="normální 66" xfId="494"/>
    <cellStyle name="normální 67" xfId="506"/>
    <cellStyle name="normální 68" xfId="517"/>
    <cellStyle name="normální 69" xfId="527"/>
    <cellStyle name="normální 7" xfId="55"/>
    <cellStyle name="normální 70" xfId="537"/>
    <cellStyle name="normální 71" xfId="547"/>
    <cellStyle name="normální 8" xfId="51"/>
    <cellStyle name="normální 9" xfId="43"/>
    <cellStyle name="normální_2005Seznam kapitálových výdajů" xfId="119"/>
    <cellStyle name="normální_bilance" xfId="136"/>
    <cellStyle name="normální_n 2005 MČ I.etapa - Kriteria a jejich veličiny-upřesnění ZŠ,MŠ" xfId="121"/>
    <cellStyle name="normální_n2005-Kriteria,vč.porovnání 04-05" xfId="120"/>
    <cellStyle name="Poznámka 10" xfId="54"/>
    <cellStyle name="Poznámka 11" xfId="45"/>
    <cellStyle name="Poznámka 12" xfId="47"/>
    <cellStyle name="Poznámka 13" xfId="70"/>
    <cellStyle name="Poznámka 14" xfId="71"/>
    <cellStyle name="Poznámka 15" xfId="79"/>
    <cellStyle name="Poznámka 16" xfId="46"/>
    <cellStyle name="Poznámka 17" xfId="91"/>
    <cellStyle name="Poznámka 18" xfId="93"/>
    <cellStyle name="Poznámka 19" xfId="85"/>
    <cellStyle name="Poznámka 2" xfId="50"/>
    <cellStyle name="Poznámka 20" xfId="94"/>
    <cellStyle name="Poznámka 21" xfId="81"/>
    <cellStyle name="Poznámka 22" xfId="75"/>
    <cellStyle name="Poznámka 23" xfId="49"/>
    <cellStyle name="Poznámka 24" xfId="76"/>
    <cellStyle name="Poznámka 25" xfId="61"/>
    <cellStyle name="Poznámka 26" xfId="95"/>
    <cellStyle name="Poznámka 27" xfId="99"/>
    <cellStyle name="Poznámka 28" xfId="80"/>
    <cellStyle name="Poznámka 29" xfId="67"/>
    <cellStyle name="Poznámka 3" xfId="44"/>
    <cellStyle name="Poznámka 30" xfId="53"/>
    <cellStyle name="Poznámka 31" xfId="48"/>
    <cellStyle name="Poznámka 32" xfId="77"/>
    <cellStyle name="Poznámka 33" xfId="64"/>
    <cellStyle name="Poznámka 34" xfId="73"/>
    <cellStyle name="Poznámka 35" xfId="83"/>
    <cellStyle name="Poznámka 36" xfId="101"/>
    <cellStyle name="Poznámka 37" xfId="103"/>
    <cellStyle name="Poznámka 38" xfId="105"/>
    <cellStyle name="Poznámka 39" xfId="107"/>
    <cellStyle name="Poznámka 4" xfId="52"/>
    <cellStyle name="Poznámka 40" xfId="109"/>
    <cellStyle name="Poznámka 41" xfId="123"/>
    <cellStyle name="Poznámka 42" xfId="150"/>
    <cellStyle name="Poznámka 43" xfId="142"/>
    <cellStyle name="Poznámka 44" xfId="153"/>
    <cellStyle name="Poznámka 45" xfId="139"/>
    <cellStyle name="Poznámka 46" xfId="165"/>
    <cellStyle name="Poznámka 47" xfId="179"/>
    <cellStyle name="Poznámka 48" xfId="193"/>
    <cellStyle name="Poznámka 49" xfId="207"/>
    <cellStyle name="Poznámka 5" xfId="42"/>
    <cellStyle name="Poznámka 50" xfId="221"/>
    <cellStyle name="Poznámka 51" xfId="235"/>
    <cellStyle name="Poznámka 52" xfId="249"/>
    <cellStyle name="Poznámka 53" xfId="263"/>
    <cellStyle name="Poznámka 54" xfId="277"/>
    <cellStyle name="Poznámka 55" xfId="291"/>
    <cellStyle name="Poznámka 56" xfId="305"/>
    <cellStyle name="Poznámka 57" xfId="319"/>
    <cellStyle name="Poznámka 58" xfId="333"/>
    <cellStyle name="Poznámka 59" xfId="347"/>
    <cellStyle name="Poznámka 6" xfId="63"/>
    <cellStyle name="Poznámka 60" xfId="361"/>
    <cellStyle name="Poznámka 61" xfId="375"/>
    <cellStyle name="Poznámka 62" xfId="389"/>
    <cellStyle name="Poznámka 63" xfId="403"/>
    <cellStyle name="Poznámka 64" xfId="417"/>
    <cellStyle name="Poznámka 65" xfId="431"/>
    <cellStyle name="Poznámka 66" xfId="445"/>
    <cellStyle name="Poznámka 67" xfId="459"/>
    <cellStyle name="Poznámka 68" xfId="473"/>
    <cellStyle name="Poznámka 69" xfId="486"/>
    <cellStyle name="Poznámka 7" xfId="65"/>
    <cellStyle name="Poznámka 70" xfId="498"/>
    <cellStyle name="Poznámka 71" xfId="510"/>
    <cellStyle name="Poznámka 8" xfId="57"/>
    <cellStyle name="Poznámka 9" xfId="66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5" builtinId="53" customBuiltin="1"/>
    <cellStyle name="Zvýraznění 1" xfId="17" builtinId="29" customBuiltin="1"/>
    <cellStyle name="Zvýraznění 2" xfId="21" builtinId="33" customBuiltin="1"/>
    <cellStyle name="Zvýraznění 3" xfId="25" builtinId="37" customBuiltin="1"/>
    <cellStyle name="Zvýraznění 4" xfId="29" builtinId="41" customBuiltin="1"/>
    <cellStyle name="Zvýraznění 5" xfId="33" builtinId="45" customBuiltin="1"/>
    <cellStyle name="Zvýraznění 6" xfId="37" builtinId="49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List1">
    <pageSetUpPr fitToPage="1"/>
  </sheetPr>
  <dimension ref="A1:AR107"/>
  <sheetViews>
    <sheetView showZeros="0" view="pageBreakPreview" zoomScaleNormal="100" zoomScaleSheetLayoutView="100" workbookViewId="0">
      <pane xSplit="1" ySplit="10" topLeftCell="B11" activePane="bottomRight" state="frozen"/>
      <selection activeCell="A4" sqref="A4:T4"/>
      <selection pane="topRight" activeCell="A4" sqref="A4:T4"/>
      <selection pane="bottomLeft" activeCell="A4" sqref="A4:T4"/>
      <selection pane="bottomRight"/>
    </sheetView>
  </sheetViews>
  <sheetFormatPr defaultRowHeight="15.75" x14ac:dyDescent="0.25"/>
  <cols>
    <col min="1" max="1" width="27.6640625" style="222" customWidth="1"/>
    <col min="2" max="4" width="10.33203125" style="222" customWidth="1"/>
    <col min="5" max="5" width="13.88671875" style="222" hidden="1" customWidth="1"/>
    <col min="6" max="6" width="2.88671875" style="222" hidden="1" customWidth="1"/>
    <col min="7" max="7" width="7.5546875" style="222" customWidth="1"/>
    <col min="8" max="10" width="10.33203125" style="222" customWidth="1"/>
    <col min="11" max="11" width="11.109375" style="222" hidden="1" customWidth="1"/>
    <col min="12" max="12" width="6.21875" style="222" hidden="1" customWidth="1"/>
    <col min="13" max="13" width="7.5546875" style="222" customWidth="1"/>
    <col min="14" max="16" width="10.33203125" style="222" customWidth="1"/>
    <col min="17" max="17" width="7.5546875" style="222" customWidth="1"/>
    <col min="18" max="18" width="14" style="222" customWidth="1"/>
    <col min="19" max="20" width="12.44140625" style="222" customWidth="1"/>
    <col min="21" max="21" width="11" style="222" customWidth="1"/>
    <col min="22" max="22" width="13.6640625" style="222" customWidth="1"/>
    <col min="23" max="23" width="12.88671875" style="222" customWidth="1"/>
    <col min="24" max="24" width="14.6640625" style="222" customWidth="1"/>
    <col min="25" max="25" width="9.77734375" style="222" customWidth="1"/>
    <col min="26" max="26" width="10.77734375" style="222" customWidth="1"/>
    <col min="27" max="27" width="9.21875" style="222" customWidth="1"/>
    <col min="28" max="28" width="5.77734375" style="222" customWidth="1"/>
    <col min="29" max="32" width="9.77734375" style="222"/>
    <col min="33" max="33" width="10.77734375" style="222" customWidth="1"/>
    <col min="34" max="36" width="9.77734375" style="222"/>
    <col min="37" max="37" width="10.77734375" style="222" customWidth="1"/>
    <col min="38" max="39" width="9.77734375" style="222"/>
    <col min="40" max="40" width="10.77734375" style="222" customWidth="1"/>
    <col min="41" max="16384" width="8.88671875" style="222"/>
  </cols>
  <sheetData>
    <row r="1" spans="1:44" ht="17.25" customHeight="1" x14ac:dyDescent="0.25"/>
    <row r="2" spans="1:44" s="218" customFormat="1" ht="24" customHeight="1" x14ac:dyDescent="0.35">
      <c r="A2" s="335" t="s">
        <v>244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8"/>
    </row>
    <row r="3" spans="1:44" s="218" customFormat="1" ht="15" customHeight="1" x14ac:dyDescent="0.35"/>
    <row r="4" spans="1:44" s="218" customFormat="1" ht="21" customHeight="1" x14ac:dyDescent="0.35">
      <c r="A4" s="339" t="s">
        <v>20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</row>
    <row r="5" spans="1:44" ht="22.5" customHeight="1" x14ac:dyDescent="0.25">
      <c r="T5" s="10" t="s">
        <v>25</v>
      </c>
    </row>
    <row r="6" spans="1:44" ht="19.5" customHeight="1" thickBot="1" x14ac:dyDescent="0.3">
      <c r="T6" s="10" t="s">
        <v>1</v>
      </c>
    </row>
    <row r="7" spans="1:44" s="221" customFormat="1" ht="31.5" customHeight="1" x14ac:dyDescent="0.25">
      <c r="A7" s="336" t="s">
        <v>192</v>
      </c>
      <c r="B7" s="340" t="s">
        <v>22</v>
      </c>
      <c r="C7" s="341"/>
      <c r="D7" s="341"/>
      <c r="E7" s="341"/>
      <c r="F7" s="341"/>
      <c r="G7" s="342"/>
      <c r="H7" s="340" t="s">
        <v>23</v>
      </c>
      <c r="I7" s="341"/>
      <c r="J7" s="341"/>
      <c r="K7" s="341"/>
      <c r="L7" s="341"/>
      <c r="M7" s="342"/>
      <c r="N7" s="340" t="s">
        <v>24</v>
      </c>
      <c r="O7" s="341"/>
      <c r="P7" s="341"/>
      <c r="Q7" s="342"/>
      <c r="R7" s="336" t="s">
        <v>210</v>
      </c>
      <c r="S7" s="343" t="s">
        <v>224</v>
      </c>
      <c r="T7" s="344"/>
    </row>
    <row r="8" spans="1:44" s="221" customFormat="1" ht="31.5" customHeight="1" x14ac:dyDescent="0.25">
      <c r="A8" s="337"/>
      <c r="B8" s="332" t="s">
        <v>196</v>
      </c>
      <c r="C8" s="334" t="s">
        <v>197</v>
      </c>
      <c r="D8" s="330" t="s">
        <v>223</v>
      </c>
      <c r="E8" s="109" t="s">
        <v>0</v>
      </c>
      <c r="F8" s="110"/>
      <c r="G8" s="111" t="s">
        <v>0</v>
      </c>
      <c r="H8" s="332" t="s">
        <v>196</v>
      </c>
      <c r="I8" s="334" t="s">
        <v>197</v>
      </c>
      <c r="J8" s="330" t="s">
        <v>223</v>
      </c>
      <c r="K8" s="109" t="s">
        <v>0</v>
      </c>
      <c r="L8" s="110"/>
      <c r="M8" s="111" t="s">
        <v>0</v>
      </c>
      <c r="N8" s="332" t="s">
        <v>196</v>
      </c>
      <c r="O8" s="334" t="s">
        <v>197</v>
      </c>
      <c r="P8" s="330" t="s">
        <v>223</v>
      </c>
      <c r="Q8" s="111" t="s">
        <v>0</v>
      </c>
      <c r="R8" s="337"/>
      <c r="S8" s="345" t="s">
        <v>15</v>
      </c>
      <c r="T8" s="346"/>
    </row>
    <row r="9" spans="1:44" s="221" customFormat="1" ht="31.5" customHeight="1" thickBot="1" x14ac:dyDescent="0.3">
      <c r="A9" s="338"/>
      <c r="B9" s="333"/>
      <c r="C9" s="331"/>
      <c r="D9" s="331"/>
      <c r="E9" s="69" t="s">
        <v>11</v>
      </c>
      <c r="F9" s="70"/>
      <c r="G9" s="18" t="s">
        <v>11</v>
      </c>
      <c r="H9" s="333"/>
      <c r="I9" s="331"/>
      <c r="J9" s="331"/>
      <c r="K9" s="69" t="s">
        <v>11</v>
      </c>
      <c r="L9" s="70"/>
      <c r="M9" s="18" t="s">
        <v>11</v>
      </c>
      <c r="N9" s="333"/>
      <c r="O9" s="331"/>
      <c r="P9" s="331"/>
      <c r="Q9" s="18" t="s">
        <v>11</v>
      </c>
      <c r="R9" s="338"/>
      <c r="S9" s="213" t="s">
        <v>5</v>
      </c>
      <c r="T9" s="214" t="s">
        <v>104</v>
      </c>
      <c r="AP9" s="221" t="s">
        <v>6</v>
      </c>
      <c r="AQ9" s="221" t="s">
        <v>7</v>
      </c>
      <c r="AR9" s="221" t="s">
        <v>8</v>
      </c>
    </row>
    <row r="10" spans="1:44" ht="18" customHeight="1" thickBot="1" x14ac:dyDescent="0.3">
      <c r="A10" s="226"/>
      <c r="B10" s="32"/>
      <c r="C10" s="223"/>
      <c r="D10" s="223"/>
      <c r="E10" s="223" t="s">
        <v>187</v>
      </c>
      <c r="F10" s="223"/>
      <c r="G10" s="224"/>
      <c r="H10" s="32"/>
      <c r="I10" s="223"/>
      <c r="J10" s="223"/>
      <c r="K10" s="223"/>
      <c r="L10" s="223"/>
      <c r="M10" s="224"/>
      <c r="N10" s="32"/>
      <c r="O10" s="223"/>
      <c r="P10" s="223"/>
      <c r="Q10" s="95"/>
      <c r="R10" s="226"/>
      <c r="S10" s="32"/>
      <c r="T10" s="224"/>
      <c r="V10" s="244">
        <v>231</v>
      </c>
      <c r="W10" s="244">
        <v>236</v>
      </c>
    </row>
    <row r="11" spans="1:44" ht="17.100000000000001" customHeight="1" x14ac:dyDescent="0.25">
      <c r="A11" s="28" t="s">
        <v>155</v>
      </c>
      <c r="B11" s="29">
        <f>SUM('Příjmy '!B11+'Příjmy '!H11+'Příjmy '!L11+'Příjmy '!P11)</f>
        <v>358848</v>
      </c>
      <c r="C11" s="30">
        <f>SUM('Příjmy '!C11+'Příjmy '!I11+'Příjmy '!M11+'Příjmy '!Q11)</f>
        <v>447503</v>
      </c>
      <c r="D11" s="30">
        <f>SUM('Příjmy '!D11+'Příjmy '!J11+'Příjmy '!N11+'Příjmy '!R11)</f>
        <v>409786</v>
      </c>
      <c r="E11" s="71">
        <v>-456277613.24000001</v>
      </c>
      <c r="F11" s="71">
        <f>-E11/1000-D11</f>
        <v>46491.613240000035</v>
      </c>
      <c r="G11" s="31">
        <f>SUM(D11/C11*100)</f>
        <v>91.571676614458454</v>
      </c>
      <c r="H11" s="29">
        <v>495207</v>
      </c>
      <c r="I11" s="30">
        <v>613555</v>
      </c>
      <c r="J11" s="30">
        <v>454299</v>
      </c>
      <c r="K11" s="71">
        <v>443942500</v>
      </c>
      <c r="L11" s="71">
        <f>K11/1000-J11</f>
        <v>-10356.5</v>
      </c>
      <c r="M11" s="31">
        <f>SUM(J11/I11*100)</f>
        <v>74.043728761072771</v>
      </c>
      <c r="N11" s="29">
        <f>SUM(B11-H11)</f>
        <v>-136359</v>
      </c>
      <c r="O11" s="30">
        <f t="shared" ref="O11:O38" si="0">SUM(C11-I11)</f>
        <v>-166052</v>
      </c>
      <c r="P11" s="30">
        <f>SUM(D11-J11)</f>
        <v>-44513</v>
      </c>
      <c r="Q11" s="64">
        <f t="shared" ref="Q11:Q38" si="1">SUM(P11/O11*100)</f>
        <v>26.806662973044588</v>
      </c>
      <c r="R11" s="245">
        <f>ROUND(X11/1000,0)</f>
        <v>134478</v>
      </c>
      <c r="S11" s="207">
        <v>66373</v>
      </c>
      <c r="T11" s="208">
        <v>6444</v>
      </c>
      <c r="V11" s="246">
        <f>67102112.14+50000000</f>
        <v>117102112.14</v>
      </c>
      <c r="W11" s="246">
        <v>17376133</v>
      </c>
      <c r="X11" s="46">
        <f>V11+W11</f>
        <v>134478245.13999999</v>
      </c>
      <c r="AP11" s="222">
        <v>-1</v>
      </c>
    </row>
    <row r="12" spans="1:44" ht="17.100000000000001" customHeight="1" x14ac:dyDescent="0.25">
      <c r="A12" s="20" t="s">
        <v>156</v>
      </c>
      <c r="B12" s="21">
        <f>SUM('Příjmy '!B12+'Příjmy '!H12+'Příjmy '!L12+'Příjmy '!P12)</f>
        <v>48844</v>
      </c>
      <c r="C12" s="22">
        <f>SUM('Příjmy '!C12+'Příjmy '!I12+'Příjmy '!M12+'Příjmy '!Q12)</f>
        <v>69109</v>
      </c>
      <c r="D12" s="22">
        <f>SUM('Příjmy '!D12+'Příjmy '!J12+'Příjmy '!N12+'Příjmy '!R12)</f>
        <v>69299</v>
      </c>
      <c r="E12" s="72">
        <v>-75121762.120000005</v>
      </c>
      <c r="F12" s="72">
        <f t="shared" ref="F12:F39" si="2">-E12/1000-D12</f>
        <v>5822.7621199999994</v>
      </c>
      <c r="G12" s="23">
        <f t="shared" ref="G12:G39" si="3">SUM(D12/C12*100)</f>
        <v>100.27492801227046</v>
      </c>
      <c r="H12" s="21">
        <v>62447</v>
      </c>
      <c r="I12" s="22">
        <v>82711</v>
      </c>
      <c r="J12" s="22">
        <v>68118</v>
      </c>
      <c r="K12" s="72">
        <v>63778450</v>
      </c>
      <c r="L12" s="72">
        <f t="shared" ref="L12:L39" si="4">K12/1000-J12</f>
        <v>-4339.5500000000029</v>
      </c>
      <c r="M12" s="23">
        <f t="shared" ref="M12:M39" si="5">SUM(J12/I12*100)</f>
        <v>82.356639382911581</v>
      </c>
      <c r="N12" s="21">
        <f>SUM(B12-H12)</f>
        <v>-13603</v>
      </c>
      <c r="O12" s="22">
        <f t="shared" si="0"/>
        <v>-13602</v>
      </c>
      <c r="P12" s="22">
        <f t="shared" ref="P12:P38" si="6">SUM(D12-J12)</f>
        <v>1181</v>
      </c>
      <c r="Q12" s="64"/>
      <c r="R12" s="247">
        <f>ROUND(X12/1000,0)+1</f>
        <v>14577</v>
      </c>
      <c r="S12" s="209">
        <v>13918</v>
      </c>
      <c r="T12" s="210">
        <v>1523</v>
      </c>
      <c r="V12" s="248">
        <v>12203079.890000001</v>
      </c>
      <c r="W12" s="248">
        <v>2373368.8199999998</v>
      </c>
      <c r="X12" s="46">
        <f t="shared" ref="X12:X39" si="7">V12+W12</f>
        <v>14576448.710000001</v>
      </c>
    </row>
    <row r="13" spans="1:44" ht="17.100000000000001" customHeight="1" x14ac:dyDescent="0.25">
      <c r="A13" s="20" t="s">
        <v>157</v>
      </c>
      <c r="B13" s="21">
        <f>SUM('Příjmy '!B13+'Příjmy '!H13+'Příjmy '!L13+'Příjmy '!P13)</f>
        <v>48631</v>
      </c>
      <c r="C13" s="22">
        <f>SUM('Příjmy '!C13+'Příjmy '!I13+'Příjmy '!M13+'Příjmy '!Q13)</f>
        <v>80118</v>
      </c>
      <c r="D13" s="22">
        <f>SUM('Příjmy '!D13+'Příjmy '!J13+'Příjmy '!N13+'Příjmy '!R13)</f>
        <v>80211</v>
      </c>
      <c r="E13" s="72">
        <v>-95749039.849999994</v>
      </c>
      <c r="F13" s="72">
        <f t="shared" si="2"/>
        <v>15538.039850000001</v>
      </c>
      <c r="G13" s="23">
        <f t="shared" si="3"/>
        <v>100.1160787837939</v>
      </c>
      <c r="H13" s="21">
        <v>118290</v>
      </c>
      <c r="I13" s="22">
        <v>163686</v>
      </c>
      <c r="J13" s="22">
        <v>85938</v>
      </c>
      <c r="K13" s="72">
        <v>68349807</v>
      </c>
      <c r="L13" s="72">
        <f t="shared" si="4"/>
        <v>-17588.192999999999</v>
      </c>
      <c r="M13" s="23">
        <f t="shared" si="5"/>
        <v>52.501741138521318</v>
      </c>
      <c r="N13" s="21">
        <f t="shared" ref="N13:N39" si="8">SUM(B13-H13)</f>
        <v>-69659</v>
      </c>
      <c r="O13" s="22">
        <f t="shared" si="0"/>
        <v>-83568</v>
      </c>
      <c r="P13" s="22">
        <f t="shared" si="6"/>
        <v>-5727</v>
      </c>
      <c r="Q13" s="64">
        <f t="shared" si="1"/>
        <v>6.8531016657093629</v>
      </c>
      <c r="R13" s="247">
        <f t="shared" ref="R13:R39" si="9">ROUND(X13/1000,0)</f>
        <v>146269</v>
      </c>
      <c r="S13" s="209">
        <v>12932</v>
      </c>
      <c r="T13" s="210">
        <v>1436</v>
      </c>
      <c r="V13" s="249">
        <v>46406993.68</v>
      </c>
      <c r="W13" s="249">
        <v>99862148.840000004</v>
      </c>
      <c r="X13" s="46">
        <f t="shared" si="7"/>
        <v>146269142.52000001</v>
      </c>
    </row>
    <row r="14" spans="1:44" ht="17.100000000000001" customHeight="1" x14ac:dyDescent="0.25">
      <c r="A14" s="20" t="s">
        <v>158</v>
      </c>
      <c r="B14" s="21">
        <f>SUM('Příjmy '!B14+'Příjmy '!H14+'Příjmy '!L14+'Příjmy '!P14)</f>
        <v>58229</v>
      </c>
      <c r="C14" s="22">
        <f>SUM('Příjmy '!C14+'Příjmy '!I14+'Příjmy '!M14+'Příjmy '!Q14)</f>
        <v>84798</v>
      </c>
      <c r="D14" s="22">
        <f>SUM('Příjmy '!D14+'Příjmy '!J14+'Příjmy '!N14+'Příjmy '!R14)</f>
        <v>84904</v>
      </c>
      <c r="E14" s="72">
        <v>-72467755.939999998</v>
      </c>
      <c r="F14" s="72">
        <f t="shared" si="2"/>
        <v>-12436.244059999997</v>
      </c>
      <c r="G14" s="23">
        <f t="shared" si="3"/>
        <v>100.12500294818274</v>
      </c>
      <c r="H14" s="21">
        <v>71038</v>
      </c>
      <c r="I14" s="22">
        <v>97978</v>
      </c>
      <c r="J14" s="22">
        <v>78861</v>
      </c>
      <c r="K14" s="72">
        <v>52677591</v>
      </c>
      <c r="L14" s="72">
        <f t="shared" si="4"/>
        <v>-26183.409</v>
      </c>
      <c r="M14" s="23">
        <f t="shared" si="5"/>
        <v>80.488477005041943</v>
      </c>
      <c r="N14" s="21">
        <f t="shared" si="8"/>
        <v>-12809</v>
      </c>
      <c r="O14" s="22">
        <f t="shared" si="0"/>
        <v>-13180</v>
      </c>
      <c r="P14" s="22">
        <f t="shared" si="6"/>
        <v>6043</v>
      </c>
      <c r="Q14" s="64"/>
      <c r="R14" s="247">
        <f t="shared" si="9"/>
        <v>50776</v>
      </c>
      <c r="S14" s="209">
        <v>10648</v>
      </c>
      <c r="T14" s="210">
        <v>1099</v>
      </c>
      <c r="V14" s="250">
        <v>26022803.920000002</v>
      </c>
      <c r="W14" s="250">
        <v>24753382.780000001</v>
      </c>
      <c r="X14" s="46">
        <f t="shared" si="7"/>
        <v>50776186.700000003</v>
      </c>
      <c r="AP14" s="222">
        <v>-1</v>
      </c>
    </row>
    <row r="15" spans="1:44" ht="17.100000000000001" customHeight="1" x14ac:dyDescent="0.25">
      <c r="A15" s="20" t="s">
        <v>159</v>
      </c>
      <c r="B15" s="21">
        <f>SUM('Příjmy '!B15+'Příjmy '!H15+'Příjmy '!L15+'Příjmy '!P15)</f>
        <v>53890</v>
      </c>
      <c r="C15" s="22">
        <f>SUM('Příjmy '!C15+'Příjmy '!I15+'Příjmy '!M15+'Příjmy '!Q15)</f>
        <v>130956</v>
      </c>
      <c r="D15" s="22">
        <f>SUM('Příjmy '!D15+'Příjmy '!J15+'Příjmy '!N15+'Příjmy '!R15)</f>
        <v>131389</v>
      </c>
      <c r="E15" s="72">
        <v>-64541218.439999998</v>
      </c>
      <c r="F15" s="72">
        <f t="shared" si="2"/>
        <v>-66847.781560000003</v>
      </c>
      <c r="G15" s="23">
        <f t="shared" si="3"/>
        <v>100.33064540761782</v>
      </c>
      <c r="H15" s="21">
        <v>60644</v>
      </c>
      <c r="I15" s="22">
        <v>116272</v>
      </c>
      <c r="J15" s="22">
        <v>102662</v>
      </c>
      <c r="K15" s="72">
        <v>64296882</v>
      </c>
      <c r="L15" s="72">
        <f t="shared" si="4"/>
        <v>-38365.118000000002</v>
      </c>
      <c r="M15" s="23">
        <f t="shared" si="5"/>
        <v>88.294688317049676</v>
      </c>
      <c r="N15" s="21">
        <f t="shared" si="8"/>
        <v>-6754</v>
      </c>
      <c r="O15" s="22">
        <f t="shared" si="0"/>
        <v>14684</v>
      </c>
      <c r="P15" s="22">
        <f t="shared" si="6"/>
        <v>28727</v>
      </c>
      <c r="Q15" s="64">
        <f t="shared" si="1"/>
        <v>195.63470444020703</v>
      </c>
      <c r="R15" s="247">
        <f>ROUND(X15/1000,0)</f>
        <v>78786</v>
      </c>
      <c r="S15" s="209">
        <v>12804</v>
      </c>
      <c r="T15" s="210">
        <v>1147</v>
      </c>
      <c r="V15" s="251">
        <v>72144344.659999996</v>
      </c>
      <c r="W15" s="251">
        <v>6641438.6799999997</v>
      </c>
      <c r="X15" s="46">
        <f t="shared" si="7"/>
        <v>78785783.340000004</v>
      </c>
      <c r="AR15" s="222">
        <v>48</v>
      </c>
    </row>
    <row r="16" spans="1:44" ht="17.100000000000001" customHeight="1" x14ac:dyDescent="0.25">
      <c r="A16" s="20" t="s">
        <v>160</v>
      </c>
      <c r="B16" s="21">
        <f>SUM('Příjmy '!B16+'Příjmy '!H16+'Příjmy '!L16+'Příjmy '!P16)</f>
        <v>14402</v>
      </c>
      <c r="C16" s="22">
        <f>SUM('Příjmy '!C16+'Příjmy '!I16+'Příjmy '!M16+'Příjmy '!Q16)</f>
        <v>16282</v>
      </c>
      <c r="D16" s="22">
        <f>SUM('Příjmy '!D16+'Příjmy '!J16+'Příjmy '!N16+'Příjmy '!R16)</f>
        <v>16561</v>
      </c>
      <c r="E16" s="72">
        <v>-15187021.85</v>
      </c>
      <c r="F16" s="72">
        <f t="shared" si="2"/>
        <v>-1373.9781500000008</v>
      </c>
      <c r="G16" s="23">
        <f t="shared" si="3"/>
        <v>101.71354870409041</v>
      </c>
      <c r="H16" s="21">
        <v>15794</v>
      </c>
      <c r="I16" s="22">
        <v>18001</v>
      </c>
      <c r="J16" s="22">
        <v>14520</v>
      </c>
      <c r="K16" s="72">
        <v>13451176</v>
      </c>
      <c r="L16" s="72">
        <f t="shared" si="4"/>
        <v>-1068.8240000000005</v>
      </c>
      <c r="M16" s="23">
        <f t="shared" si="5"/>
        <v>80.662185434142557</v>
      </c>
      <c r="N16" s="21">
        <f t="shared" si="8"/>
        <v>-1392</v>
      </c>
      <c r="O16" s="22">
        <f t="shared" si="0"/>
        <v>-1719</v>
      </c>
      <c r="P16" s="22">
        <f t="shared" si="6"/>
        <v>2041</v>
      </c>
      <c r="Q16" s="64"/>
      <c r="R16" s="247">
        <f>ROUND(X16/1000,0)</f>
        <v>11085</v>
      </c>
      <c r="S16" s="209">
        <v>2420</v>
      </c>
      <c r="T16" s="210">
        <v>206</v>
      </c>
      <c r="V16" s="252">
        <v>6525023.5499999998</v>
      </c>
      <c r="W16" s="252">
        <v>4559801.9000000004</v>
      </c>
      <c r="X16" s="46">
        <f t="shared" si="7"/>
        <v>11084825.449999999</v>
      </c>
      <c r="AP16" s="222">
        <v>-1</v>
      </c>
    </row>
    <row r="17" spans="1:44" ht="17.100000000000001" customHeight="1" x14ac:dyDescent="0.25">
      <c r="A17" s="20" t="s">
        <v>161</v>
      </c>
      <c r="B17" s="21">
        <f>SUM('Příjmy '!B17+'Příjmy '!H17+'Příjmy '!L17+'Příjmy '!P17)</f>
        <v>119307</v>
      </c>
      <c r="C17" s="22">
        <f>SUM('Příjmy '!C17+'Příjmy '!I17+'Příjmy '!M17+'Příjmy '!Q17)</f>
        <v>139446</v>
      </c>
      <c r="D17" s="22">
        <f>SUM('Příjmy '!D17+'Příjmy '!J17+'Příjmy '!N17+'Příjmy '!R17)</f>
        <v>125667</v>
      </c>
      <c r="E17" s="72">
        <v>-147596131.77000001</v>
      </c>
      <c r="F17" s="72">
        <f t="shared" si="2"/>
        <v>21929.131770000007</v>
      </c>
      <c r="G17" s="23">
        <f t="shared" si="3"/>
        <v>90.118755647347356</v>
      </c>
      <c r="H17" s="21">
        <v>117929</v>
      </c>
      <c r="I17" s="22">
        <v>147042</v>
      </c>
      <c r="J17" s="22">
        <v>114245</v>
      </c>
      <c r="K17" s="72">
        <v>145114585</v>
      </c>
      <c r="L17" s="72">
        <f t="shared" si="4"/>
        <v>30869.584999999992</v>
      </c>
      <c r="M17" s="23">
        <f t="shared" si="5"/>
        <v>77.695488363868819</v>
      </c>
      <c r="N17" s="21">
        <f t="shared" si="8"/>
        <v>1378</v>
      </c>
      <c r="O17" s="22">
        <f t="shared" si="0"/>
        <v>-7596</v>
      </c>
      <c r="P17" s="22">
        <f t="shared" si="6"/>
        <v>11422</v>
      </c>
      <c r="Q17" s="64"/>
      <c r="R17" s="247">
        <f t="shared" si="9"/>
        <v>33781</v>
      </c>
      <c r="S17" s="209">
        <v>20462</v>
      </c>
      <c r="T17" s="210">
        <v>2209</v>
      </c>
      <c r="V17" s="253">
        <v>33478309.190000001</v>
      </c>
      <c r="W17" s="253">
        <v>302705.94</v>
      </c>
      <c r="X17" s="46">
        <f t="shared" si="7"/>
        <v>33781015.130000003</v>
      </c>
      <c r="AQ17" s="222">
        <v>59</v>
      </c>
      <c r="AR17" s="222">
        <v>-1</v>
      </c>
    </row>
    <row r="18" spans="1:44" ht="17.100000000000001" customHeight="1" x14ac:dyDescent="0.25">
      <c r="A18" s="20" t="s">
        <v>162</v>
      </c>
      <c r="B18" s="21">
        <f>SUM('Příjmy '!B18+'Příjmy '!H18+'Příjmy '!L18+'Příjmy '!P18)</f>
        <v>131390</v>
      </c>
      <c r="C18" s="22">
        <f>SUM('Příjmy '!C18+'Příjmy '!I18+'Příjmy '!M18+'Příjmy '!Q18)</f>
        <v>162878</v>
      </c>
      <c r="D18" s="22">
        <f>SUM('Příjmy '!D18+'Příjmy '!J18+'Příjmy '!N18+'Příjmy '!R18)</f>
        <v>164147</v>
      </c>
      <c r="E18" s="72">
        <v>-188531295.12</v>
      </c>
      <c r="F18" s="72">
        <f t="shared" si="2"/>
        <v>24384.295119999995</v>
      </c>
      <c r="G18" s="23">
        <f t="shared" si="3"/>
        <v>100.77911074546593</v>
      </c>
      <c r="H18" s="21">
        <v>191582</v>
      </c>
      <c r="I18" s="22">
        <v>430028</v>
      </c>
      <c r="J18" s="22">
        <v>127568</v>
      </c>
      <c r="K18" s="72">
        <v>143053898</v>
      </c>
      <c r="L18" s="72">
        <f t="shared" si="4"/>
        <v>15485.897999999986</v>
      </c>
      <c r="M18" s="23">
        <f t="shared" si="5"/>
        <v>29.665045066832857</v>
      </c>
      <c r="N18" s="21">
        <f t="shared" si="8"/>
        <v>-60192</v>
      </c>
      <c r="O18" s="22">
        <f t="shared" si="0"/>
        <v>-267150</v>
      </c>
      <c r="P18" s="22">
        <f t="shared" si="6"/>
        <v>36579</v>
      </c>
      <c r="Q18" s="64"/>
      <c r="R18" s="247">
        <f t="shared" si="9"/>
        <v>303777</v>
      </c>
      <c r="S18" s="209">
        <v>24017</v>
      </c>
      <c r="T18" s="210">
        <v>2289</v>
      </c>
      <c r="V18" s="254">
        <v>241268519.55000001</v>
      </c>
      <c r="W18" s="254">
        <v>62508450.740000002</v>
      </c>
      <c r="X18" s="46">
        <f t="shared" si="7"/>
        <v>303776970.29000002</v>
      </c>
      <c r="AP18" s="222">
        <v>54</v>
      </c>
      <c r="AQ18" s="222">
        <v>61</v>
      </c>
    </row>
    <row r="19" spans="1:44" ht="17.100000000000001" customHeight="1" x14ac:dyDescent="0.25">
      <c r="A19" s="20" t="s">
        <v>163</v>
      </c>
      <c r="B19" s="21">
        <f>SUM('Příjmy '!B19+'Příjmy '!H19+'Příjmy '!L19+'Příjmy '!P19)</f>
        <v>9877</v>
      </c>
      <c r="C19" s="22">
        <f>SUM('Příjmy '!C19+'Příjmy '!I19+'Příjmy '!M19+'Příjmy '!Q19)</f>
        <v>11901</v>
      </c>
      <c r="D19" s="22">
        <f>SUM('Příjmy '!D19+'Příjmy '!J19+'Příjmy '!N19+'Příjmy '!R19)</f>
        <v>11796</v>
      </c>
      <c r="E19" s="72">
        <v>-10361187.960000001</v>
      </c>
      <c r="F19" s="72">
        <f t="shared" si="2"/>
        <v>-1434.8120399999989</v>
      </c>
      <c r="G19" s="23">
        <f t="shared" si="3"/>
        <v>99.117721199899165</v>
      </c>
      <c r="H19" s="21">
        <v>9877</v>
      </c>
      <c r="I19" s="22">
        <v>14342</v>
      </c>
      <c r="J19" s="22">
        <v>8012</v>
      </c>
      <c r="K19" s="72">
        <v>9051242</v>
      </c>
      <c r="L19" s="72">
        <f t="shared" si="4"/>
        <v>1039.2420000000002</v>
      </c>
      <c r="M19" s="23">
        <f t="shared" si="5"/>
        <v>55.86389624877981</v>
      </c>
      <c r="N19" s="21">
        <f t="shared" si="8"/>
        <v>0</v>
      </c>
      <c r="O19" s="22">
        <f t="shared" si="0"/>
        <v>-2441</v>
      </c>
      <c r="P19" s="22">
        <f t="shared" si="6"/>
        <v>3784</v>
      </c>
      <c r="Q19" s="64"/>
      <c r="R19" s="247">
        <f t="shared" si="9"/>
        <v>15589</v>
      </c>
      <c r="S19" s="209">
        <v>1029</v>
      </c>
      <c r="T19" s="210">
        <v>69</v>
      </c>
      <c r="V19" s="255">
        <v>12924155.58</v>
      </c>
      <c r="W19" s="255">
        <v>2664869.54</v>
      </c>
      <c r="X19" s="46">
        <f t="shared" si="7"/>
        <v>15589025.120000001</v>
      </c>
    </row>
    <row r="20" spans="1:44" ht="17.100000000000001" customHeight="1" x14ac:dyDescent="0.25">
      <c r="A20" s="20" t="s">
        <v>164</v>
      </c>
      <c r="B20" s="21">
        <f>SUM('Příjmy '!B20+'Příjmy '!H20+'Příjmy '!L20+'Příjmy '!P20)</f>
        <v>29163</v>
      </c>
      <c r="C20" s="22">
        <f>SUM('Příjmy '!C20+'Příjmy '!I20+'Příjmy '!M20+'Příjmy '!Q20)</f>
        <v>40674</v>
      </c>
      <c r="D20" s="22">
        <f>SUM('Příjmy '!D20+'Příjmy '!J20+'Příjmy '!N20+'Příjmy '!R20)</f>
        <v>41395</v>
      </c>
      <c r="E20" s="72">
        <v>-35461912.210000001</v>
      </c>
      <c r="F20" s="72">
        <f t="shared" si="2"/>
        <v>-5933.0877899999978</v>
      </c>
      <c r="G20" s="23">
        <f t="shared" si="3"/>
        <v>101.77263116487192</v>
      </c>
      <c r="H20" s="21">
        <v>29163</v>
      </c>
      <c r="I20" s="22">
        <v>44070</v>
      </c>
      <c r="J20" s="22">
        <v>27734</v>
      </c>
      <c r="K20" s="72">
        <v>42970742</v>
      </c>
      <c r="L20" s="72">
        <f t="shared" si="4"/>
        <v>15236.741999999998</v>
      </c>
      <c r="M20" s="23">
        <f t="shared" si="5"/>
        <v>62.931699568867707</v>
      </c>
      <c r="N20" s="21">
        <f t="shared" si="8"/>
        <v>0</v>
      </c>
      <c r="O20" s="22">
        <f t="shared" si="0"/>
        <v>-3396</v>
      </c>
      <c r="P20" s="22">
        <f t="shared" si="6"/>
        <v>13661</v>
      </c>
      <c r="Q20" s="64"/>
      <c r="R20" s="247">
        <f t="shared" si="9"/>
        <v>38832</v>
      </c>
      <c r="S20" s="209">
        <v>7357</v>
      </c>
      <c r="T20" s="210">
        <v>830</v>
      </c>
      <c r="V20" s="256">
        <v>27118242.059999999</v>
      </c>
      <c r="W20" s="256">
        <v>11713782.460000001</v>
      </c>
      <c r="X20" s="46">
        <f t="shared" si="7"/>
        <v>38832024.519999996</v>
      </c>
    </row>
    <row r="21" spans="1:44" ht="17.100000000000001" customHeight="1" x14ac:dyDescent="0.25">
      <c r="A21" s="20" t="s">
        <v>165</v>
      </c>
      <c r="B21" s="21">
        <f>SUM('Příjmy '!B21+'Příjmy '!H21+'Příjmy '!L21+'Příjmy '!P21)</f>
        <v>21047</v>
      </c>
      <c r="C21" s="22">
        <f>SUM('Příjmy '!C21+'Příjmy '!I21+'Příjmy '!M21+'Příjmy '!Q21)</f>
        <v>26777</v>
      </c>
      <c r="D21" s="22">
        <f>SUM('Příjmy '!D21+'Příjmy '!J21+'Příjmy '!N21+'Příjmy '!R21)</f>
        <v>26090</v>
      </c>
      <c r="E21" s="72">
        <v>-24128204.190000001</v>
      </c>
      <c r="F21" s="72">
        <f t="shared" si="2"/>
        <v>-1961.7958099999996</v>
      </c>
      <c r="G21" s="23">
        <f t="shared" si="3"/>
        <v>97.434365313515329</v>
      </c>
      <c r="H21" s="21">
        <v>22107</v>
      </c>
      <c r="I21" s="22">
        <v>29873</v>
      </c>
      <c r="J21" s="22">
        <v>25556</v>
      </c>
      <c r="K21" s="72">
        <v>45386987</v>
      </c>
      <c r="L21" s="72">
        <f t="shared" si="4"/>
        <v>19830.987000000001</v>
      </c>
      <c r="M21" s="23">
        <f t="shared" si="5"/>
        <v>85.548823352190936</v>
      </c>
      <c r="N21" s="21">
        <f t="shared" si="8"/>
        <v>-1060</v>
      </c>
      <c r="O21" s="22">
        <f t="shared" si="0"/>
        <v>-3096</v>
      </c>
      <c r="P21" s="22">
        <f>SUM(D21-J21)</f>
        <v>534</v>
      </c>
      <c r="Q21" s="64"/>
      <c r="R21" s="247">
        <f t="shared" si="9"/>
        <v>7813</v>
      </c>
      <c r="S21" s="209">
        <v>4111</v>
      </c>
      <c r="T21" s="210">
        <v>451</v>
      </c>
      <c r="V21" s="257">
        <v>1782416.67</v>
      </c>
      <c r="W21" s="257">
        <v>6030600.5499999998</v>
      </c>
      <c r="X21" s="46">
        <f t="shared" si="7"/>
        <v>7813017.2199999997</v>
      </c>
      <c r="AQ21" s="222">
        <v>34</v>
      </c>
    </row>
    <row r="22" spans="1:44" ht="17.100000000000001" customHeight="1" x14ac:dyDescent="0.25">
      <c r="A22" s="20" t="s">
        <v>166</v>
      </c>
      <c r="B22" s="21">
        <f>SUM('Příjmy '!B22+'Příjmy '!H22+'Příjmy '!L22+'Příjmy '!P22)</f>
        <v>18399</v>
      </c>
      <c r="C22" s="22">
        <f>SUM('Příjmy '!C22+'Příjmy '!I22+'Příjmy '!M22+'Příjmy '!Q22)</f>
        <v>46155</v>
      </c>
      <c r="D22" s="22">
        <f>SUM('Příjmy '!D22+'Příjmy '!J22+'Příjmy '!N22+'Příjmy '!R22)</f>
        <v>47416</v>
      </c>
      <c r="E22" s="72">
        <v>-35603959.189999998</v>
      </c>
      <c r="F22" s="72">
        <f t="shared" si="2"/>
        <v>-11812.040810000006</v>
      </c>
      <c r="G22" s="23">
        <f t="shared" si="3"/>
        <v>102.73209836420756</v>
      </c>
      <c r="H22" s="21">
        <v>18399</v>
      </c>
      <c r="I22" s="22">
        <v>60799</v>
      </c>
      <c r="J22" s="22">
        <v>37027</v>
      </c>
      <c r="K22" s="72">
        <v>18922131</v>
      </c>
      <c r="L22" s="72">
        <f t="shared" si="4"/>
        <v>-18104.868999999999</v>
      </c>
      <c r="M22" s="23">
        <f t="shared" si="5"/>
        <v>60.900672708432701</v>
      </c>
      <c r="N22" s="21">
        <f t="shared" si="8"/>
        <v>0</v>
      </c>
      <c r="O22" s="22">
        <f t="shared" si="0"/>
        <v>-14644</v>
      </c>
      <c r="P22" s="22">
        <f t="shared" si="6"/>
        <v>10389</v>
      </c>
      <c r="Q22" s="64"/>
      <c r="R22" s="247">
        <f t="shared" si="9"/>
        <v>29342</v>
      </c>
      <c r="S22" s="209">
        <v>3937</v>
      </c>
      <c r="T22" s="210">
        <v>422</v>
      </c>
      <c r="V22" s="258">
        <v>25263864.43</v>
      </c>
      <c r="W22" s="258">
        <v>4078284.59</v>
      </c>
      <c r="X22" s="46">
        <f t="shared" si="7"/>
        <v>29342149.02</v>
      </c>
      <c r="AP22" s="222">
        <v>-1</v>
      </c>
      <c r="AQ22" s="222">
        <v>-1</v>
      </c>
      <c r="AR22" s="222">
        <v>-1</v>
      </c>
    </row>
    <row r="23" spans="1:44" ht="17.100000000000001" customHeight="1" x14ac:dyDescent="0.25">
      <c r="A23" s="20" t="s">
        <v>167</v>
      </c>
      <c r="B23" s="21">
        <f>SUM('Příjmy '!B23+'Příjmy '!H23+'Příjmy '!L23+'Příjmy '!P23)</f>
        <v>217934</v>
      </c>
      <c r="C23" s="22">
        <f>SUM('Příjmy '!C23+'Příjmy '!I23+'Příjmy '!M23+'Příjmy '!Q23)</f>
        <v>390798</v>
      </c>
      <c r="D23" s="22">
        <f>SUM('Příjmy '!D23+'Příjmy '!J23+'Příjmy '!N23+'Příjmy '!R23)</f>
        <v>389896</v>
      </c>
      <c r="E23" s="72">
        <v>-299138431.89999998</v>
      </c>
      <c r="F23" s="72">
        <f t="shared" si="2"/>
        <v>-90757.568100000033</v>
      </c>
      <c r="G23" s="23">
        <f t="shared" si="3"/>
        <v>99.769190221034904</v>
      </c>
      <c r="H23" s="21">
        <v>348915</v>
      </c>
      <c r="I23" s="22">
        <v>566673</v>
      </c>
      <c r="J23" s="22">
        <v>347577</v>
      </c>
      <c r="K23" s="72">
        <v>236919985</v>
      </c>
      <c r="L23" s="72">
        <f t="shared" si="4"/>
        <v>-110657.01500000001</v>
      </c>
      <c r="M23" s="23">
        <f t="shared" si="5"/>
        <v>61.336432122229226</v>
      </c>
      <c r="N23" s="21">
        <f t="shared" si="8"/>
        <v>-130981</v>
      </c>
      <c r="O23" s="22">
        <f t="shared" si="0"/>
        <v>-175875</v>
      </c>
      <c r="P23" s="22">
        <f t="shared" si="6"/>
        <v>42319</v>
      </c>
      <c r="Q23" s="64"/>
      <c r="R23" s="247">
        <f t="shared" si="9"/>
        <v>251055</v>
      </c>
      <c r="S23" s="209">
        <v>46158</v>
      </c>
      <c r="T23" s="210">
        <v>4440</v>
      </c>
      <c r="V23" s="259">
        <v>221815506.94</v>
      </c>
      <c r="W23" s="259">
        <v>29239172.670000002</v>
      </c>
      <c r="X23" s="46">
        <f t="shared" si="7"/>
        <v>251054679.61000001</v>
      </c>
      <c r="AP23" s="222">
        <v>47</v>
      </c>
    </row>
    <row r="24" spans="1:44" ht="17.100000000000001" customHeight="1" x14ac:dyDescent="0.25">
      <c r="A24" s="20" t="s">
        <v>168</v>
      </c>
      <c r="B24" s="21">
        <f>SUM('Příjmy '!B24+'Příjmy '!H24+'Příjmy '!L24+'Příjmy '!P24)</f>
        <v>25944</v>
      </c>
      <c r="C24" s="22">
        <f>SUM('Příjmy '!C24+'Příjmy '!I24+'Příjmy '!M24+'Příjmy '!Q24)</f>
        <v>60862</v>
      </c>
      <c r="D24" s="22">
        <f>SUM('Příjmy '!D24+'Příjmy '!J24+'Příjmy '!N24+'Příjmy '!R24)</f>
        <v>59718</v>
      </c>
      <c r="E24" s="72">
        <v>-28825494.050000001</v>
      </c>
      <c r="F24" s="72">
        <f t="shared" si="2"/>
        <v>-30892.505949999999</v>
      </c>
      <c r="G24" s="23">
        <f t="shared" si="3"/>
        <v>98.120337813413954</v>
      </c>
      <c r="H24" s="21">
        <v>29964</v>
      </c>
      <c r="I24" s="22">
        <v>65685</v>
      </c>
      <c r="J24" s="22">
        <v>35954</v>
      </c>
      <c r="K24" s="72">
        <v>28183842</v>
      </c>
      <c r="L24" s="72">
        <f t="shared" si="4"/>
        <v>-7770.1579999999994</v>
      </c>
      <c r="M24" s="23">
        <f t="shared" si="5"/>
        <v>54.737002359747279</v>
      </c>
      <c r="N24" s="21">
        <f t="shared" si="8"/>
        <v>-4020</v>
      </c>
      <c r="O24" s="22">
        <f t="shared" si="0"/>
        <v>-4823</v>
      </c>
      <c r="P24" s="22">
        <f t="shared" si="6"/>
        <v>23764</v>
      </c>
      <c r="Q24" s="64"/>
      <c r="R24" s="247">
        <f>ROUND(X24/1000,0)</f>
        <v>32965</v>
      </c>
      <c r="S24" s="209">
        <v>5386</v>
      </c>
      <c r="T24" s="210">
        <v>516</v>
      </c>
      <c r="V24" s="260">
        <v>32927377.780000001</v>
      </c>
      <c r="W24" s="260">
        <v>37973.19</v>
      </c>
      <c r="X24" s="46">
        <f t="shared" si="7"/>
        <v>32965350.970000003</v>
      </c>
      <c r="AP24" s="222">
        <v>-1</v>
      </c>
    </row>
    <row r="25" spans="1:44" ht="17.100000000000001" customHeight="1" x14ac:dyDescent="0.25">
      <c r="A25" s="20" t="s">
        <v>169</v>
      </c>
      <c r="B25" s="21">
        <f>SUM('Příjmy '!B25+'Příjmy '!H25+'Příjmy '!L25+'Příjmy '!P25)</f>
        <v>166752</v>
      </c>
      <c r="C25" s="22">
        <f>SUM('Příjmy '!C25+'Příjmy '!I25+'Příjmy '!M25+'Příjmy '!Q25)</f>
        <v>201348</v>
      </c>
      <c r="D25" s="22">
        <f>SUM('Příjmy '!D25+'Příjmy '!J25+'Příjmy '!N25+'Příjmy '!R25)</f>
        <v>201233</v>
      </c>
      <c r="E25" s="72">
        <v>-185020955.25999999</v>
      </c>
      <c r="F25" s="72">
        <f t="shared" si="2"/>
        <v>-16212.044740000012</v>
      </c>
      <c r="G25" s="23">
        <f t="shared" si="3"/>
        <v>99.942884955400601</v>
      </c>
      <c r="H25" s="21">
        <v>158178</v>
      </c>
      <c r="I25" s="22">
        <v>265478</v>
      </c>
      <c r="J25" s="22">
        <v>157606</v>
      </c>
      <c r="K25" s="72">
        <v>131496367</v>
      </c>
      <c r="L25" s="72">
        <f t="shared" si="4"/>
        <v>-26109.633000000002</v>
      </c>
      <c r="M25" s="23">
        <f t="shared" si="5"/>
        <v>59.36687785805227</v>
      </c>
      <c r="N25" s="21">
        <f t="shared" si="8"/>
        <v>8574</v>
      </c>
      <c r="O25" s="22">
        <f t="shared" si="0"/>
        <v>-64130</v>
      </c>
      <c r="P25" s="22">
        <f t="shared" si="6"/>
        <v>43627</v>
      </c>
      <c r="Q25" s="64"/>
      <c r="R25" s="247">
        <f t="shared" si="9"/>
        <v>108754</v>
      </c>
      <c r="S25" s="209">
        <v>20751</v>
      </c>
      <c r="T25" s="210">
        <v>2300</v>
      </c>
      <c r="V25" s="261">
        <v>108331277.63</v>
      </c>
      <c r="W25" s="261">
        <v>422985.15</v>
      </c>
      <c r="X25" s="46">
        <f t="shared" si="7"/>
        <v>108754262.78</v>
      </c>
      <c r="AR25" s="222">
        <v>-1</v>
      </c>
    </row>
    <row r="26" spans="1:44" ht="17.100000000000001" customHeight="1" x14ac:dyDescent="0.25">
      <c r="A26" s="20" t="s">
        <v>170</v>
      </c>
      <c r="B26" s="21">
        <f>SUM('Příjmy '!B26+'Příjmy '!H26+'Příjmy '!L26+'Příjmy '!P26)</f>
        <v>42390</v>
      </c>
      <c r="C26" s="22">
        <f>SUM('Příjmy '!C26+'Příjmy '!I26+'Příjmy '!M26+'Příjmy '!Q26)</f>
        <v>62264</v>
      </c>
      <c r="D26" s="22">
        <f>SUM('Příjmy '!D26+'Příjmy '!J26+'Příjmy '!N26+'Příjmy '!R26)</f>
        <v>69446</v>
      </c>
      <c r="E26" s="72">
        <v>-74097822.75</v>
      </c>
      <c r="F26" s="72">
        <f t="shared" si="2"/>
        <v>4651.8227500000066</v>
      </c>
      <c r="G26" s="23">
        <f t="shared" si="3"/>
        <v>111.53475523577028</v>
      </c>
      <c r="H26" s="21">
        <v>74406</v>
      </c>
      <c r="I26" s="22">
        <v>103125</v>
      </c>
      <c r="J26" s="22">
        <v>76611</v>
      </c>
      <c r="K26" s="72">
        <v>44168132</v>
      </c>
      <c r="L26" s="72">
        <f t="shared" si="4"/>
        <v>-32442.868000000002</v>
      </c>
      <c r="M26" s="23">
        <f t="shared" si="5"/>
        <v>74.289454545454547</v>
      </c>
      <c r="N26" s="21">
        <f t="shared" si="8"/>
        <v>-32016</v>
      </c>
      <c r="O26" s="22">
        <f t="shared" si="0"/>
        <v>-40861</v>
      </c>
      <c r="P26" s="22">
        <f t="shared" si="6"/>
        <v>-7165</v>
      </c>
      <c r="Q26" s="64">
        <f t="shared" si="1"/>
        <v>17.535057879151271</v>
      </c>
      <c r="R26" s="247">
        <f t="shared" si="9"/>
        <v>51023</v>
      </c>
      <c r="S26" s="209">
        <v>7614</v>
      </c>
      <c r="T26" s="210">
        <v>851</v>
      </c>
      <c r="V26" s="262">
        <v>37773920.890000001</v>
      </c>
      <c r="W26" s="262">
        <v>13248687.279999999</v>
      </c>
      <c r="X26" s="46">
        <f t="shared" si="7"/>
        <v>51022608.170000002</v>
      </c>
    </row>
    <row r="27" spans="1:44" ht="17.100000000000001" customHeight="1" x14ac:dyDescent="0.25">
      <c r="A27" s="20" t="s">
        <v>171</v>
      </c>
      <c r="B27" s="21">
        <f>SUM('Příjmy '!B27+'Příjmy '!H27+'Příjmy '!L27+'Příjmy '!P27)</f>
        <v>63078</v>
      </c>
      <c r="C27" s="22">
        <f>SUM('Příjmy '!C27+'Příjmy '!I27+'Příjmy '!M27+'Příjmy '!Q27)</f>
        <v>98847</v>
      </c>
      <c r="D27" s="22">
        <f>SUM('Příjmy '!D27+'Příjmy '!J27+'Příjmy '!N27+'Příjmy '!R27)</f>
        <v>100505</v>
      </c>
      <c r="E27" s="72">
        <v>-75300910.370000005</v>
      </c>
      <c r="F27" s="72">
        <f t="shared" si="2"/>
        <v>-25204.089630000002</v>
      </c>
      <c r="G27" s="23">
        <f t="shared" si="3"/>
        <v>101.67733972705292</v>
      </c>
      <c r="H27" s="21">
        <v>63078</v>
      </c>
      <c r="I27" s="22">
        <v>142327</v>
      </c>
      <c r="J27" s="22">
        <v>87868</v>
      </c>
      <c r="K27" s="72">
        <v>87202201</v>
      </c>
      <c r="L27" s="72">
        <f t="shared" si="4"/>
        <v>-665.79899999999907</v>
      </c>
      <c r="M27" s="23">
        <f t="shared" si="5"/>
        <v>61.736704911928165</v>
      </c>
      <c r="N27" s="21">
        <f t="shared" si="8"/>
        <v>0</v>
      </c>
      <c r="O27" s="22">
        <f t="shared" si="0"/>
        <v>-43480</v>
      </c>
      <c r="P27" s="22">
        <f t="shared" si="6"/>
        <v>12637</v>
      </c>
      <c r="Q27" s="64"/>
      <c r="R27" s="247">
        <f t="shared" si="9"/>
        <v>96669</v>
      </c>
      <c r="S27" s="209">
        <v>9267</v>
      </c>
      <c r="T27" s="210">
        <v>873</v>
      </c>
      <c r="V27" s="263">
        <f>66574256.82+30000000</f>
        <v>96574256.819999993</v>
      </c>
      <c r="W27" s="263">
        <v>95045.81</v>
      </c>
      <c r="X27" s="46">
        <f t="shared" si="7"/>
        <v>96669302.629999995</v>
      </c>
    </row>
    <row r="28" spans="1:44" ht="17.100000000000001" customHeight="1" x14ac:dyDescent="0.25">
      <c r="A28" s="20" t="s">
        <v>172</v>
      </c>
      <c r="B28" s="21">
        <f>SUM('Příjmy '!B28+'Příjmy '!H28+'Příjmy '!L28+'Příjmy '!P28)</f>
        <v>53139</v>
      </c>
      <c r="C28" s="22">
        <f>SUM('Příjmy '!C28+'Příjmy '!I28+'Příjmy '!M28+'Příjmy '!Q28)</f>
        <v>75876</v>
      </c>
      <c r="D28" s="22">
        <f>SUM('Příjmy '!D28+'Příjmy '!J28+'Příjmy '!N28+'Příjmy '!R28)</f>
        <v>75272</v>
      </c>
      <c r="E28" s="72">
        <v>-96447638.780000001</v>
      </c>
      <c r="F28" s="72">
        <f t="shared" si="2"/>
        <v>21175.638780000008</v>
      </c>
      <c r="G28" s="23">
        <f t="shared" si="3"/>
        <v>99.203964362907897</v>
      </c>
      <c r="H28" s="21">
        <v>45672</v>
      </c>
      <c r="I28" s="22">
        <v>63575</v>
      </c>
      <c r="J28" s="22">
        <v>53786</v>
      </c>
      <c r="K28" s="72">
        <v>142711668</v>
      </c>
      <c r="L28" s="72">
        <f t="shared" si="4"/>
        <v>88925.668000000005</v>
      </c>
      <c r="M28" s="23">
        <f t="shared" si="5"/>
        <v>84.602438065277227</v>
      </c>
      <c r="N28" s="21">
        <f t="shared" si="8"/>
        <v>7467</v>
      </c>
      <c r="O28" s="22">
        <f t="shared" si="0"/>
        <v>12301</v>
      </c>
      <c r="P28" s="22">
        <f t="shared" si="6"/>
        <v>21486</v>
      </c>
      <c r="Q28" s="64">
        <f t="shared" si="1"/>
        <v>174.66872611982765</v>
      </c>
      <c r="R28" s="247">
        <f t="shared" si="9"/>
        <v>103539</v>
      </c>
      <c r="S28" s="209">
        <v>13034</v>
      </c>
      <c r="T28" s="210">
        <v>671</v>
      </c>
      <c r="V28" s="264">
        <v>18774442.030000001</v>
      </c>
      <c r="W28" s="264">
        <v>84764739.359999999</v>
      </c>
      <c r="X28" s="46">
        <f t="shared" si="7"/>
        <v>103539181.39</v>
      </c>
      <c r="AP28" s="222">
        <v>-1</v>
      </c>
    </row>
    <row r="29" spans="1:44" ht="17.100000000000001" customHeight="1" x14ac:dyDescent="0.25">
      <c r="A29" s="20" t="s">
        <v>173</v>
      </c>
      <c r="B29" s="21">
        <f>SUM('Příjmy '!B29+'Příjmy '!H29+'Příjmy '!L29+'Příjmy '!P29)</f>
        <v>151570</v>
      </c>
      <c r="C29" s="22">
        <f>SUM('Příjmy '!C29+'Příjmy '!I29+'Příjmy '!M29+'Příjmy '!Q29)</f>
        <v>222622</v>
      </c>
      <c r="D29" s="22">
        <f>SUM('Příjmy '!D29+'Příjmy '!J29+'Příjmy '!N29+'Příjmy '!R29)</f>
        <v>222791</v>
      </c>
      <c r="E29" s="72">
        <v>-170478872.99000001</v>
      </c>
      <c r="F29" s="72">
        <f t="shared" si="2"/>
        <v>-52312.127009999997</v>
      </c>
      <c r="G29" s="23">
        <f t="shared" si="3"/>
        <v>100.0759134317363</v>
      </c>
      <c r="H29" s="21">
        <v>180228</v>
      </c>
      <c r="I29" s="22">
        <v>269411</v>
      </c>
      <c r="J29" s="22">
        <v>186767</v>
      </c>
      <c r="K29" s="72">
        <v>131658877</v>
      </c>
      <c r="L29" s="72">
        <f t="shared" si="4"/>
        <v>-55108.122999999992</v>
      </c>
      <c r="M29" s="23">
        <f t="shared" si="5"/>
        <v>69.324192404912949</v>
      </c>
      <c r="N29" s="21">
        <f t="shared" si="8"/>
        <v>-28658</v>
      </c>
      <c r="O29" s="22">
        <f t="shared" si="0"/>
        <v>-46789</v>
      </c>
      <c r="P29" s="22">
        <f t="shared" si="6"/>
        <v>36024</v>
      </c>
      <c r="Q29" s="64"/>
      <c r="R29" s="247">
        <f t="shared" si="9"/>
        <v>150700</v>
      </c>
      <c r="S29" s="209">
        <v>26307</v>
      </c>
      <c r="T29" s="210">
        <v>3086</v>
      </c>
      <c r="V29" s="265">
        <v>146399833.53999999</v>
      </c>
      <c r="W29" s="265">
        <v>4299877.62</v>
      </c>
      <c r="X29" s="46">
        <f t="shared" si="7"/>
        <v>150699711.16</v>
      </c>
      <c r="AQ29" s="222">
        <v>-1</v>
      </c>
    </row>
    <row r="30" spans="1:44" ht="17.100000000000001" customHeight="1" x14ac:dyDescent="0.25">
      <c r="A30" s="20" t="s">
        <v>174</v>
      </c>
      <c r="B30" s="21">
        <f>SUM('Příjmy '!B30+'Příjmy '!H30+'Příjmy '!L30+'Příjmy '!P30)</f>
        <v>51567</v>
      </c>
      <c r="C30" s="22">
        <f>SUM('Příjmy '!C30+'Příjmy '!I30+'Příjmy '!M30+'Příjmy '!Q30)</f>
        <v>70179</v>
      </c>
      <c r="D30" s="22">
        <f>SUM('Příjmy '!D30+'Příjmy '!J30+'Příjmy '!N30+'Příjmy '!R30)</f>
        <v>70398</v>
      </c>
      <c r="E30" s="72">
        <v>-91004254.480000004</v>
      </c>
      <c r="F30" s="72">
        <f t="shared" si="2"/>
        <v>20606.254480000003</v>
      </c>
      <c r="G30" s="23">
        <f t="shared" si="3"/>
        <v>100.31205916299749</v>
      </c>
      <c r="H30" s="21">
        <v>39811</v>
      </c>
      <c r="I30" s="22">
        <v>68094</v>
      </c>
      <c r="J30" s="22">
        <v>60611</v>
      </c>
      <c r="K30" s="72">
        <v>102251434</v>
      </c>
      <c r="L30" s="72">
        <f t="shared" si="4"/>
        <v>41640.433999999994</v>
      </c>
      <c r="M30" s="23">
        <f t="shared" si="5"/>
        <v>89.010779216964792</v>
      </c>
      <c r="N30" s="21">
        <f t="shared" si="8"/>
        <v>11756</v>
      </c>
      <c r="O30" s="22">
        <f t="shared" si="0"/>
        <v>2085</v>
      </c>
      <c r="P30" s="22">
        <f t="shared" si="6"/>
        <v>9787</v>
      </c>
      <c r="Q30" s="64">
        <f t="shared" si="1"/>
        <v>469.40047961630694</v>
      </c>
      <c r="R30" s="247">
        <f t="shared" si="9"/>
        <v>17361</v>
      </c>
      <c r="S30" s="209">
        <v>9445</v>
      </c>
      <c r="T30" s="210">
        <v>1078</v>
      </c>
      <c r="V30" s="266">
        <v>17327660.18</v>
      </c>
      <c r="W30" s="266">
        <v>33081.47</v>
      </c>
      <c r="X30" s="46">
        <f t="shared" si="7"/>
        <v>17360741.649999999</v>
      </c>
      <c r="AQ30" s="222">
        <v>-1</v>
      </c>
      <c r="AR30" s="222">
        <v>-1</v>
      </c>
    </row>
    <row r="31" spans="1:44" ht="17.100000000000001" customHeight="1" x14ac:dyDescent="0.25">
      <c r="A31" s="20" t="s">
        <v>175</v>
      </c>
      <c r="B31" s="21">
        <f>SUM('Příjmy '!B31+'Příjmy '!H31+'Příjmy '!L31+'Příjmy '!P31)</f>
        <v>29908</v>
      </c>
      <c r="C31" s="22">
        <f>SUM('Příjmy '!C31+'Příjmy '!I31+'Příjmy '!M31+'Příjmy '!Q31)</f>
        <v>37536</v>
      </c>
      <c r="D31" s="22">
        <f>SUM('Příjmy '!D31+'Příjmy '!J31+'Příjmy '!N31+'Příjmy '!R31)</f>
        <v>37963</v>
      </c>
      <c r="E31" s="72">
        <v>-40789267.229999997</v>
      </c>
      <c r="F31" s="72">
        <f t="shared" si="2"/>
        <v>2826.2672299999977</v>
      </c>
      <c r="G31" s="23">
        <f t="shared" si="3"/>
        <v>101.13757459505541</v>
      </c>
      <c r="H31" s="21">
        <v>35855</v>
      </c>
      <c r="I31" s="22">
        <v>46931</v>
      </c>
      <c r="J31" s="22">
        <v>39262</v>
      </c>
      <c r="K31" s="72">
        <v>29707148</v>
      </c>
      <c r="L31" s="72">
        <f t="shared" si="4"/>
        <v>-9554.851999999999</v>
      </c>
      <c r="M31" s="23">
        <f t="shared" si="5"/>
        <v>83.658988728132783</v>
      </c>
      <c r="N31" s="21">
        <f t="shared" si="8"/>
        <v>-5947</v>
      </c>
      <c r="O31" s="22">
        <f t="shared" si="0"/>
        <v>-9395</v>
      </c>
      <c r="P31" s="22">
        <f t="shared" si="6"/>
        <v>-1299</v>
      </c>
      <c r="Q31" s="64">
        <f t="shared" si="1"/>
        <v>13.826503459286855</v>
      </c>
      <c r="R31" s="247">
        <f t="shared" si="9"/>
        <v>9710</v>
      </c>
      <c r="S31" s="209">
        <v>5508</v>
      </c>
      <c r="T31" s="210">
        <v>619</v>
      </c>
      <c r="V31" s="267">
        <v>8705731.2899999991</v>
      </c>
      <c r="W31" s="267">
        <v>1003855.14</v>
      </c>
      <c r="X31" s="46">
        <f t="shared" si="7"/>
        <v>9709586.4299999997</v>
      </c>
      <c r="AP31" s="222">
        <v>-1</v>
      </c>
      <c r="AQ31" s="222">
        <v>-1</v>
      </c>
    </row>
    <row r="32" spans="1:44" ht="17.100000000000001" customHeight="1" x14ac:dyDescent="0.25">
      <c r="A32" s="20" t="s">
        <v>176</v>
      </c>
      <c r="B32" s="21">
        <f>SUM('Příjmy '!B32+'Příjmy '!H32+'Příjmy '!L32+'Příjmy '!P32)</f>
        <v>17985</v>
      </c>
      <c r="C32" s="22">
        <f>SUM('Příjmy '!C32+'Příjmy '!I32+'Příjmy '!M32+'Příjmy '!Q32)</f>
        <v>29695</v>
      </c>
      <c r="D32" s="22">
        <f>SUM('Příjmy '!D32+'Příjmy '!J32+'Příjmy '!N32+'Příjmy '!R32)</f>
        <v>29357</v>
      </c>
      <c r="E32" s="72">
        <v>-21108562.719999999</v>
      </c>
      <c r="F32" s="72">
        <f t="shared" si="2"/>
        <v>-8248.4372800000019</v>
      </c>
      <c r="G32" s="23">
        <f t="shared" si="3"/>
        <v>98.86176123926586</v>
      </c>
      <c r="H32" s="21">
        <v>17985</v>
      </c>
      <c r="I32" s="22">
        <v>37773</v>
      </c>
      <c r="J32" s="22">
        <v>25637</v>
      </c>
      <c r="K32" s="72">
        <v>22223757</v>
      </c>
      <c r="L32" s="72">
        <f t="shared" si="4"/>
        <v>-3413.2429999999986</v>
      </c>
      <c r="M32" s="23">
        <f t="shared" si="5"/>
        <v>67.871230773303679</v>
      </c>
      <c r="N32" s="21">
        <f t="shared" si="8"/>
        <v>0</v>
      </c>
      <c r="O32" s="22">
        <f t="shared" si="0"/>
        <v>-8078</v>
      </c>
      <c r="P32" s="22">
        <f t="shared" si="6"/>
        <v>3720</v>
      </c>
      <c r="Q32" s="64"/>
      <c r="R32" s="247">
        <f t="shared" si="9"/>
        <v>16476</v>
      </c>
      <c r="S32" s="209">
        <v>3398</v>
      </c>
      <c r="T32" s="210">
        <v>535</v>
      </c>
      <c r="V32" s="268">
        <v>6874948.9400000004</v>
      </c>
      <c r="W32" s="268">
        <v>9600907.5800000001</v>
      </c>
      <c r="X32" s="46">
        <f t="shared" si="7"/>
        <v>16475856.52</v>
      </c>
    </row>
    <row r="33" spans="1:44" ht="17.100000000000001" customHeight="1" x14ac:dyDescent="0.25">
      <c r="A33" s="20" t="s">
        <v>177</v>
      </c>
      <c r="B33" s="21">
        <f>SUM('Příjmy '!B33+'Příjmy '!H33+'Příjmy '!L33+'Příjmy '!P33)</f>
        <v>147769</v>
      </c>
      <c r="C33" s="22">
        <f>SUM('Příjmy '!C33+'Příjmy '!I33+'Příjmy '!M33+'Příjmy '!Q33)</f>
        <v>188717</v>
      </c>
      <c r="D33" s="22">
        <f>SUM('Příjmy '!D33+'Příjmy '!J33+'Příjmy '!N33+'Příjmy '!R33)</f>
        <v>188734</v>
      </c>
      <c r="E33" s="72">
        <v>-253416304.28</v>
      </c>
      <c r="F33" s="72">
        <f t="shared" si="2"/>
        <v>64682.304280000011</v>
      </c>
      <c r="G33" s="23">
        <f t="shared" si="3"/>
        <v>100.00900819745968</v>
      </c>
      <c r="H33" s="21">
        <v>221045</v>
      </c>
      <c r="I33" s="22">
        <v>296731</v>
      </c>
      <c r="J33" s="22">
        <v>207779</v>
      </c>
      <c r="K33" s="72">
        <v>236397849</v>
      </c>
      <c r="L33" s="72">
        <f t="shared" si="4"/>
        <v>28618.848999999987</v>
      </c>
      <c r="M33" s="23">
        <f t="shared" si="5"/>
        <v>70.022680474908256</v>
      </c>
      <c r="N33" s="21">
        <f t="shared" si="8"/>
        <v>-73276</v>
      </c>
      <c r="O33" s="22">
        <f t="shared" si="0"/>
        <v>-108014</v>
      </c>
      <c r="P33" s="22">
        <f t="shared" si="6"/>
        <v>-19045</v>
      </c>
      <c r="Q33" s="64">
        <f t="shared" si="1"/>
        <v>17.631973633047568</v>
      </c>
      <c r="R33" s="247">
        <f t="shared" si="9"/>
        <v>13836</v>
      </c>
      <c r="S33" s="209">
        <v>26028</v>
      </c>
      <c r="T33" s="210">
        <v>2641</v>
      </c>
      <c r="V33" s="269">
        <v>13222075.210000001</v>
      </c>
      <c r="W33" s="269">
        <v>613861.06000000006</v>
      </c>
      <c r="X33" s="46">
        <f t="shared" si="7"/>
        <v>13835936.270000001</v>
      </c>
      <c r="AM33" s="222">
        <v>72</v>
      </c>
      <c r="AN33" s="222">
        <v>40</v>
      </c>
    </row>
    <row r="34" spans="1:44" ht="17.100000000000001" customHeight="1" x14ac:dyDescent="0.25">
      <c r="A34" s="20" t="s">
        <v>178</v>
      </c>
      <c r="B34" s="21">
        <f>SUM('Příjmy '!B34+'Příjmy '!H34+'Příjmy '!L34+'Příjmy '!P34)</f>
        <v>19464</v>
      </c>
      <c r="C34" s="22">
        <f>SUM('Příjmy '!C34+'Příjmy '!I34+'Příjmy '!M34+'Příjmy '!Q34)</f>
        <v>39081</v>
      </c>
      <c r="D34" s="22">
        <f>SUM('Příjmy '!D34+'Příjmy '!J34+'Příjmy '!N34+'Příjmy '!R34)</f>
        <v>39133</v>
      </c>
      <c r="E34" s="72">
        <v>-22468068.239999998</v>
      </c>
      <c r="F34" s="72">
        <f t="shared" si="2"/>
        <v>-16664.931760000003</v>
      </c>
      <c r="G34" s="23">
        <f t="shared" si="3"/>
        <v>100.13305698421229</v>
      </c>
      <c r="H34" s="21">
        <v>37172</v>
      </c>
      <c r="I34" s="22">
        <v>57522</v>
      </c>
      <c r="J34" s="22">
        <v>44399</v>
      </c>
      <c r="K34" s="72">
        <v>35817554</v>
      </c>
      <c r="L34" s="72">
        <f t="shared" si="4"/>
        <v>-8581.4460000000036</v>
      </c>
      <c r="M34" s="23">
        <f t="shared" si="5"/>
        <v>77.186120093181742</v>
      </c>
      <c r="N34" s="21">
        <f t="shared" si="8"/>
        <v>-17708</v>
      </c>
      <c r="O34" s="22">
        <f t="shared" si="0"/>
        <v>-18441</v>
      </c>
      <c r="P34" s="22">
        <f t="shared" si="6"/>
        <v>-5266</v>
      </c>
      <c r="Q34" s="64">
        <f t="shared" si="1"/>
        <v>28.555935144514937</v>
      </c>
      <c r="R34" s="247">
        <f t="shared" si="9"/>
        <v>14691</v>
      </c>
      <c r="S34" s="209">
        <v>5534</v>
      </c>
      <c r="T34" s="210">
        <v>671</v>
      </c>
      <c r="V34" s="270">
        <v>8460220.0600000005</v>
      </c>
      <c r="W34" s="270">
        <v>6230777.2699999996</v>
      </c>
      <c r="X34" s="46">
        <f t="shared" si="7"/>
        <v>14690997.33</v>
      </c>
      <c r="AN34" s="222">
        <v>35</v>
      </c>
    </row>
    <row r="35" spans="1:44" ht="17.100000000000001" customHeight="1" x14ac:dyDescent="0.25">
      <c r="A35" s="20" t="s">
        <v>179</v>
      </c>
      <c r="B35" s="21">
        <f>SUM('Příjmy '!B35+'Příjmy '!H35+'Příjmy '!L35+'Příjmy '!P35)</f>
        <v>58524</v>
      </c>
      <c r="C35" s="22">
        <f>SUM('Příjmy '!C35+'Příjmy '!I35+'Příjmy '!M35+'Příjmy '!Q35)</f>
        <v>74718</v>
      </c>
      <c r="D35" s="22">
        <f>SUM('Příjmy '!D35+'Příjmy '!J35+'Příjmy '!N35+'Příjmy '!R35)</f>
        <v>74231</v>
      </c>
      <c r="E35" s="72">
        <v>-94287165.689999998</v>
      </c>
      <c r="F35" s="72">
        <f t="shared" si="2"/>
        <v>20056.165689999994</v>
      </c>
      <c r="G35" s="23">
        <f t="shared" si="3"/>
        <v>99.348215958671275</v>
      </c>
      <c r="H35" s="21">
        <v>73270</v>
      </c>
      <c r="I35" s="22">
        <v>90537</v>
      </c>
      <c r="J35" s="22">
        <v>78558</v>
      </c>
      <c r="K35" s="72">
        <v>88121783</v>
      </c>
      <c r="L35" s="72">
        <f t="shared" si="4"/>
        <v>9563.7829999999958</v>
      </c>
      <c r="M35" s="23">
        <f t="shared" si="5"/>
        <v>86.768945293084599</v>
      </c>
      <c r="N35" s="21">
        <f t="shared" si="8"/>
        <v>-14746</v>
      </c>
      <c r="O35" s="22">
        <f t="shared" si="0"/>
        <v>-15819</v>
      </c>
      <c r="P35" s="22">
        <f t="shared" si="6"/>
        <v>-4327</v>
      </c>
      <c r="Q35" s="64">
        <f t="shared" si="1"/>
        <v>27.353182881345216</v>
      </c>
      <c r="R35" s="247">
        <f t="shared" si="9"/>
        <v>7890</v>
      </c>
      <c r="S35" s="209">
        <v>14987</v>
      </c>
      <c r="T35" s="210">
        <v>1476</v>
      </c>
      <c r="V35" s="271">
        <v>6900165.5199999996</v>
      </c>
      <c r="W35" s="271">
        <v>990099.62</v>
      </c>
      <c r="X35" s="46">
        <f t="shared" si="7"/>
        <v>7890265.1399999997</v>
      </c>
      <c r="AO35" s="222">
        <v>-1</v>
      </c>
    </row>
    <row r="36" spans="1:44" ht="17.100000000000001" customHeight="1" x14ac:dyDescent="0.25">
      <c r="A36" s="20" t="s">
        <v>180</v>
      </c>
      <c r="B36" s="21">
        <f>SUM('Příjmy '!B36+'Příjmy '!H36+'Příjmy '!L36+'Příjmy '!P36)</f>
        <v>5755</v>
      </c>
      <c r="C36" s="22">
        <f>SUM('Příjmy '!C36+'Příjmy '!I36+'Příjmy '!M36+'Příjmy '!Q36)</f>
        <v>7082</v>
      </c>
      <c r="D36" s="22">
        <f>SUM('Příjmy '!D36+'Příjmy '!J36+'Příjmy '!N36+'Příjmy '!R36)</f>
        <v>6989</v>
      </c>
      <c r="E36" s="72">
        <v>-6125542.9800000004</v>
      </c>
      <c r="F36" s="72">
        <f t="shared" si="2"/>
        <v>-863.45701999999983</v>
      </c>
      <c r="G36" s="23">
        <f t="shared" si="3"/>
        <v>98.68681163513132</v>
      </c>
      <c r="H36" s="21">
        <v>5755</v>
      </c>
      <c r="I36" s="22">
        <v>8605</v>
      </c>
      <c r="J36" s="22">
        <v>8063</v>
      </c>
      <c r="K36" s="72">
        <v>5407182</v>
      </c>
      <c r="L36" s="72">
        <f t="shared" si="4"/>
        <v>-2655.8180000000002</v>
      </c>
      <c r="M36" s="23">
        <f t="shared" si="5"/>
        <v>93.701336432306803</v>
      </c>
      <c r="N36" s="21">
        <f t="shared" si="8"/>
        <v>0</v>
      </c>
      <c r="O36" s="22">
        <f t="shared" si="0"/>
        <v>-1523</v>
      </c>
      <c r="P36" s="22">
        <f>SUM(D36-J36)</f>
        <v>-1074</v>
      </c>
      <c r="Q36" s="64">
        <f t="shared" si="1"/>
        <v>70.518713066316479</v>
      </c>
      <c r="R36" s="247">
        <f t="shared" si="9"/>
        <v>3459</v>
      </c>
      <c r="S36" s="209">
        <v>1674</v>
      </c>
      <c r="T36" s="210">
        <v>81</v>
      </c>
      <c r="V36" s="272">
        <v>3452906.14</v>
      </c>
      <c r="W36" s="272">
        <v>6240.12</v>
      </c>
      <c r="X36" s="46">
        <f t="shared" si="7"/>
        <v>3459146.2600000002</v>
      </c>
      <c r="AP36" s="222">
        <v>38</v>
      </c>
      <c r="AQ36" s="222">
        <v>64</v>
      </c>
    </row>
    <row r="37" spans="1:44" ht="17.100000000000001" customHeight="1" x14ac:dyDescent="0.25">
      <c r="A37" s="20" t="s">
        <v>181</v>
      </c>
      <c r="B37" s="21">
        <f>SUM('Příjmy '!B37+'Příjmy '!H37+'Příjmy '!L37+'Příjmy '!P37)</f>
        <v>6275</v>
      </c>
      <c r="C37" s="22">
        <f>SUM('Příjmy '!C37+'Příjmy '!I37+'Příjmy '!M37+'Příjmy '!Q37)</f>
        <v>22063</v>
      </c>
      <c r="D37" s="22">
        <f>SUM('Příjmy '!D37+'Příjmy '!J37+'Příjmy '!N37+'Příjmy '!R37)</f>
        <v>22038</v>
      </c>
      <c r="E37" s="72">
        <v>-7328021.3300000001</v>
      </c>
      <c r="F37" s="72">
        <f t="shared" si="2"/>
        <v>-14709.97867</v>
      </c>
      <c r="G37" s="23">
        <f t="shared" si="3"/>
        <v>99.886688120382544</v>
      </c>
      <c r="H37" s="21">
        <v>6275</v>
      </c>
      <c r="I37" s="22">
        <v>22368</v>
      </c>
      <c r="J37" s="22">
        <v>6665</v>
      </c>
      <c r="K37" s="72">
        <v>5775621</v>
      </c>
      <c r="L37" s="72">
        <f t="shared" si="4"/>
        <v>-889.37899999999991</v>
      </c>
      <c r="M37" s="23">
        <f t="shared" si="5"/>
        <v>29.797031473533618</v>
      </c>
      <c r="N37" s="21">
        <f t="shared" si="8"/>
        <v>0</v>
      </c>
      <c r="O37" s="22">
        <f t="shared" si="0"/>
        <v>-305</v>
      </c>
      <c r="P37" s="22">
        <f>SUM(D37-J37)</f>
        <v>15373</v>
      </c>
      <c r="Q37" s="64"/>
      <c r="R37" s="247">
        <f t="shared" si="9"/>
        <v>16553</v>
      </c>
      <c r="S37" s="209">
        <v>1080</v>
      </c>
      <c r="T37" s="210">
        <v>215</v>
      </c>
      <c r="V37" s="273">
        <v>16552394.210000001</v>
      </c>
      <c r="W37" s="273">
        <v>926.01</v>
      </c>
      <c r="X37" s="46">
        <f t="shared" si="7"/>
        <v>16553320.220000001</v>
      </c>
    </row>
    <row r="38" spans="1:44" ht="17.100000000000001" customHeight="1" x14ac:dyDescent="0.25">
      <c r="A38" s="20" t="s">
        <v>182</v>
      </c>
      <c r="B38" s="21">
        <f>SUM('Příjmy '!B38+'Příjmy '!H38+'Příjmy '!L38+'Příjmy '!P38)</f>
        <v>3630</v>
      </c>
      <c r="C38" s="22">
        <f>SUM('Příjmy '!C38+'Příjmy '!I38+'Příjmy '!M38+'Příjmy '!Q38)</f>
        <v>8677</v>
      </c>
      <c r="D38" s="22">
        <f>SUM('Příjmy '!D38+'Příjmy '!J38+'Příjmy '!N38+'Příjmy '!R38)</f>
        <v>8654</v>
      </c>
      <c r="E38" s="72">
        <v>-3977264.3</v>
      </c>
      <c r="F38" s="72">
        <f t="shared" si="2"/>
        <v>-4676.7357000000002</v>
      </c>
      <c r="G38" s="23">
        <f t="shared" si="3"/>
        <v>99.734931427912869</v>
      </c>
      <c r="H38" s="21">
        <v>3630</v>
      </c>
      <c r="I38" s="22">
        <v>8826</v>
      </c>
      <c r="J38" s="22">
        <v>8713</v>
      </c>
      <c r="K38" s="72">
        <v>3848411</v>
      </c>
      <c r="L38" s="72">
        <f t="shared" si="4"/>
        <v>-4864.5889999999999</v>
      </c>
      <c r="M38" s="23">
        <f t="shared" si="5"/>
        <v>98.719691819623833</v>
      </c>
      <c r="N38" s="21">
        <f t="shared" si="8"/>
        <v>0</v>
      </c>
      <c r="O38" s="22">
        <f t="shared" si="0"/>
        <v>-149</v>
      </c>
      <c r="P38" s="22">
        <f t="shared" si="6"/>
        <v>-59</v>
      </c>
      <c r="Q38" s="64">
        <f t="shared" si="1"/>
        <v>39.597315436241608</v>
      </c>
      <c r="R38" s="247">
        <f t="shared" si="9"/>
        <v>1008</v>
      </c>
      <c r="S38" s="209">
        <v>567</v>
      </c>
      <c r="T38" s="210">
        <v>25</v>
      </c>
      <c r="V38" s="274">
        <v>961786.72</v>
      </c>
      <c r="W38" s="274">
        <v>46403.5</v>
      </c>
      <c r="X38" s="46">
        <f t="shared" si="7"/>
        <v>1008190.22</v>
      </c>
      <c r="AQ38" s="222">
        <v>57</v>
      </c>
      <c r="AR38" s="222">
        <v>56</v>
      </c>
    </row>
    <row r="39" spans="1:44" ht="17.100000000000001" customHeight="1" thickBot="1" x14ac:dyDescent="0.3">
      <c r="A39" s="24" t="s">
        <v>183</v>
      </c>
      <c r="B39" s="25">
        <f>SUM('Příjmy '!B39+'Příjmy '!H39+'Příjmy '!L39+'Příjmy '!P39)</f>
        <v>2640</v>
      </c>
      <c r="C39" s="26">
        <f>SUM('Příjmy '!C39+'Příjmy '!I39+'Příjmy '!M39+'Příjmy '!Q39)</f>
        <v>2896</v>
      </c>
      <c r="D39" s="26">
        <f>SUM('Příjmy '!D39+'Příjmy '!J39+'Příjmy '!N39+'Příjmy '!R39)</f>
        <v>2885</v>
      </c>
      <c r="E39" s="73">
        <v>-2816940.83</v>
      </c>
      <c r="F39" s="73">
        <f t="shared" si="2"/>
        <v>-68.059169999999995</v>
      </c>
      <c r="G39" s="27">
        <f t="shared" si="3"/>
        <v>99.620165745856355</v>
      </c>
      <c r="H39" s="25">
        <v>2640</v>
      </c>
      <c r="I39" s="26">
        <v>4201</v>
      </c>
      <c r="J39" s="26">
        <v>3597</v>
      </c>
      <c r="K39" s="73">
        <v>3197612</v>
      </c>
      <c r="L39" s="73">
        <f t="shared" si="4"/>
        <v>-399.38799999999992</v>
      </c>
      <c r="M39" s="27">
        <f t="shared" si="5"/>
        <v>85.622470840276122</v>
      </c>
      <c r="N39" s="25">
        <f t="shared" si="8"/>
        <v>0</v>
      </c>
      <c r="O39" s="26">
        <f>SUM(C39-I39)</f>
        <v>-1305</v>
      </c>
      <c r="P39" s="26">
        <f>SUM(D39-J39)</f>
        <v>-712</v>
      </c>
      <c r="Q39" s="27">
        <f t="shared" ref="Q39" si="10">SUM(P39/O39*100)</f>
        <v>54.559386973180082</v>
      </c>
      <c r="R39" s="275">
        <f t="shared" si="9"/>
        <v>1126</v>
      </c>
      <c r="S39" s="211">
        <v>762</v>
      </c>
      <c r="T39" s="212">
        <v>0</v>
      </c>
      <c r="V39" s="276">
        <v>1125703.77</v>
      </c>
      <c r="W39" s="277"/>
      <c r="X39" s="46">
        <f t="shared" si="7"/>
        <v>1125703.77</v>
      </c>
    </row>
    <row r="40" spans="1:44" ht="15" customHeight="1" thickBot="1" x14ac:dyDescent="0.3">
      <c r="A40" s="44"/>
      <c r="B40" s="50"/>
      <c r="C40" s="51"/>
      <c r="D40" s="51"/>
      <c r="E40" s="223"/>
      <c r="F40" s="223"/>
      <c r="G40" s="35"/>
      <c r="H40" s="50"/>
      <c r="I40" s="51"/>
      <c r="J40" s="51"/>
      <c r="K40" s="223"/>
      <c r="L40" s="223"/>
      <c r="M40" s="35"/>
      <c r="N40" s="50"/>
      <c r="O40" s="51"/>
      <c r="P40" s="51"/>
      <c r="Q40" s="35"/>
      <c r="R40" s="226"/>
      <c r="S40" s="50"/>
      <c r="T40" s="215"/>
    </row>
    <row r="41" spans="1:44" ht="19.5" customHeight="1" thickBot="1" x14ac:dyDescent="0.3">
      <c r="A41" s="45" t="s">
        <v>198</v>
      </c>
      <c r="B41" s="36">
        <f>SUM(B11:B39)</f>
        <v>1976351</v>
      </c>
      <c r="C41" s="42">
        <f>SUM(C11:C39)</f>
        <v>2849858</v>
      </c>
      <c r="D41" s="42">
        <f>SUM(D11:D39)</f>
        <v>2807904</v>
      </c>
      <c r="E41" s="92">
        <f>SUM(E11:E39)</f>
        <v>-2693658620.0599999</v>
      </c>
      <c r="F41" s="92"/>
      <c r="G41" s="39">
        <f>SUM(D41/C41*100)</f>
        <v>98.52785647565598</v>
      </c>
      <c r="H41" s="36">
        <f>SUM(H11:H39)</f>
        <v>2556356</v>
      </c>
      <c r="I41" s="42">
        <f>SUM(I11:I39)</f>
        <v>3936219</v>
      </c>
      <c r="J41" s="42">
        <f>SUM(J11:J39)</f>
        <v>2573993</v>
      </c>
      <c r="K41" s="92">
        <f>SUM(K11:K39)</f>
        <v>2446085414</v>
      </c>
      <c r="L41" s="92"/>
      <c r="M41" s="39">
        <f>SUM(J41/I41*100)</f>
        <v>65.392525161836772</v>
      </c>
      <c r="N41" s="36">
        <f>SUM(N11:N39)</f>
        <v>-580005</v>
      </c>
      <c r="O41" s="42">
        <f>SUM(O11:O39)</f>
        <v>-1086361</v>
      </c>
      <c r="P41" s="42">
        <f>SUM(P11:P39)</f>
        <v>233911</v>
      </c>
      <c r="Q41" s="39"/>
      <c r="R41" s="278">
        <f>SUM(R11:R39)</f>
        <v>1761920</v>
      </c>
      <c r="S41" s="36">
        <f>SUM(S11:S40)</f>
        <v>377508</v>
      </c>
      <c r="T41" s="216">
        <f>SUM(T11:T39)</f>
        <v>38203</v>
      </c>
      <c r="V41" s="46">
        <f>SUM(V11:V40)</f>
        <v>1368420072.9899998</v>
      </c>
      <c r="W41" s="222">
        <f>SUM(W11:W40)</f>
        <v>393499600.69</v>
      </c>
      <c r="X41" s="46">
        <f>SUM(X11:X40)</f>
        <v>1761919673.6800005</v>
      </c>
    </row>
    <row r="42" spans="1:44" x14ac:dyDescent="0.25">
      <c r="X42" s="46">
        <f>V41+W41</f>
        <v>1761919673.6799998</v>
      </c>
    </row>
    <row r="43" spans="1:44" x14ac:dyDescent="0.25">
      <c r="V43" s="222">
        <v>999583785.63</v>
      </c>
      <c r="W43" s="222">
        <v>477836638.06999999</v>
      </c>
      <c r="X43" s="222">
        <f>V43+W43</f>
        <v>1477420423.7</v>
      </c>
    </row>
    <row r="44" spans="1:44" x14ac:dyDescent="0.25">
      <c r="X44" s="222">
        <f>X41-X43</f>
        <v>284499249.9800005</v>
      </c>
    </row>
    <row r="45" spans="1:44" x14ac:dyDescent="0.25">
      <c r="A45" s="222">
        <v>2014</v>
      </c>
      <c r="B45" s="40">
        <v>1936004</v>
      </c>
      <c r="C45" s="40">
        <v>2949941</v>
      </c>
      <c r="D45" s="40">
        <v>2926995</v>
      </c>
      <c r="E45" s="40"/>
      <c r="F45" s="40"/>
      <c r="G45" s="40"/>
      <c r="H45" s="40">
        <v>2624593</v>
      </c>
      <c r="I45" s="40">
        <v>4070490</v>
      </c>
      <c r="J45" s="40">
        <v>2835466</v>
      </c>
      <c r="K45" s="40"/>
      <c r="L45" s="40"/>
      <c r="M45" s="40"/>
      <c r="N45" s="40">
        <v>-688589</v>
      </c>
      <c r="O45" s="40">
        <v>-1120549</v>
      </c>
      <c r="P45" s="40">
        <v>91529</v>
      </c>
      <c r="Q45" s="40"/>
      <c r="R45" s="40"/>
      <c r="S45" s="40"/>
      <c r="T45" s="40"/>
    </row>
    <row r="46" spans="1:44" ht="15.95" customHeight="1" x14ac:dyDescent="0.25">
      <c r="B46" s="40"/>
      <c r="C46" s="112"/>
      <c r="D46" s="40"/>
      <c r="E46" s="40"/>
      <c r="F46" s="40"/>
      <c r="G46" s="40"/>
      <c r="H46" s="40"/>
      <c r="I46" s="112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44" x14ac:dyDescent="0.25">
      <c r="A47" s="222">
        <v>2013</v>
      </c>
      <c r="B47" s="40">
        <v>1961733</v>
      </c>
      <c r="C47" s="40">
        <v>2749678</v>
      </c>
      <c r="D47" s="40">
        <v>2636362</v>
      </c>
      <c r="E47" s="40"/>
      <c r="F47" s="40"/>
      <c r="G47" s="40"/>
      <c r="H47" s="40">
        <v>2567131</v>
      </c>
      <c r="I47" s="40">
        <v>3702863</v>
      </c>
      <c r="J47" s="40">
        <v>2468490</v>
      </c>
      <c r="K47" s="40"/>
      <c r="L47" s="40"/>
      <c r="M47" s="40"/>
      <c r="N47" s="40">
        <v>-605398</v>
      </c>
      <c r="O47" s="40">
        <v>-953185</v>
      </c>
      <c r="P47" s="40">
        <v>167872</v>
      </c>
      <c r="Q47" s="40"/>
      <c r="R47" s="40"/>
      <c r="S47" s="40"/>
    </row>
    <row r="48" spans="1:44" x14ac:dyDescent="0.25">
      <c r="S48" s="40"/>
    </row>
    <row r="50" spans="4:18" ht="15.95" customHeight="1" x14ac:dyDescent="0.25">
      <c r="D50" s="40">
        <f>D45-D47</f>
        <v>290633</v>
      </c>
    </row>
    <row r="51" spans="4:18" ht="15.95" customHeight="1" x14ac:dyDescent="0.25">
      <c r="D51" s="222">
        <f>D50/D45*100</f>
        <v>9.9293985811386758</v>
      </c>
    </row>
    <row r="52" spans="4:18" ht="15.95" customHeight="1" x14ac:dyDescent="0.25">
      <c r="D52" s="40">
        <f>D47-D45</f>
        <v>-290633</v>
      </c>
      <c r="J52" s="40">
        <f>J47-J45</f>
        <v>-366976</v>
      </c>
      <c r="P52" s="40">
        <f>P47-P45</f>
        <v>76343</v>
      </c>
      <c r="R52" s="40">
        <f>R47-R45</f>
        <v>0</v>
      </c>
    </row>
    <row r="53" spans="4:18" ht="15.95" customHeight="1" x14ac:dyDescent="0.25">
      <c r="J53" s="222">
        <f>J52/J45*100</f>
        <v>-12.94235233291459</v>
      </c>
    </row>
    <row r="54" spans="4:18" ht="15.95" customHeight="1" x14ac:dyDescent="0.25"/>
    <row r="55" spans="4:18" ht="18" customHeight="1" x14ac:dyDescent="0.25"/>
    <row r="56" spans="4:18" ht="18" customHeight="1" x14ac:dyDescent="0.25"/>
    <row r="57" spans="4:18" ht="13.9" customHeight="1" x14ac:dyDescent="0.25"/>
    <row r="59" spans="4:18" ht="18" customHeight="1" x14ac:dyDescent="0.25"/>
    <row r="60" spans="4:18" ht="13.9" customHeight="1" x14ac:dyDescent="0.25"/>
    <row r="61" spans="4:18" ht="15.95" customHeight="1" x14ac:dyDescent="0.25"/>
    <row r="63" spans="4:18" ht="13.9" customHeight="1" x14ac:dyDescent="0.25"/>
    <row r="64" spans="4:18" ht="12" customHeight="1" x14ac:dyDescent="0.25"/>
    <row r="65" ht="15.95" customHeight="1" x14ac:dyDescent="0.25"/>
    <row r="66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</sheetData>
  <mergeCells count="18">
    <mergeCell ref="N8:N9"/>
    <mergeCell ref="O8:O9"/>
    <mergeCell ref="P8:P9"/>
    <mergeCell ref="H8:H9"/>
    <mergeCell ref="I8:I9"/>
    <mergeCell ref="J8:J9"/>
    <mergeCell ref="A2:T2"/>
    <mergeCell ref="B8:B9"/>
    <mergeCell ref="C8:C9"/>
    <mergeCell ref="D8:D9"/>
    <mergeCell ref="A7:A9"/>
    <mergeCell ref="A4:T4"/>
    <mergeCell ref="R7:R9"/>
    <mergeCell ref="B7:G7"/>
    <mergeCell ref="H7:M7"/>
    <mergeCell ref="N7:Q7"/>
    <mergeCell ref="S7:T7"/>
    <mergeCell ref="S8:T8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63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List10">
    <pageSetUpPr fitToPage="1"/>
  </sheetPr>
  <dimension ref="A1:J109"/>
  <sheetViews>
    <sheetView showZeros="0" view="pageBreakPreview" zoomScaleNormal="85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5.75" x14ac:dyDescent="0.25"/>
  <cols>
    <col min="1" max="1" width="26.88671875" style="78" customWidth="1"/>
    <col min="2" max="4" width="20.77734375" style="79" customWidth="1"/>
    <col min="5" max="5" width="8.6640625" style="79" customWidth="1"/>
    <col min="6" max="8" width="20.77734375" style="79" customWidth="1"/>
    <col min="9" max="9" width="1.6640625" style="79" hidden="1" customWidth="1"/>
    <col min="10" max="10" width="8.6640625" style="79" customWidth="1"/>
    <col min="11" max="11" width="5.6640625" style="79" customWidth="1"/>
    <col min="12" max="12" width="21.5546875" style="79" customWidth="1"/>
    <col min="13" max="16384" width="8.88671875" style="79"/>
  </cols>
  <sheetData>
    <row r="1" spans="1:10" ht="17.25" customHeight="1" x14ac:dyDescent="0.25">
      <c r="A1" s="329"/>
    </row>
    <row r="2" spans="1:10" s="76" customFormat="1" ht="24" customHeight="1" x14ac:dyDescent="0.35">
      <c r="A2" s="339" t="s">
        <v>245</v>
      </c>
      <c r="B2" s="339"/>
      <c r="C2" s="339"/>
      <c r="D2" s="339"/>
      <c r="E2" s="339"/>
      <c r="F2" s="339"/>
      <c r="G2" s="339"/>
      <c r="H2" s="339"/>
      <c r="I2" s="339"/>
      <c r="J2" s="339"/>
    </row>
    <row r="3" spans="1:10" s="77" customFormat="1" ht="15" customHeight="1" x14ac:dyDescent="0.35"/>
    <row r="4" spans="1:10" s="77" customFormat="1" ht="21" customHeight="1" x14ac:dyDescent="0.35">
      <c r="A4" s="339" t="s">
        <v>19</v>
      </c>
      <c r="B4" s="339"/>
      <c r="C4" s="339"/>
      <c r="D4" s="339"/>
      <c r="E4" s="339"/>
      <c r="F4" s="339"/>
      <c r="G4" s="339"/>
      <c r="H4" s="339"/>
      <c r="I4" s="339"/>
      <c r="J4" s="339"/>
    </row>
    <row r="5" spans="1:10" ht="22.5" customHeight="1" x14ac:dyDescent="0.25">
      <c r="J5" s="10" t="s">
        <v>203</v>
      </c>
    </row>
    <row r="6" spans="1:10" ht="22.5" customHeight="1" thickBot="1" x14ac:dyDescent="0.3">
      <c r="J6" s="10" t="s">
        <v>199</v>
      </c>
    </row>
    <row r="7" spans="1:10" s="78" customFormat="1" ht="23.25" customHeight="1" thickBot="1" x14ac:dyDescent="0.3">
      <c r="A7" s="364" t="s">
        <v>192</v>
      </c>
      <c r="B7" s="383" t="s">
        <v>219</v>
      </c>
      <c r="C7" s="384"/>
      <c r="D7" s="384"/>
      <c r="E7" s="385"/>
      <c r="F7" s="383" t="s">
        <v>131</v>
      </c>
      <c r="G7" s="384"/>
      <c r="H7" s="384"/>
      <c r="I7" s="384"/>
      <c r="J7" s="385"/>
    </row>
    <row r="8" spans="1:10" ht="18" customHeight="1" x14ac:dyDescent="0.25">
      <c r="A8" s="365"/>
      <c r="B8" s="368" t="s">
        <v>196</v>
      </c>
      <c r="C8" s="354" t="s">
        <v>197</v>
      </c>
      <c r="D8" s="355" t="s">
        <v>223</v>
      </c>
      <c r="E8" s="17" t="s">
        <v>0</v>
      </c>
      <c r="F8" s="368" t="s">
        <v>196</v>
      </c>
      <c r="G8" s="354" t="s">
        <v>197</v>
      </c>
      <c r="H8" s="355" t="s">
        <v>223</v>
      </c>
      <c r="I8" s="17"/>
      <c r="J8" s="17" t="s">
        <v>0</v>
      </c>
    </row>
    <row r="9" spans="1:10" ht="18" customHeight="1" thickBot="1" x14ac:dyDescent="0.3">
      <c r="A9" s="366"/>
      <c r="B9" s="333"/>
      <c r="C9" s="331"/>
      <c r="D9" s="356"/>
      <c r="E9" s="18" t="s">
        <v>11</v>
      </c>
      <c r="F9" s="333"/>
      <c r="G9" s="331"/>
      <c r="H9" s="356"/>
      <c r="I9" s="18"/>
      <c r="J9" s="18" t="s">
        <v>11</v>
      </c>
    </row>
    <row r="10" spans="1:10" ht="18" customHeight="1" x14ac:dyDescent="0.25">
      <c r="A10" s="44"/>
      <c r="B10" s="32"/>
      <c r="C10" s="97"/>
      <c r="D10" s="97"/>
      <c r="E10" s="98"/>
      <c r="F10" s="32"/>
      <c r="G10" s="97"/>
      <c r="H10" s="97"/>
      <c r="I10" s="97" t="s">
        <v>145</v>
      </c>
      <c r="J10" s="98"/>
    </row>
    <row r="11" spans="1:10" ht="15.95" customHeight="1" thickBot="1" x14ac:dyDescent="0.3">
      <c r="A11" s="44"/>
      <c r="B11" s="32"/>
      <c r="C11" s="97"/>
      <c r="D11" s="97"/>
      <c r="E11" s="98"/>
      <c r="F11" s="32"/>
      <c r="G11" s="97"/>
      <c r="H11" s="97"/>
      <c r="I11" s="97"/>
      <c r="J11" s="98"/>
    </row>
    <row r="12" spans="1:10" ht="15.95" customHeight="1" x14ac:dyDescent="0.25">
      <c r="A12" s="28" t="s">
        <v>155</v>
      </c>
      <c r="B12" s="29">
        <f>'Běžné výdaje'!B15</f>
        <v>330758</v>
      </c>
      <c r="C12" s="30">
        <f>'Běžné výdaje'!C15</f>
        <v>408929</v>
      </c>
      <c r="D12" s="30">
        <f>'Běžné výdaje'!D15</f>
        <v>371765</v>
      </c>
      <c r="E12" s="31">
        <f t="shared" ref="E12:E40" si="0">SUM(D12/C12*100)</f>
        <v>90.91186978668668</v>
      </c>
      <c r="F12" s="29">
        <v>164449</v>
      </c>
      <c r="G12" s="30">
        <v>204626</v>
      </c>
      <c r="H12" s="30">
        <v>82534</v>
      </c>
      <c r="I12" s="71">
        <v>84999226</v>
      </c>
      <c r="J12" s="31">
        <f>SUM(H12/G12*100)</f>
        <v>40.334072893962642</v>
      </c>
    </row>
    <row r="13" spans="1:10" ht="15.95" customHeight="1" x14ac:dyDescent="0.25">
      <c r="A13" s="20" t="s">
        <v>156</v>
      </c>
      <c r="B13" s="21">
        <f>'Běžné výdaje'!B16</f>
        <v>48507</v>
      </c>
      <c r="C13" s="22">
        <f>'Běžné výdaje'!C16</f>
        <v>59902</v>
      </c>
      <c r="D13" s="22">
        <f>'Běžné výdaje'!D16</f>
        <v>52500</v>
      </c>
      <c r="E13" s="23">
        <f t="shared" si="0"/>
        <v>87.643150479115889</v>
      </c>
      <c r="F13" s="107">
        <v>13940</v>
      </c>
      <c r="G13" s="108">
        <v>22809</v>
      </c>
      <c r="H13" s="108">
        <v>15618</v>
      </c>
      <c r="I13" s="72">
        <v>22668380</v>
      </c>
      <c r="J13" s="23">
        <f t="shared" ref="J13:J40" si="1">SUM(H13/G13*100)</f>
        <v>68.472971195580683</v>
      </c>
    </row>
    <row r="14" spans="1:10" ht="15.95" customHeight="1" x14ac:dyDescent="0.25">
      <c r="A14" s="20" t="s">
        <v>157</v>
      </c>
      <c r="B14" s="21">
        <f>'Běžné výdaje'!B17</f>
        <v>55487</v>
      </c>
      <c r="C14" s="22">
        <f>'Běžné výdaje'!C17</f>
        <v>88496</v>
      </c>
      <c r="D14" s="22">
        <f>'Běžné výdaje'!D17</f>
        <v>51696</v>
      </c>
      <c r="E14" s="23">
        <f t="shared" si="0"/>
        <v>58.416199602241917</v>
      </c>
      <c r="F14" s="107">
        <v>62803</v>
      </c>
      <c r="G14" s="108">
        <v>75190</v>
      </c>
      <c r="H14" s="108">
        <v>34242</v>
      </c>
      <c r="I14" s="72">
        <v>35300631</v>
      </c>
      <c r="J14" s="23">
        <f t="shared" si="1"/>
        <v>45.540630402979119</v>
      </c>
    </row>
    <row r="15" spans="1:10" ht="15.95" customHeight="1" x14ac:dyDescent="0.25">
      <c r="A15" s="20" t="s">
        <v>158</v>
      </c>
      <c r="B15" s="21">
        <f>'Běžné výdaje'!B18</f>
        <v>46338</v>
      </c>
      <c r="C15" s="22">
        <f>'Běžné výdaje'!C18</f>
        <v>43563</v>
      </c>
      <c r="D15" s="22">
        <f>'Běžné výdaje'!D18</f>
        <v>37199</v>
      </c>
      <c r="E15" s="23">
        <f t="shared" si="0"/>
        <v>85.391272410072773</v>
      </c>
      <c r="F15" s="107">
        <v>24700</v>
      </c>
      <c r="G15" s="108">
        <v>54415</v>
      </c>
      <c r="H15" s="108">
        <v>41662</v>
      </c>
      <c r="I15" s="72">
        <v>21767413</v>
      </c>
      <c r="J15" s="23">
        <f t="shared" si="1"/>
        <v>76.563447578792605</v>
      </c>
    </row>
    <row r="16" spans="1:10" ht="15.95" customHeight="1" x14ac:dyDescent="0.25">
      <c r="A16" s="20" t="s">
        <v>159</v>
      </c>
      <c r="B16" s="21">
        <f>'Běžné výdaje'!B19</f>
        <v>42290</v>
      </c>
      <c r="C16" s="22">
        <f>'Běžné výdaje'!C19</f>
        <v>54428</v>
      </c>
      <c r="D16" s="22">
        <f>'Běžné výdaje'!D19</f>
        <v>49279</v>
      </c>
      <c r="E16" s="23">
        <f t="shared" si="0"/>
        <v>90.539795693393117</v>
      </c>
      <c r="F16" s="107">
        <v>18354</v>
      </c>
      <c r="G16" s="108">
        <v>61844</v>
      </c>
      <c r="H16" s="108">
        <v>53383</v>
      </c>
      <c r="I16" s="72">
        <v>3129248</v>
      </c>
      <c r="J16" s="23">
        <f t="shared" si="1"/>
        <v>86.318802147338474</v>
      </c>
    </row>
    <row r="17" spans="1:10" ht="15.95" customHeight="1" x14ac:dyDescent="0.25">
      <c r="A17" s="20" t="s">
        <v>160</v>
      </c>
      <c r="B17" s="21">
        <f>'Běžné výdaje'!B20</f>
        <v>15634</v>
      </c>
      <c r="C17" s="22">
        <f>'Běžné výdaje'!C20</f>
        <v>16571</v>
      </c>
      <c r="D17" s="22">
        <f>'Běžné výdaje'!D20</f>
        <v>13164</v>
      </c>
      <c r="E17" s="23">
        <f t="shared" si="0"/>
        <v>79.439985516866813</v>
      </c>
      <c r="F17" s="21">
        <v>160</v>
      </c>
      <c r="G17" s="22">
        <v>1430</v>
      </c>
      <c r="H17" s="22">
        <v>1356</v>
      </c>
      <c r="I17" s="72">
        <v>1580350</v>
      </c>
      <c r="J17" s="23">
        <f t="shared" si="1"/>
        <v>94.825174825174827</v>
      </c>
    </row>
    <row r="18" spans="1:10" ht="15.95" customHeight="1" x14ac:dyDescent="0.25">
      <c r="A18" s="20" t="s">
        <v>161</v>
      </c>
      <c r="B18" s="21">
        <f>'Běžné výdaje'!B21</f>
        <v>96929</v>
      </c>
      <c r="C18" s="22">
        <f>'Běžné výdaje'!C21</f>
        <v>104909</v>
      </c>
      <c r="D18" s="22">
        <f>'Běžné výdaje'!D21</f>
        <v>98369</v>
      </c>
      <c r="E18" s="23">
        <f t="shared" si="0"/>
        <v>93.766025793783186</v>
      </c>
      <c r="F18" s="21">
        <v>21000</v>
      </c>
      <c r="G18" s="22">
        <v>42133</v>
      </c>
      <c r="H18" s="22">
        <v>15876</v>
      </c>
      <c r="I18" s="72">
        <v>31384283</v>
      </c>
      <c r="J18" s="23">
        <f t="shared" si="1"/>
        <v>37.680677853464026</v>
      </c>
    </row>
    <row r="19" spans="1:10" ht="15.95" customHeight="1" x14ac:dyDescent="0.25">
      <c r="A19" s="20" t="s">
        <v>162</v>
      </c>
      <c r="B19" s="21">
        <f>'Běžné výdaje'!B22</f>
        <v>150863</v>
      </c>
      <c r="C19" s="22">
        <f>'Běžné výdaje'!C22</f>
        <v>218182</v>
      </c>
      <c r="D19" s="22">
        <f>'Běžné výdaje'!D22</f>
        <v>100835</v>
      </c>
      <c r="E19" s="23">
        <f t="shared" si="0"/>
        <v>46.216003153330703</v>
      </c>
      <c r="F19" s="21">
        <v>40719</v>
      </c>
      <c r="G19" s="22">
        <v>211846</v>
      </c>
      <c r="H19" s="22">
        <v>26733</v>
      </c>
      <c r="I19" s="72">
        <v>63470382</v>
      </c>
      <c r="J19" s="23">
        <f t="shared" si="1"/>
        <v>12.619072345005334</v>
      </c>
    </row>
    <row r="20" spans="1:10" ht="15.95" customHeight="1" x14ac:dyDescent="0.25">
      <c r="A20" s="20" t="s">
        <v>163</v>
      </c>
      <c r="B20" s="21">
        <f>'Běžné výdaje'!B23</f>
        <v>6041</v>
      </c>
      <c r="C20" s="22">
        <f>'Běžné výdaje'!C23</f>
        <v>8640</v>
      </c>
      <c r="D20" s="22">
        <f>'Běžné výdaje'!D23</f>
        <v>7314</v>
      </c>
      <c r="E20" s="23">
        <f t="shared" si="0"/>
        <v>84.652777777777771</v>
      </c>
      <c r="F20" s="107">
        <v>3836</v>
      </c>
      <c r="G20" s="108">
        <v>5702</v>
      </c>
      <c r="H20" s="108">
        <v>698</v>
      </c>
      <c r="I20" s="72">
        <v>3111369</v>
      </c>
      <c r="J20" s="23">
        <f t="shared" si="1"/>
        <v>12.241318835496317</v>
      </c>
    </row>
    <row r="21" spans="1:10" ht="15.95" customHeight="1" x14ac:dyDescent="0.25">
      <c r="A21" s="20" t="s">
        <v>164</v>
      </c>
      <c r="B21" s="21">
        <f>'Běžné výdaje'!B24</f>
        <v>28082</v>
      </c>
      <c r="C21" s="22">
        <f>'Běžné výdaje'!C24</f>
        <v>30182</v>
      </c>
      <c r="D21" s="22">
        <f>'Běžné výdaje'!D24</f>
        <v>24865</v>
      </c>
      <c r="E21" s="23">
        <f t="shared" si="0"/>
        <v>82.383539858193615</v>
      </c>
      <c r="F21" s="21">
        <v>1081</v>
      </c>
      <c r="G21" s="22">
        <v>13888</v>
      </c>
      <c r="H21" s="22">
        <v>2869</v>
      </c>
      <c r="I21" s="72">
        <v>11000893</v>
      </c>
      <c r="J21" s="23">
        <f t="shared" si="1"/>
        <v>20.658122119815669</v>
      </c>
    </row>
    <row r="22" spans="1:10" ht="15.95" customHeight="1" x14ac:dyDescent="0.25">
      <c r="A22" s="20" t="s">
        <v>165</v>
      </c>
      <c r="B22" s="21">
        <f>'Běžné výdaje'!B25</f>
        <v>15807</v>
      </c>
      <c r="C22" s="22">
        <f>'Běžné výdaje'!C25</f>
        <v>21378</v>
      </c>
      <c r="D22" s="22">
        <f>'Běžné výdaje'!D25</f>
        <v>19894</v>
      </c>
      <c r="E22" s="23">
        <f t="shared" si="0"/>
        <v>93.058284217419768</v>
      </c>
      <c r="F22" s="21">
        <v>6300</v>
      </c>
      <c r="G22" s="22">
        <v>8495</v>
      </c>
      <c r="H22" s="22">
        <v>5662</v>
      </c>
      <c r="I22" s="72">
        <v>14586593</v>
      </c>
      <c r="J22" s="23">
        <f t="shared" si="1"/>
        <v>66.650971159505588</v>
      </c>
    </row>
    <row r="23" spans="1:10" ht="15.95" customHeight="1" x14ac:dyDescent="0.25">
      <c r="A23" s="20" t="s">
        <v>166</v>
      </c>
      <c r="B23" s="21">
        <f>'Běžné výdaje'!B26</f>
        <v>18079</v>
      </c>
      <c r="C23" s="22">
        <f>'Běžné výdaje'!C26</f>
        <v>22363</v>
      </c>
      <c r="D23" s="22">
        <f>'Běžné výdaje'!D26</f>
        <v>21925</v>
      </c>
      <c r="E23" s="23">
        <f t="shared" si="0"/>
        <v>98.041407682332419</v>
      </c>
      <c r="F23" s="21">
        <v>320</v>
      </c>
      <c r="G23" s="22">
        <v>38436</v>
      </c>
      <c r="H23" s="22">
        <v>15102</v>
      </c>
      <c r="I23" s="72">
        <v>840968</v>
      </c>
      <c r="J23" s="23">
        <f t="shared" si="1"/>
        <v>39.29128941617234</v>
      </c>
    </row>
    <row r="24" spans="1:10" ht="15.95" customHeight="1" x14ac:dyDescent="0.25">
      <c r="A24" s="20" t="s">
        <v>167</v>
      </c>
      <c r="B24" s="21">
        <f>'Běžné výdaje'!B27</f>
        <v>193427</v>
      </c>
      <c r="C24" s="22">
        <f>'Běžné výdaje'!C27</f>
        <v>241140</v>
      </c>
      <c r="D24" s="22">
        <f>'Běžné výdaje'!D27</f>
        <v>207966</v>
      </c>
      <c r="E24" s="23">
        <f t="shared" si="0"/>
        <v>86.242846479223687</v>
      </c>
      <c r="F24" s="21">
        <v>155488</v>
      </c>
      <c r="G24" s="22">
        <v>325533</v>
      </c>
      <c r="H24" s="22">
        <v>139611</v>
      </c>
      <c r="I24" s="72">
        <v>83501195</v>
      </c>
      <c r="J24" s="23">
        <f t="shared" si="1"/>
        <v>42.886896259365408</v>
      </c>
    </row>
    <row r="25" spans="1:10" ht="15.95" customHeight="1" x14ac:dyDescent="0.25">
      <c r="A25" s="20" t="s">
        <v>168</v>
      </c>
      <c r="B25" s="21">
        <f>'Běžné výdaje'!B28</f>
        <v>25944</v>
      </c>
      <c r="C25" s="22">
        <f>'Běžné výdaje'!C28</f>
        <v>30585</v>
      </c>
      <c r="D25" s="22">
        <f>'Běžné výdaje'!D28</f>
        <v>25826</v>
      </c>
      <c r="E25" s="23">
        <f t="shared" si="0"/>
        <v>84.440085008991332</v>
      </c>
      <c r="F25" s="107">
        <v>4020</v>
      </c>
      <c r="G25" s="108">
        <v>35100</v>
      </c>
      <c r="H25" s="108">
        <v>10128</v>
      </c>
      <c r="I25" s="72">
        <v>8073674</v>
      </c>
      <c r="J25" s="23">
        <f t="shared" si="1"/>
        <v>28.854700854700855</v>
      </c>
    </row>
    <row r="26" spans="1:10" ht="15.95" customHeight="1" x14ac:dyDescent="0.25">
      <c r="A26" s="20" t="s">
        <v>169</v>
      </c>
      <c r="B26" s="21">
        <f>'Běžné výdaje'!B29</f>
        <v>150648</v>
      </c>
      <c r="C26" s="22">
        <f>'Běžné výdaje'!C29</f>
        <v>215170</v>
      </c>
      <c r="D26" s="22">
        <f>'Běžné výdaje'!D29</f>
        <v>135792</v>
      </c>
      <c r="E26" s="23">
        <f t="shared" si="0"/>
        <v>63.109169493888551</v>
      </c>
      <c r="F26" s="21">
        <v>7530</v>
      </c>
      <c r="G26" s="22">
        <v>50308</v>
      </c>
      <c r="H26" s="22">
        <v>21814</v>
      </c>
      <c r="I26" s="72">
        <v>30824897</v>
      </c>
      <c r="J26" s="23">
        <f t="shared" si="1"/>
        <v>43.360896875248464</v>
      </c>
    </row>
    <row r="27" spans="1:10" ht="15.95" customHeight="1" x14ac:dyDescent="0.25">
      <c r="A27" s="20" t="s">
        <v>170</v>
      </c>
      <c r="B27" s="21">
        <f>'Běžné výdaje'!B30</f>
        <v>37815</v>
      </c>
      <c r="C27" s="22">
        <f>'Běžné výdaje'!C30</f>
        <v>45122</v>
      </c>
      <c r="D27" s="22">
        <f>'Běžné výdaje'!D30</f>
        <v>42634</v>
      </c>
      <c r="E27" s="23">
        <f t="shared" si="0"/>
        <v>94.486060015070251</v>
      </c>
      <c r="F27" s="21">
        <v>36591</v>
      </c>
      <c r="G27" s="22">
        <v>58003</v>
      </c>
      <c r="H27" s="22">
        <v>33977</v>
      </c>
      <c r="I27" s="72">
        <v>11258217</v>
      </c>
      <c r="J27" s="23">
        <f t="shared" si="1"/>
        <v>58.578004585969687</v>
      </c>
    </row>
    <row r="28" spans="1:10" ht="15.95" customHeight="1" x14ac:dyDescent="0.25">
      <c r="A28" s="20" t="s">
        <v>171</v>
      </c>
      <c r="B28" s="21">
        <f>'Běžné výdaje'!B31</f>
        <v>49998</v>
      </c>
      <c r="C28" s="22">
        <f>'Běžné výdaje'!C31</f>
        <v>62539</v>
      </c>
      <c r="D28" s="22">
        <f>'Běžné výdaje'!D31</f>
        <v>54441</v>
      </c>
      <c r="E28" s="23">
        <f t="shared" si="0"/>
        <v>87.051280001279196</v>
      </c>
      <c r="F28" s="107">
        <v>13080</v>
      </c>
      <c r="G28" s="108">
        <v>79788</v>
      </c>
      <c r="H28" s="108">
        <v>33427</v>
      </c>
      <c r="I28" s="72">
        <v>20733092</v>
      </c>
      <c r="J28" s="23">
        <f t="shared" si="1"/>
        <v>41.894771143530356</v>
      </c>
    </row>
    <row r="29" spans="1:10" ht="15.95" customHeight="1" x14ac:dyDescent="0.25">
      <c r="A29" s="20" t="s">
        <v>172</v>
      </c>
      <c r="B29" s="21">
        <f>'Běžné výdaje'!B32</f>
        <v>36672</v>
      </c>
      <c r="C29" s="22">
        <f>'Běžné výdaje'!C32</f>
        <v>53134</v>
      </c>
      <c r="D29" s="22">
        <f>'Běžné výdaje'!D32</f>
        <v>47426</v>
      </c>
      <c r="E29" s="23">
        <f t="shared" si="0"/>
        <v>89.257349343170105</v>
      </c>
      <c r="F29" s="107">
        <v>9000</v>
      </c>
      <c r="G29" s="108">
        <v>10441</v>
      </c>
      <c r="H29" s="108">
        <v>6360</v>
      </c>
      <c r="I29" s="72">
        <v>76520945</v>
      </c>
      <c r="J29" s="23">
        <f t="shared" si="1"/>
        <v>60.913705583756354</v>
      </c>
    </row>
    <row r="30" spans="1:10" ht="15.95" customHeight="1" x14ac:dyDescent="0.25">
      <c r="A30" s="20" t="s">
        <v>173</v>
      </c>
      <c r="B30" s="21">
        <f>'Běžné výdaje'!B33</f>
        <v>101439</v>
      </c>
      <c r="C30" s="22">
        <f>'Běžné výdaje'!C33</f>
        <v>126643</v>
      </c>
      <c r="D30" s="22">
        <f>'Běžné výdaje'!D33</f>
        <v>108282</v>
      </c>
      <c r="E30" s="23">
        <f t="shared" si="0"/>
        <v>85.501764803423796</v>
      </c>
      <c r="F30" s="21">
        <v>78789</v>
      </c>
      <c r="G30" s="22">
        <v>142768</v>
      </c>
      <c r="H30" s="22">
        <v>78485</v>
      </c>
      <c r="I30" s="72">
        <v>45494346</v>
      </c>
      <c r="J30" s="23">
        <f t="shared" si="1"/>
        <v>54.97380365347977</v>
      </c>
    </row>
    <row r="31" spans="1:10" ht="15.95" customHeight="1" x14ac:dyDescent="0.25">
      <c r="A31" s="20" t="s">
        <v>174</v>
      </c>
      <c r="B31" s="21">
        <f>'Běžné výdaje'!B34</f>
        <v>37831</v>
      </c>
      <c r="C31" s="22">
        <f>'Běžné výdaje'!C34</f>
        <v>47997</v>
      </c>
      <c r="D31" s="22">
        <f>'Běžné výdaje'!D34</f>
        <v>45367</v>
      </c>
      <c r="E31" s="23">
        <f t="shared" si="0"/>
        <v>94.520490864012331</v>
      </c>
      <c r="F31" s="21">
        <v>1980</v>
      </c>
      <c r="G31" s="22">
        <v>20097</v>
      </c>
      <c r="H31" s="22">
        <v>15244</v>
      </c>
      <c r="I31" s="72">
        <v>67168931</v>
      </c>
      <c r="J31" s="23">
        <f t="shared" si="1"/>
        <v>75.85211723142757</v>
      </c>
    </row>
    <row r="32" spans="1:10" ht="15.95" customHeight="1" x14ac:dyDescent="0.25">
      <c r="A32" s="20" t="s">
        <v>175</v>
      </c>
      <c r="B32" s="21">
        <f>'Běžné výdaje'!B35</f>
        <v>28683</v>
      </c>
      <c r="C32" s="22">
        <f>'Běžné výdaje'!C35</f>
        <v>30119</v>
      </c>
      <c r="D32" s="22">
        <f>'Běžné výdaje'!D35</f>
        <v>26543</v>
      </c>
      <c r="E32" s="23">
        <f t="shared" si="0"/>
        <v>88.127095853115975</v>
      </c>
      <c r="F32" s="107">
        <v>7172</v>
      </c>
      <c r="G32" s="108">
        <v>16812</v>
      </c>
      <c r="H32" s="108">
        <v>12719</v>
      </c>
      <c r="I32" s="72">
        <v>10520083</v>
      </c>
      <c r="J32" s="23">
        <f t="shared" si="1"/>
        <v>75.65429455151083</v>
      </c>
    </row>
    <row r="33" spans="1:10" ht="15.95" customHeight="1" x14ac:dyDescent="0.25">
      <c r="A33" s="20" t="s">
        <v>176</v>
      </c>
      <c r="B33" s="21">
        <f>'Běžné výdaje'!B36</f>
        <v>17285</v>
      </c>
      <c r="C33" s="22">
        <f>'Běžné výdaje'!C36</f>
        <v>21049</v>
      </c>
      <c r="D33" s="22">
        <f>'Běžné výdaje'!D36</f>
        <v>18337</v>
      </c>
      <c r="E33" s="23">
        <f t="shared" si="0"/>
        <v>87.115777471613853</v>
      </c>
      <c r="F33" s="21">
        <v>700</v>
      </c>
      <c r="G33" s="22">
        <v>16724</v>
      </c>
      <c r="H33" s="22">
        <v>7300</v>
      </c>
      <c r="I33" s="72">
        <v>7029197</v>
      </c>
      <c r="J33" s="23">
        <f t="shared" si="1"/>
        <v>43.649844534800287</v>
      </c>
    </row>
    <row r="34" spans="1:10" ht="15.95" customHeight="1" x14ac:dyDescent="0.25">
      <c r="A34" s="20" t="s">
        <v>177</v>
      </c>
      <c r="B34" s="21">
        <f>'Běžné výdaje'!B37</f>
        <v>139314</v>
      </c>
      <c r="C34" s="22">
        <f>'Běžné výdaje'!C37</f>
        <v>187351</v>
      </c>
      <c r="D34" s="22">
        <f>'Běžné výdaje'!D37</f>
        <v>154106</v>
      </c>
      <c r="E34" s="23">
        <f t="shared" si="0"/>
        <v>82.255232157821411</v>
      </c>
      <c r="F34" s="21">
        <v>81731</v>
      </c>
      <c r="G34" s="22">
        <v>109380</v>
      </c>
      <c r="H34" s="22">
        <v>53673</v>
      </c>
      <c r="I34" s="72">
        <v>59263995</v>
      </c>
      <c r="J34" s="23">
        <f t="shared" si="1"/>
        <v>49.070213933077348</v>
      </c>
    </row>
    <row r="35" spans="1:10" ht="15.95" customHeight="1" x14ac:dyDescent="0.25">
      <c r="A35" s="20" t="s">
        <v>178</v>
      </c>
      <c r="B35" s="21">
        <f>'Běžné výdaje'!B38</f>
        <v>21622</v>
      </c>
      <c r="C35" s="22">
        <f>'Běžné výdaje'!C38</f>
        <v>27715</v>
      </c>
      <c r="D35" s="22">
        <f>'Běžné výdaje'!D38</f>
        <v>24390</v>
      </c>
      <c r="E35" s="23">
        <f t="shared" si="0"/>
        <v>88.002886523543211</v>
      </c>
      <c r="F35" s="21">
        <v>15550</v>
      </c>
      <c r="G35" s="22">
        <v>29807</v>
      </c>
      <c r="H35" s="22">
        <v>20009</v>
      </c>
      <c r="I35" s="72">
        <v>8877430</v>
      </c>
      <c r="J35" s="23">
        <f t="shared" si="1"/>
        <v>67.128526856107626</v>
      </c>
    </row>
    <row r="36" spans="1:10" ht="15.95" customHeight="1" x14ac:dyDescent="0.25">
      <c r="A36" s="20" t="s">
        <v>179</v>
      </c>
      <c r="B36" s="21">
        <f>'Běžné výdaje'!B39</f>
        <v>55480</v>
      </c>
      <c r="C36" s="22">
        <f>'Běžné výdaje'!C39</f>
        <v>66070</v>
      </c>
      <c r="D36" s="22">
        <f>'Běžné výdaje'!D39</f>
        <v>61138</v>
      </c>
      <c r="E36" s="23">
        <f t="shared" si="0"/>
        <v>92.535189950052981</v>
      </c>
      <c r="F36" s="21">
        <v>17790</v>
      </c>
      <c r="G36" s="22">
        <v>24467</v>
      </c>
      <c r="H36" s="22">
        <v>17420</v>
      </c>
      <c r="I36" s="72">
        <v>28638379</v>
      </c>
      <c r="J36" s="23">
        <f t="shared" si="1"/>
        <v>71.19794008256018</v>
      </c>
    </row>
    <row r="37" spans="1:10" ht="15.95" customHeight="1" x14ac:dyDescent="0.25">
      <c r="A37" s="20" t="s">
        <v>180</v>
      </c>
      <c r="B37" s="21">
        <f>'Běžné výdaje'!B40</f>
        <v>5691</v>
      </c>
      <c r="C37" s="22">
        <f>'Běžné výdaje'!C40</f>
        <v>8184</v>
      </c>
      <c r="D37" s="22">
        <f>'Běžné výdaje'!D40</f>
        <v>7642</v>
      </c>
      <c r="E37" s="23">
        <f t="shared" si="0"/>
        <v>93.377321603128053</v>
      </c>
      <c r="F37" s="21">
        <v>64</v>
      </c>
      <c r="G37" s="22">
        <v>421</v>
      </c>
      <c r="H37" s="22">
        <v>421</v>
      </c>
      <c r="I37" s="72">
        <v>2665892</v>
      </c>
      <c r="J37" s="23">
        <f t="shared" si="1"/>
        <v>100</v>
      </c>
    </row>
    <row r="38" spans="1:10" ht="15.95" customHeight="1" x14ac:dyDescent="0.25">
      <c r="A38" s="20" t="s">
        <v>181</v>
      </c>
      <c r="B38" s="21">
        <f>'Běžné výdaje'!B41</f>
        <v>6275</v>
      </c>
      <c r="C38" s="22">
        <f>'Běžné výdaje'!C41</f>
        <v>6835</v>
      </c>
      <c r="D38" s="22">
        <f>'Běžné výdaje'!D41</f>
        <v>6181</v>
      </c>
      <c r="E38" s="23">
        <f t="shared" si="0"/>
        <v>90.431602048280908</v>
      </c>
      <c r="F38" s="21"/>
      <c r="G38" s="22">
        <v>15533</v>
      </c>
      <c r="H38" s="22">
        <v>484</v>
      </c>
      <c r="I38" s="72">
        <v>4841469</v>
      </c>
      <c r="J38" s="23">
        <f t="shared" si="1"/>
        <v>3.1159466941350673</v>
      </c>
    </row>
    <row r="39" spans="1:10" ht="15.95" customHeight="1" x14ac:dyDescent="0.25">
      <c r="A39" s="20" t="s">
        <v>182</v>
      </c>
      <c r="B39" s="21">
        <f>'Běžné výdaje'!B42</f>
        <v>3187</v>
      </c>
      <c r="C39" s="22">
        <f>'Běžné výdaje'!C42</f>
        <v>4204</v>
      </c>
      <c r="D39" s="22">
        <f>'Běžné výdaje'!D42</f>
        <v>4112</v>
      </c>
      <c r="E39" s="23">
        <f t="shared" si="0"/>
        <v>97.811607992388204</v>
      </c>
      <c r="F39" s="21">
        <v>443</v>
      </c>
      <c r="G39" s="22">
        <v>4622</v>
      </c>
      <c r="H39" s="22">
        <v>4601</v>
      </c>
      <c r="I39" s="72">
        <v>2456520</v>
      </c>
      <c r="J39" s="23">
        <f t="shared" si="1"/>
        <v>99.545651233232363</v>
      </c>
    </row>
    <row r="40" spans="1:10" ht="15.95" customHeight="1" thickBot="1" x14ac:dyDescent="0.3">
      <c r="A40" s="24" t="s">
        <v>183</v>
      </c>
      <c r="B40" s="25">
        <f>'Běžné výdaje'!B43</f>
        <v>2640</v>
      </c>
      <c r="C40" s="26">
        <f>'Běžné výdaje'!C43</f>
        <v>3547</v>
      </c>
      <c r="D40" s="26">
        <f>'Běžné výdaje'!D43</f>
        <v>3021</v>
      </c>
      <c r="E40" s="27">
        <f t="shared" si="0"/>
        <v>85.170566676064269</v>
      </c>
      <c r="F40" s="25"/>
      <c r="G40" s="26">
        <v>654</v>
      </c>
      <c r="H40" s="26">
        <v>576</v>
      </c>
      <c r="I40" s="73">
        <v>56468</v>
      </c>
      <c r="J40" s="27">
        <f t="shared" si="1"/>
        <v>88.073394495412856</v>
      </c>
    </row>
    <row r="41" spans="1:10" ht="15" customHeight="1" thickBot="1" x14ac:dyDescent="0.3">
      <c r="A41" s="44"/>
      <c r="B41" s="50"/>
      <c r="C41" s="51"/>
      <c r="D41" s="51"/>
      <c r="E41" s="35"/>
      <c r="F41" s="50"/>
      <c r="G41" s="51"/>
      <c r="H41" s="51"/>
      <c r="I41" s="97"/>
      <c r="J41" s="35"/>
    </row>
    <row r="42" spans="1:10" ht="18" customHeight="1" thickBot="1" x14ac:dyDescent="0.3">
      <c r="A42" s="45" t="s">
        <v>207</v>
      </c>
      <c r="B42" s="36">
        <f>SUM(B12:B40)</f>
        <v>1768766</v>
      </c>
      <c r="C42" s="42">
        <f>SUM(C12:C40)</f>
        <v>2254947</v>
      </c>
      <c r="D42" s="42">
        <f>SUM(D12:D41)</f>
        <v>1822009</v>
      </c>
      <c r="E42" s="39">
        <f>SUM(D42/C42*100)</f>
        <v>80.800524358222177</v>
      </c>
      <c r="F42" s="36">
        <f>SUM(F12:F40)</f>
        <v>787590</v>
      </c>
      <c r="G42" s="42">
        <f>SUM(G12:G40)</f>
        <v>1681272</v>
      </c>
      <c r="H42" s="42">
        <f>SUM(H12:H40)</f>
        <v>751984</v>
      </c>
      <c r="I42" s="92">
        <f>SUM(I12:I40)</f>
        <v>761764466</v>
      </c>
      <c r="J42" s="39">
        <f>SUM(H42/G42*100)</f>
        <v>44.727087586065792</v>
      </c>
    </row>
    <row r="43" spans="1:10" x14ac:dyDescent="0.25">
      <c r="E43" s="75"/>
      <c r="J43" s="75"/>
    </row>
    <row r="44" spans="1:10" x14ac:dyDescent="0.25">
      <c r="B44" s="40"/>
      <c r="C44" s="40"/>
      <c r="D44" s="40"/>
      <c r="E44" s="40"/>
      <c r="F44" s="40"/>
      <c r="G44" s="40"/>
      <c r="H44" s="40"/>
    </row>
    <row r="45" spans="1:10" x14ac:dyDescent="0.25">
      <c r="B45" s="40"/>
      <c r="C45" s="40"/>
      <c r="D45" s="40"/>
      <c r="E45" s="40"/>
      <c r="F45" s="40"/>
      <c r="G45" s="40"/>
      <c r="H45" s="40"/>
    </row>
    <row r="46" spans="1:10" x14ac:dyDescent="0.25">
      <c r="B46" s="46"/>
      <c r="C46" s="46"/>
      <c r="D46" s="46"/>
      <c r="F46" s="46"/>
      <c r="G46" s="46"/>
      <c r="H46" s="46"/>
    </row>
    <row r="48" spans="1:10" ht="15.95" customHeight="1" x14ac:dyDescent="0.25"/>
    <row r="49" spans="4:8" x14ac:dyDescent="0.25">
      <c r="D49" s="40"/>
      <c r="H49" s="40"/>
    </row>
    <row r="52" spans="4:8" ht="15.95" customHeight="1" x14ac:dyDescent="0.25"/>
    <row r="53" spans="4:8" ht="15.95" customHeight="1" x14ac:dyDescent="0.25">
      <c r="D53" s="40"/>
      <c r="H53" s="40"/>
    </row>
    <row r="54" spans="4:8" ht="15.95" customHeight="1" x14ac:dyDescent="0.25"/>
    <row r="55" spans="4:8" ht="15.95" customHeight="1" x14ac:dyDescent="0.25"/>
    <row r="56" spans="4:8" ht="15.95" customHeight="1" x14ac:dyDescent="0.25"/>
    <row r="57" spans="4:8" ht="18" customHeight="1" x14ac:dyDescent="0.25"/>
    <row r="58" spans="4:8" ht="18" customHeight="1" x14ac:dyDescent="0.25"/>
    <row r="59" spans="4:8" ht="13.9" customHeight="1" x14ac:dyDescent="0.25"/>
    <row r="61" spans="4:8" ht="18" customHeight="1" x14ac:dyDescent="0.25"/>
    <row r="62" spans="4:8" ht="13.9" customHeight="1" x14ac:dyDescent="0.25"/>
    <row r="63" spans="4:8" ht="15.95" customHeight="1" x14ac:dyDescent="0.25"/>
    <row r="65" ht="13.9" customHeight="1" x14ac:dyDescent="0.25"/>
    <row r="66" ht="12" customHeight="1" x14ac:dyDescent="0.25"/>
    <row r="67" ht="15.95" customHeight="1" x14ac:dyDescent="0.25"/>
    <row r="68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</sheetData>
  <mergeCells count="11">
    <mergeCell ref="A2:J2"/>
    <mergeCell ref="A4:J4"/>
    <mergeCell ref="A7:A9"/>
    <mergeCell ref="B7:E7"/>
    <mergeCell ref="F7:J7"/>
    <mergeCell ref="B8:B9"/>
    <mergeCell ref="C8:C9"/>
    <mergeCell ref="D8:D9"/>
    <mergeCell ref="F8:F9"/>
    <mergeCell ref="G8:G9"/>
    <mergeCell ref="H8:H9"/>
  </mergeCells>
  <phoneticPr fontId="8" type="noConversion"/>
  <printOptions horizontalCentered="1" verticalCentered="1"/>
  <pageMargins left="0.39370078740157483" right="0.39370078740157483" top="0.59055118110236227" bottom="0.6692913385826772" header="0.51181102362204722" footer="0.51181102362204722"/>
  <pageSetup paperSize="9" scale="6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List11">
    <pageSetUpPr fitToPage="1"/>
  </sheetPr>
  <dimension ref="A1:BC97"/>
  <sheetViews>
    <sheetView showZeros="0" view="pageBreakPreview" zoomScaleNormal="70" zoomScaleSheetLayoutView="100" workbookViewId="0">
      <pane xSplit="1" ySplit="14" topLeftCell="E15" activePane="bottomRight" state="frozen"/>
      <selection pane="topRight"/>
      <selection pane="bottomLeft"/>
      <selection pane="bottomRight" activeCell="A4" sqref="A4:Y4"/>
    </sheetView>
  </sheetViews>
  <sheetFormatPr defaultRowHeight="15.75" x14ac:dyDescent="0.25"/>
  <cols>
    <col min="1" max="1" width="26" style="78" customWidth="1"/>
    <col min="2" max="2" width="9.5546875" style="79" customWidth="1"/>
    <col min="3" max="3" width="9.77734375" style="79" customWidth="1"/>
    <col min="4" max="4" width="9.33203125" style="79" customWidth="1"/>
    <col min="5" max="5" width="5.77734375" style="79" customWidth="1"/>
    <col min="6" max="6" width="8.21875" style="79" customWidth="1"/>
    <col min="7" max="7" width="9.109375" style="79" customWidth="1"/>
    <col min="8" max="8" width="9.33203125" style="79" customWidth="1"/>
    <col min="9" max="9" width="5.77734375" style="79" customWidth="1"/>
    <col min="10" max="12" width="8.77734375" style="291" customWidth="1"/>
    <col min="13" max="13" width="5.77734375" style="291" customWidth="1"/>
    <col min="14" max="14" width="8.77734375" style="79" customWidth="1"/>
    <col min="15" max="15" width="8.44140625" style="79" customWidth="1"/>
    <col min="16" max="16" width="9.33203125" style="79" customWidth="1"/>
    <col min="17" max="17" width="6.44140625" style="79" customWidth="1"/>
    <col min="18" max="18" width="9.109375" style="79" customWidth="1"/>
    <col min="19" max="20" width="9.33203125" style="79" customWidth="1"/>
    <col min="21" max="21" width="5.77734375" style="79" customWidth="1"/>
    <col min="22" max="23" width="9.21875" style="79" customWidth="1"/>
    <col min="24" max="24" width="9.33203125" style="79" customWidth="1"/>
    <col min="25" max="25" width="5.77734375" style="79" customWidth="1"/>
    <col min="26" max="29" width="9.21875" style="79" customWidth="1"/>
    <col min="30" max="30" width="9.77734375" style="79"/>
    <col min="31" max="31" width="9.77734375" style="79" customWidth="1"/>
    <col min="32" max="35" width="10.77734375" style="79" customWidth="1"/>
    <col min="36" max="36" width="7.77734375" style="79" customWidth="1"/>
    <col min="37" max="40" width="6.77734375" style="79" customWidth="1"/>
    <col min="41" max="43" width="7.77734375" style="79" customWidth="1"/>
    <col min="44" max="44" width="5.77734375" style="79" customWidth="1"/>
    <col min="45" max="45" width="7.77734375" style="79" customWidth="1"/>
    <col min="46" max="46" width="6.77734375" style="79" customWidth="1"/>
    <col min="47" max="47" width="7.77734375" style="79" customWidth="1"/>
    <col min="48" max="48" width="5.77734375" style="79" customWidth="1"/>
    <col min="49" max="51" width="7.77734375" style="79" customWidth="1"/>
    <col min="52" max="52" width="8.33203125" style="79" customWidth="1"/>
    <col min="53" max="54" width="9.77734375" style="79"/>
    <col min="55" max="55" width="9.77734375" style="79" customWidth="1"/>
    <col min="56" max="56" width="8.109375" style="79" customWidth="1"/>
    <col min="57" max="16384" width="8.88671875" style="79"/>
  </cols>
  <sheetData>
    <row r="1" spans="1:55" ht="17.25" customHeight="1" x14ac:dyDescent="0.25"/>
    <row r="2" spans="1:55" s="77" customFormat="1" ht="24" customHeight="1" x14ac:dyDescent="0.35">
      <c r="A2" s="429" t="s">
        <v>246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</row>
    <row r="3" spans="1:55" s="77" customFormat="1" ht="15" customHeight="1" x14ac:dyDescent="0.35">
      <c r="J3" s="290"/>
      <c r="K3" s="290"/>
      <c r="L3" s="290"/>
      <c r="M3" s="290"/>
    </row>
    <row r="4" spans="1:55" s="77" customFormat="1" ht="21" customHeight="1" x14ac:dyDescent="0.35">
      <c r="A4" s="429" t="s">
        <v>220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  <c r="AO4" s="77" t="s">
        <v>84</v>
      </c>
    </row>
    <row r="5" spans="1:55" ht="22.5" customHeight="1" x14ac:dyDescent="0.25">
      <c r="Y5" s="10"/>
      <c r="BC5" s="79" t="s">
        <v>85</v>
      </c>
    </row>
    <row r="6" spans="1:55" ht="22.5" customHeight="1" thickBot="1" x14ac:dyDescent="0.3">
      <c r="Y6" s="10" t="s">
        <v>204</v>
      </c>
    </row>
    <row r="7" spans="1:55" ht="17.100000000000001" customHeight="1" thickBot="1" x14ac:dyDescent="0.3">
      <c r="A7" s="364" t="s">
        <v>192</v>
      </c>
      <c r="B7" s="343" t="s">
        <v>221</v>
      </c>
      <c r="C7" s="367"/>
      <c r="D7" s="367"/>
      <c r="E7" s="344"/>
      <c r="F7" s="79" t="s">
        <v>147</v>
      </c>
      <c r="Y7" s="10" t="s">
        <v>1</v>
      </c>
    </row>
    <row r="8" spans="1:55" ht="17.100000000000001" customHeight="1" thickBot="1" x14ac:dyDescent="0.3">
      <c r="A8" s="365"/>
      <c r="B8" s="421" t="s">
        <v>44</v>
      </c>
      <c r="C8" s="422"/>
      <c r="D8" s="422"/>
      <c r="E8" s="423"/>
      <c r="F8" s="383" t="s">
        <v>216</v>
      </c>
      <c r="G8" s="384"/>
      <c r="H8" s="384"/>
      <c r="I8" s="385"/>
      <c r="J8" s="383" t="s">
        <v>236</v>
      </c>
      <c r="K8" s="384"/>
      <c r="L8" s="384"/>
      <c r="M8" s="385"/>
      <c r="N8" s="383" t="s">
        <v>235</v>
      </c>
      <c r="O8" s="384"/>
      <c r="P8" s="384"/>
      <c r="Q8" s="385"/>
      <c r="R8" s="383" t="s">
        <v>86</v>
      </c>
      <c r="S8" s="384"/>
      <c r="T8" s="384"/>
      <c r="U8" s="385"/>
      <c r="V8" s="383" t="s">
        <v>87</v>
      </c>
      <c r="W8" s="384"/>
      <c r="X8" s="384"/>
      <c r="Y8" s="385"/>
    </row>
    <row r="9" spans="1:55" ht="18.75" customHeight="1" x14ac:dyDescent="0.25">
      <c r="A9" s="365"/>
      <c r="B9" s="374" t="s">
        <v>196</v>
      </c>
      <c r="C9" s="355" t="s">
        <v>197</v>
      </c>
      <c r="D9" s="355" t="s">
        <v>223</v>
      </c>
      <c r="E9" s="56" t="s">
        <v>0</v>
      </c>
      <c r="F9" s="374" t="s">
        <v>196</v>
      </c>
      <c r="G9" s="355" t="s">
        <v>197</v>
      </c>
      <c r="H9" s="355" t="s">
        <v>223</v>
      </c>
      <c r="I9" s="56" t="s">
        <v>0</v>
      </c>
      <c r="J9" s="374" t="s">
        <v>196</v>
      </c>
      <c r="K9" s="355" t="s">
        <v>197</v>
      </c>
      <c r="L9" s="355" t="s">
        <v>223</v>
      </c>
      <c r="M9" s="56" t="s">
        <v>0</v>
      </c>
      <c r="N9" s="374" t="s">
        <v>196</v>
      </c>
      <c r="O9" s="355" t="s">
        <v>197</v>
      </c>
      <c r="P9" s="355" t="s">
        <v>223</v>
      </c>
      <c r="Q9" s="56" t="s">
        <v>0</v>
      </c>
      <c r="R9" s="374" t="s">
        <v>196</v>
      </c>
      <c r="S9" s="355" t="s">
        <v>197</v>
      </c>
      <c r="T9" s="355" t="s">
        <v>223</v>
      </c>
      <c r="U9" s="56" t="s">
        <v>0</v>
      </c>
      <c r="V9" s="374" t="s">
        <v>196</v>
      </c>
      <c r="W9" s="355" t="s">
        <v>197</v>
      </c>
      <c r="X9" s="355" t="s">
        <v>223</v>
      </c>
      <c r="Y9" s="56" t="s">
        <v>0</v>
      </c>
    </row>
    <row r="10" spans="1:55" ht="21.75" customHeight="1" thickBot="1" x14ac:dyDescent="0.3">
      <c r="A10" s="366"/>
      <c r="B10" s="375"/>
      <c r="C10" s="356"/>
      <c r="D10" s="356"/>
      <c r="E10" s="57" t="s">
        <v>11</v>
      </c>
      <c r="F10" s="375"/>
      <c r="G10" s="356"/>
      <c r="H10" s="356"/>
      <c r="I10" s="57" t="s">
        <v>11</v>
      </c>
      <c r="J10" s="375"/>
      <c r="K10" s="356"/>
      <c r="L10" s="356"/>
      <c r="M10" s="57" t="s">
        <v>11</v>
      </c>
      <c r="N10" s="375"/>
      <c r="O10" s="356"/>
      <c r="P10" s="356"/>
      <c r="Q10" s="57" t="s">
        <v>11</v>
      </c>
      <c r="R10" s="375"/>
      <c r="S10" s="356"/>
      <c r="T10" s="356"/>
      <c r="U10" s="57" t="s">
        <v>11</v>
      </c>
      <c r="V10" s="375"/>
      <c r="W10" s="356"/>
      <c r="X10" s="356"/>
      <c r="Y10" s="57" t="s">
        <v>11</v>
      </c>
    </row>
    <row r="11" spans="1:55" ht="17.100000000000001" hidden="1" customHeight="1" thickTop="1" x14ac:dyDescent="0.25">
      <c r="A11" s="44"/>
      <c r="B11" s="32"/>
      <c r="C11" s="97"/>
      <c r="D11" s="97"/>
      <c r="E11" s="98"/>
      <c r="F11" s="32"/>
      <c r="G11" s="97" t="s">
        <v>88</v>
      </c>
      <c r="H11" s="97"/>
      <c r="I11" s="98"/>
      <c r="J11" s="32"/>
      <c r="K11" s="97" t="s">
        <v>89</v>
      </c>
      <c r="L11" s="97"/>
      <c r="M11" s="98"/>
      <c r="N11" s="32"/>
      <c r="O11" s="97" t="s">
        <v>90</v>
      </c>
      <c r="P11" s="97"/>
      <c r="Q11" s="98"/>
      <c r="R11" s="32"/>
      <c r="S11" s="97" t="s">
        <v>91</v>
      </c>
      <c r="T11" s="97"/>
      <c r="U11" s="98"/>
      <c r="V11" s="32"/>
      <c r="W11" s="97" t="s">
        <v>92</v>
      </c>
      <c r="X11" s="97"/>
      <c r="Y11" s="98"/>
      <c r="AA11" s="79" t="s">
        <v>13</v>
      </c>
      <c r="AD11" s="79" t="s">
        <v>21</v>
      </c>
    </row>
    <row r="12" spans="1:55" ht="17.100000000000001" hidden="1" customHeight="1" thickTop="1" x14ac:dyDescent="0.25">
      <c r="A12" s="44"/>
      <c r="B12" s="32"/>
      <c r="C12" s="97" t="s">
        <v>93</v>
      </c>
      <c r="D12" s="97"/>
      <c r="E12" s="98"/>
      <c r="F12" s="32"/>
      <c r="G12" s="97" t="s">
        <v>94</v>
      </c>
      <c r="H12" s="97"/>
      <c r="I12" s="98"/>
      <c r="J12" s="32"/>
      <c r="K12" s="97" t="s">
        <v>95</v>
      </c>
      <c r="L12" s="97"/>
      <c r="M12" s="98"/>
      <c r="N12" s="32"/>
      <c r="O12" s="97" t="s">
        <v>96</v>
      </c>
      <c r="P12" s="97"/>
      <c r="Q12" s="98"/>
      <c r="R12" s="32"/>
      <c r="S12" s="97" t="s">
        <v>97</v>
      </c>
      <c r="T12" s="97"/>
      <c r="U12" s="98"/>
      <c r="V12" s="32"/>
      <c r="W12" s="97" t="s">
        <v>98</v>
      </c>
      <c r="X12" s="97"/>
      <c r="Y12" s="98"/>
      <c r="AA12" s="79" t="s">
        <v>3</v>
      </c>
      <c r="AD12" s="79" t="s">
        <v>99</v>
      </c>
    </row>
    <row r="13" spans="1:55" ht="18.75" customHeight="1" x14ac:dyDescent="0.25">
      <c r="A13" s="44"/>
      <c r="B13" s="371" t="s">
        <v>100</v>
      </c>
      <c r="C13" s="372"/>
      <c r="D13" s="372"/>
      <c r="E13" s="373"/>
      <c r="F13" s="371" t="s">
        <v>217</v>
      </c>
      <c r="G13" s="372"/>
      <c r="H13" s="372"/>
      <c r="I13" s="373"/>
      <c r="J13" s="371" t="s">
        <v>237</v>
      </c>
      <c r="K13" s="372"/>
      <c r="L13" s="372"/>
      <c r="M13" s="373"/>
      <c r="N13" s="371" t="s">
        <v>90</v>
      </c>
      <c r="O13" s="372"/>
      <c r="P13" s="372"/>
      <c r="Q13" s="373"/>
      <c r="R13" s="371" t="s">
        <v>91</v>
      </c>
      <c r="S13" s="372"/>
      <c r="T13" s="372"/>
      <c r="U13" s="373"/>
      <c r="V13" s="371" t="s">
        <v>132</v>
      </c>
      <c r="W13" s="372"/>
      <c r="X13" s="372"/>
      <c r="Y13" s="373"/>
    </row>
    <row r="14" spans="1:55" ht="18" customHeight="1" thickBot="1" x14ac:dyDescent="0.3">
      <c r="A14" s="44"/>
      <c r="B14" s="32"/>
      <c r="C14" s="97"/>
      <c r="D14" s="97"/>
      <c r="E14" s="98"/>
      <c r="F14" s="32"/>
      <c r="G14" s="97"/>
      <c r="H14" s="97"/>
      <c r="I14" s="98"/>
      <c r="J14" s="32"/>
      <c r="K14" s="97"/>
      <c r="L14" s="97"/>
      <c r="M14" s="98"/>
      <c r="N14" s="59"/>
      <c r="O14" s="60"/>
      <c r="P14" s="60"/>
      <c r="Q14" s="61"/>
      <c r="R14" s="32"/>
      <c r="S14" s="97"/>
      <c r="T14" s="97"/>
      <c r="U14" s="98"/>
      <c r="V14" s="32"/>
      <c r="W14" s="97"/>
      <c r="X14" s="97"/>
      <c r="Y14" s="98"/>
    </row>
    <row r="15" spans="1:55" ht="21.95" customHeight="1" x14ac:dyDescent="0.25">
      <c r="A15" s="28" t="s">
        <v>155</v>
      </c>
      <c r="B15" s="29">
        <f>'Příjmy a Výdaje '!H11-'Kapitálové výdaje'!B14</f>
        <v>330758</v>
      </c>
      <c r="C15" s="30">
        <f>'Příjmy a Výdaje '!I11-'Kapitálové výdaje'!C14</f>
        <v>408929</v>
      </c>
      <c r="D15" s="30">
        <f>'Příjmy a Výdaje '!J11-'Kapitálové výdaje'!D14</f>
        <v>371765</v>
      </c>
      <c r="E15" s="31">
        <f>D15/C15*100</f>
        <v>90.91186978668668</v>
      </c>
      <c r="F15" s="136"/>
      <c r="G15" s="71"/>
      <c r="H15" s="71"/>
      <c r="I15" s="31"/>
      <c r="J15" s="202"/>
      <c r="K15" s="165">
        <v>23574</v>
      </c>
      <c r="L15" s="165">
        <v>23574</v>
      </c>
      <c r="M15" s="31">
        <f t="shared" ref="M15:M23" si="0">L15/K15*100</f>
        <v>100</v>
      </c>
      <c r="N15" s="144"/>
      <c r="O15" s="145"/>
      <c r="P15" s="72"/>
      <c r="Q15" s="64"/>
      <c r="R15" s="164">
        <v>74110</v>
      </c>
      <c r="S15" s="165">
        <v>74736</v>
      </c>
      <c r="T15" s="165">
        <v>74726</v>
      </c>
      <c r="U15" s="31">
        <f t="shared" ref="U15:U42" si="1">T15/S15*100</f>
        <v>99.986619567544423</v>
      </c>
      <c r="V15" s="29">
        <f t="shared" ref="V15:V43" si="2">SUM(B15-F15-J15-N15-R15)</f>
        <v>256648</v>
      </c>
      <c r="W15" s="30">
        <f t="shared" ref="W15:W43" si="3">SUM(C15-G15-K15-O15-S15)</f>
        <v>310619</v>
      </c>
      <c r="X15" s="30">
        <f t="shared" ref="X15:X43" si="4">SUM(D15-H15-L15-P15-T15)</f>
        <v>273465</v>
      </c>
      <c r="Y15" s="31">
        <f t="shared" ref="Y15:Y43" si="5">X15/W15*100</f>
        <v>88.038722679552762</v>
      </c>
    </row>
    <row r="16" spans="1:55" ht="21.95" customHeight="1" x14ac:dyDescent="0.25">
      <c r="A16" s="20" t="s">
        <v>156</v>
      </c>
      <c r="B16" s="21">
        <f>'Příjmy a Výdaje '!H12-'Kapitálové výdaje'!B15</f>
        <v>48507</v>
      </c>
      <c r="C16" s="22">
        <f>'Příjmy a Výdaje '!I12-'Kapitálové výdaje'!C15</f>
        <v>59902</v>
      </c>
      <c r="D16" s="22">
        <f>'Příjmy a Výdaje '!J12-'Kapitálové výdaje'!D15</f>
        <v>52500</v>
      </c>
      <c r="E16" s="23">
        <f t="shared" ref="E16:E43" si="6">D16/C16*100</f>
        <v>87.643150479115889</v>
      </c>
      <c r="F16" s="137"/>
      <c r="G16" s="72"/>
      <c r="H16" s="72"/>
      <c r="I16" s="23"/>
      <c r="J16" s="203"/>
      <c r="K16" s="315">
        <v>542</v>
      </c>
      <c r="L16" s="315">
        <v>542</v>
      </c>
      <c r="M16" s="23">
        <f t="shared" si="0"/>
        <v>100</v>
      </c>
      <c r="N16" s="137"/>
      <c r="O16" s="72"/>
      <c r="P16" s="72"/>
      <c r="Q16" s="23"/>
      <c r="R16" s="196">
        <v>12635</v>
      </c>
      <c r="S16" s="197">
        <v>12635</v>
      </c>
      <c r="T16" s="197">
        <v>12635</v>
      </c>
      <c r="U16" s="23">
        <f t="shared" si="1"/>
        <v>100</v>
      </c>
      <c r="V16" s="21">
        <f t="shared" si="2"/>
        <v>35872</v>
      </c>
      <c r="W16" s="22">
        <f t="shared" si="3"/>
        <v>46725</v>
      </c>
      <c r="X16" s="22">
        <f t="shared" si="4"/>
        <v>39323</v>
      </c>
      <c r="Y16" s="23">
        <f t="shared" si="5"/>
        <v>84.158373461744247</v>
      </c>
    </row>
    <row r="17" spans="1:25" ht="21.95" customHeight="1" x14ac:dyDescent="0.25">
      <c r="A17" s="20" t="s">
        <v>157</v>
      </c>
      <c r="B17" s="21">
        <f>'Příjmy a Výdaje '!H13-'Kapitálové výdaje'!B16</f>
        <v>55487</v>
      </c>
      <c r="C17" s="22">
        <f>'Příjmy a Výdaje '!I13-'Kapitálové výdaje'!C16</f>
        <v>88496</v>
      </c>
      <c r="D17" s="22">
        <f>'Příjmy a Výdaje '!J13-'Kapitálové výdaje'!D16</f>
        <v>51696</v>
      </c>
      <c r="E17" s="23">
        <f t="shared" si="6"/>
        <v>58.416199602241917</v>
      </c>
      <c r="F17" s="137"/>
      <c r="G17" s="72"/>
      <c r="H17" s="72"/>
      <c r="I17" s="23"/>
      <c r="J17" s="132"/>
      <c r="K17" s="315">
        <v>3706</v>
      </c>
      <c r="L17" s="315">
        <v>3706</v>
      </c>
      <c r="M17" s="23">
        <f t="shared" si="0"/>
        <v>100</v>
      </c>
      <c r="N17" s="137"/>
      <c r="O17" s="72"/>
      <c r="P17" s="72"/>
      <c r="Q17" s="23"/>
      <c r="R17" s="200">
        <v>10686</v>
      </c>
      <c r="S17" s="201">
        <v>10838</v>
      </c>
      <c r="T17" s="201">
        <v>10838</v>
      </c>
      <c r="U17" s="23">
        <f t="shared" si="1"/>
        <v>100</v>
      </c>
      <c r="V17" s="21">
        <f t="shared" si="2"/>
        <v>44801</v>
      </c>
      <c r="W17" s="63">
        <f t="shared" si="3"/>
        <v>73952</v>
      </c>
      <c r="X17" s="22">
        <f t="shared" si="4"/>
        <v>37152</v>
      </c>
      <c r="Y17" s="23">
        <f t="shared" si="5"/>
        <v>50.237992211163998</v>
      </c>
    </row>
    <row r="18" spans="1:25" ht="21.95" customHeight="1" x14ac:dyDescent="0.25">
      <c r="A18" s="20" t="s">
        <v>158</v>
      </c>
      <c r="B18" s="21">
        <f>'Příjmy a Výdaje '!H14-'Kapitálové výdaje'!B17</f>
        <v>46338</v>
      </c>
      <c r="C18" s="22">
        <f>'Příjmy a Výdaje '!I14-'Kapitálové výdaje'!C17</f>
        <v>43563</v>
      </c>
      <c r="D18" s="22">
        <f>'Příjmy a Výdaje '!J14-'Kapitálové výdaje'!D17</f>
        <v>37199</v>
      </c>
      <c r="E18" s="23">
        <f t="shared" si="6"/>
        <v>85.391272410072773</v>
      </c>
      <c r="F18" s="132">
        <v>4063</v>
      </c>
      <c r="G18" s="133">
        <v>4063</v>
      </c>
      <c r="H18" s="133">
        <v>3938</v>
      </c>
      <c r="I18" s="23">
        <f>H18/G18*100</f>
        <v>96.923455574698508</v>
      </c>
      <c r="J18" s="132">
        <v>8000</v>
      </c>
      <c r="K18" s="315">
        <v>1</v>
      </c>
      <c r="L18" s="315">
        <v>1</v>
      </c>
      <c r="M18" s="23">
        <f t="shared" si="0"/>
        <v>100</v>
      </c>
      <c r="N18" s="137"/>
      <c r="O18" s="72"/>
      <c r="P18" s="72"/>
      <c r="Q18" s="23"/>
      <c r="R18" s="194">
        <v>10091</v>
      </c>
      <c r="S18" s="195">
        <v>10934</v>
      </c>
      <c r="T18" s="195">
        <v>10932</v>
      </c>
      <c r="U18" s="23">
        <f t="shared" si="1"/>
        <v>99.98170843241266</v>
      </c>
      <c r="V18" s="21">
        <f t="shared" si="2"/>
        <v>24184</v>
      </c>
      <c r="W18" s="63">
        <f t="shared" si="3"/>
        <v>28565</v>
      </c>
      <c r="X18" s="22">
        <f t="shared" si="4"/>
        <v>22328</v>
      </c>
      <c r="Y18" s="23">
        <f t="shared" si="5"/>
        <v>78.165587257132856</v>
      </c>
    </row>
    <row r="19" spans="1:25" ht="21.95" customHeight="1" x14ac:dyDescent="0.25">
      <c r="A19" s="20" t="s">
        <v>159</v>
      </c>
      <c r="B19" s="21">
        <f>'Příjmy a Výdaje '!H15-'Kapitálové výdaje'!B18</f>
        <v>42290</v>
      </c>
      <c r="C19" s="22">
        <f>'Příjmy a Výdaje '!I15-'Kapitálové výdaje'!C18</f>
        <v>54428</v>
      </c>
      <c r="D19" s="22">
        <f>'Příjmy a Výdaje '!J15-'Kapitálové výdaje'!D18</f>
        <v>49279</v>
      </c>
      <c r="E19" s="23">
        <f t="shared" si="6"/>
        <v>90.539795693393117</v>
      </c>
      <c r="F19" s="134"/>
      <c r="G19" s="135"/>
      <c r="H19" s="135"/>
      <c r="I19" s="23"/>
      <c r="J19" s="132"/>
      <c r="K19" s="315">
        <v>109</v>
      </c>
      <c r="L19" s="315">
        <v>109</v>
      </c>
      <c r="M19" s="23">
        <f t="shared" si="0"/>
        <v>100</v>
      </c>
      <c r="N19" s="137"/>
      <c r="O19" s="72"/>
      <c r="P19" s="72"/>
      <c r="Q19" s="23"/>
      <c r="R19" s="198">
        <v>10374</v>
      </c>
      <c r="S19" s="199">
        <v>13107</v>
      </c>
      <c r="T19" s="199">
        <v>13107</v>
      </c>
      <c r="U19" s="23">
        <f t="shared" si="1"/>
        <v>100</v>
      </c>
      <c r="V19" s="21">
        <f t="shared" si="2"/>
        <v>31916</v>
      </c>
      <c r="W19" s="63">
        <f t="shared" si="3"/>
        <v>41212</v>
      </c>
      <c r="X19" s="22">
        <f t="shared" si="4"/>
        <v>36063</v>
      </c>
      <c r="Y19" s="23">
        <f t="shared" si="5"/>
        <v>87.506066194312339</v>
      </c>
    </row>
    <row r="20" spans="1:25" ht="21.95" customHeight="1" x14ac:dyDescent="0.25">
      <c r="A20" s="20" t="s">
        <v>160</v>
      </c>
      <c r="B20" s="21">
        <f>'Příjmy a Výdaje '!H16-'Kapitálové výdaje'!B19</f>
        <v>15634</v>
      </c>
      <c r="C20" s="22">
        <f>'Příjmy a Výdaje '!I16-'Kapitálové výdaje'!C19</f>
        <v>16571</v>
      </c>
      <c r="D20" s="22">
        <f>'Příjmy a Výdaje '!J16-'Kapitálové výdaje'!D19</f>
        <v>13164</v>
      </c>
      <c r="E20" s="23">
        <f t="shared" si="6"/>
        <v>79.439985516866813</v>
      </c>
      <c r="F20" s="137"/>
      <c r="G20" s="72"/>
      <c r="H20" s="72"/>
      <c r="I20" s="23"/>
      <c r="J20" s="132"/>
      <c r="K20" s="315">
        <v>12</v>
      </c>
      <c r="L20" s="315">
        <v>12</v>
      </c>
      <c r="M20" s="23">
        <f t="shared" si="0"/>
        <v>100</v>
      </c>
      <c r="N20" s="137"/>
      <c r="O20" s="72"/>
      <c r="P20" s="72"/>
      <c r="Q20" s="23"/>
      <c r="R20" s="146">
        <v>2232</v>
      </c>
      <c r="S20" s="147">
        <v>2649</v>
      </c>
      <c r="T20" s="147">
        <v>2649</v>
      </c>
      <c r="U20" s="23">
        <f t="shared" si="1"/>
        <v>100</v>
      </c>
      <c r="V20" s="21">
        <f t="shared" si="2"/>
        <v>13402</v>
      </c>
      <c r="W20" s="63">
        <f t="shared" si="3"/>
        <v>13910</v>
      </c>
      <c r="X20" s="22">
        <f t="shared" si="4"/>
        <v>10503</v>
      </c>
      <c r="Y20" s="23">
        <f t="shared" si="5"/>
        <v>75.506829618979154</v>
      </c>
    </row>
    <row r="21" spans="1:25" ht="21.95" customHeight="1" x14ac:dyDescent="0.25">
      <c r="A21" s="20" t="s">
        <v>161</v>
      </c>
      <c r="B21" s="21">
        <f>'Příjmy a Výdaje '!H17-'Kapitálové výdaje'!B20</f>
        <v>96929</v>
      </c>
      <c r="C21" s="22">
        <f>'Příjmy a Výdaje '!I17-'Kapitálové výdaje'!C20</f>
        <v>104909</v>
      </c>
      <c r="D21" s="22">
        <f>'Příjmy a Výdaje '!J17-'Kapitálové výdaje'!D20</f>
        <v>98369</v>
      </c>
      <c r="E21" s="23">
        <f t="shared" si="6"/>
        <v>93.766025793783186</v>
      </c>
      <c r="F21" s="118">
        <v>109</v>
      </c>
      <c r="G21" s="119">
        <v>110</v>
      </c>
      <c r="H21" s="119">
        <v>109</v>
      </c>
      <c r="I21" s="23">
        <f>H21/G21*100</f>
        <v>99.090909090909093</v>
      </c>
      <c r="J21" s="132"/>
      <c r="K21" s="315"/>
      <c r="L21" s="315"/>
      <c r="M21" s="23"/>
      <c r="N21" s="137"/>
      <c r="O21" s="72">
        <v>10</v>
      </c>
      <c r="P21" s="72">
        <v>10</v>
      </c>
      <c r="Q21" s="23">
        <f t="shared" ref="Q21" si="7">P21/O21*100</f>
        <v>100</v>
      </c>
      <c r="R21" s="166">
        <v>17560</v>
      </c>
      <c r="S21" s="167">
        <v>17720</v>
      </c>
      <c r="T21" s="167">
        <v>17717</v>
      </c>
      <c r="U21" s="23">
        <f t="shared" si="1"/>
        <v>99.983069977426638</v>
      </c>
      <c r="V21" s="21">
        <f t="shared" si="2"/>
        <v>79260</v>
      </c>
      <c r="W21" s="63">
        <f t="shared" si="3"/>
        <v>87069</v>
      </c>
      <c r="X21" s="22">
        <f t="shared" si="4"/>
        <v>80533</v>
      </c>
      <c r="Y21" s="23">
        <f t="shared" si="5"/>
        <v>92.493309903639641</v>
      </c>
    </row>
    <row r="22" spans="1:25" ht="21.95" customHeight="1" x14ac:dyDescent="0.25">
      <c r="A22" s="20" t="s">
        <v>162</v>
      </c>
      <c r="B22" s="21">
        <f>'Příjmy a Výdaje '!H18-'Kapitálové výdaje'!B21</f>
        <v>150863</v>
      </c>
      <c r="C22" s="22">
        <f>'Příjmy a Výdaje '!I18-'Kapitálové výdaje'!C21</f>
        <v>218182</v>
      </c>
      <c r="D22" s="22">
        <f>'Příjmy a Výdaje '!J18-'Kapitálové výdaje'!D21</f>
        <v>100835</v>
      </c>
      <c r="E22" s="23">
        <f t="shared" si="6"/>
        <v>46.216003153330703</v>
      </c>
      <c r="F22" s="124">
        <v>2000</v>
      </c>
      <c r="G22" s="125">
        <v>1961</v>
      </c>
      <c r="H22" s="125">
        <v>466</v>
      </c>
      <c r="I22" s="23">
        <f>H22/G22*100</f>
        <v>23.763386027536971</v>
      </c>
      <c r="J22" s="132"/>
      <c r="K22" s="315">
        <v>566</v>
      </c>
      <c r="L22" s="315">
        <v>566</v>
      </c>
      <c r="M22" s="23">
        <f t="shared" si="0"/>
        <v>100</v>
      </c>
      <c r="N22" s="137"/>
      <c r="O22" s="72"/>
      <c r="P22" s="72"/>
      <c r="Q22" s="23"/>
      <c r="R22" s="176">
        <v>16272</v>
      </c>
      <c r="S22" s="177">
        <v>17049</v>
      </c>
      <c r="T22" s="177">
        <v>17010</v>
      </c>
      <c r="U22" s="23">
        <f t="shared" si="1"/>
        <v>99.771247580503257</v>
      </c>
      <c r="V22" s="21">
        <f t="shared" si="2"/>
        <v>132591</v>
      </c>
      <c r="W22" s="63">
        <f t="shared" si="3"/>
        <v>198606</v>
      </c>
      <c r="X22" s="22">
        <f t="shared" si="4"/>
        <v>82793</v>
      </c>
      <c r="Y22" s="23">
        <f t="shared" si="5"/>
        <v>41.687058799834844</v>
      </c>
    </row>
    <row r="23" spans="1:25" ht="21.95" customHeight="1" x14ac:dyDescent="0.25">
      <c r="A23" s="20" t="s">
        <v>163</v>
      </c>
      <c r="B23" s="21">
        <f>'Příjmy a Výdaje '!H19-'Kapitálové výdaje'!B22</f>
        <v>6041</v>
      </c>
      <c r="C23" s="22">
        <f>'Příjmy a Výdaje '!I19-'Kapitálové výdaje'!C22</f>
        <v>8640</v>
      </c>
      <c r="D23" s="22">
        <f>'Příjmy a Výdaje '!J19-'Kapitálové výdaje'!D22</f>
        <v>7314</v>
      </c>
      <c r="E23" s="23">
        <f t="shared" si="6"/>
        <v>84.652777777777771</v>
      </c>
      <c r="F23" s="137"/>
      <c r="G23" s="72"/>
      <c r="H23" s="72"/>
      <c r="I23" s="23"/>
      <c r="J23" s="132"/>
      <c r="K23" s="315">
        <v>2</v>
      </c>
      <c r="L23" s="315">
        <v>2</v>
      </c>
      <c r="M23" s="23">
        <f t="shared" si="0"/>
        <v>100</v>
      </c>
      <c r="N23" s="137"/>
      <c r="O23" s="72"/>
      <c r="P23" s="72"/>
      <c r="Q23" s="23"/>
      <c r="R23" s="192">
        <v>500</v>
      </c>
      <c r="S23" s="193">
        <v>710</v>
      </c>
      <c r="T23" s="193">
        <v>706</v>
      </c>
      <c r="U23" s="23">
        <f t="shared" si="1"/>
        <v>99.436619718309856</v>
      </c>
      <c r="V23" s="21">
        <f t="shared" si="2"/>
        <v>5541</v>
      </c>
      <c r="W23" s="63">
        <f t="shared" si="3"/>
        <v>7928</v>
      </c>
      <c r="X23" s="22">
        <f t="shared" si="4"/>
        <v>6606</v>
      </c>
      <c r="Y23" s="23">
        <f t="shared" si="5"/>
        <v>83.324924318869833</v>
      </c>
    </row>
    <row r="24" spans="1:25" ht="21.95" customHeight="1" x14ac:dyDescent="0.25">
      <c r="A24" s="20" t="s">
        <v>164</v>
      </c>
      <c r="B24" s="21">
        <f>'Příjmy a Výdaje '!H20-'Kapitálové výdaje'!B23</f>
        <v>28082</v>
      </c>
      <c r="C24" s="22">
        <f>'Příjmy a Výdaje '!I20-'Kapitálové výdaje'!C23</f>
        <v>30182</v>
      </c>
      <c r="D24" s="22">
        <f>'Příjmy a Výdaje '!J20-'Kapitálové výdaje'!D23</f>
        <v>24865</v>
      </c>
      <c r="E24" s="23">
        <f t="shared" si="6"/>
        <v>82.383539858193615</v>
      </c>
      <c r="F24" s="137"/>
      <c r="G24" s="72"/>
      <c r="H24" s="72"/>
      <c r="I24" s="23"/>
      <c r="J24" s="132"/>
      <c r="K24" s="315"/>
      <c r="L24" s="315"/>
      <c r="M24" s="23"/>
      <c r="N24" s="137"/>
      <c r="O24" s="72"/>
      <c r="P24" s="72"/>
      <c r="Q24" s="23"/>
      <c r="R24" s="158">
        <v>5307</v>
      </c>
      <c r="S24" s="159">
        <v>5390</v>
      </c>
      <c r="T24" s="159">
        <v>5373</v>
      </c>
      <c r="U24" s="23">
        <f t="shared" si="1"/>
        <v>99.684601113172548</v>
      </c>
      <c r="V24" s="21">
        <f t="shared" si="2"/>
        <v>22775</v>
      </c>
      <c r="W24" s="63">
        <f t="shared" si="3"/>
        <v>24792</v>
      </c>
      <c r="X24" s="22">
        <f t="shared" si="4"/>
        <v>19492</v>
      </c>
      <c r="Y24" s="23">
        <f t="shared" si="5"/>
        <v>78.622136172959017</v>
      </c>
    </row>
    <row r="25" spans="1:25" ht="21.95" customHeight="1" x14ac:dyDescent="0.25">
      <c r="A25" s="20" t="s">
        <v>165</v>
      </c>
      <c r="B25" s="21">
        <f>'Příjmy a Výdaje '!H21-'Kapitálové výdaje'!B24</f>
        <v>15807</v>
      </c>
      <c r="C25" s="22">
        <f>'Příjmy a Výdaje '!I21-'Kapitálové výdaje'!C24</f>
        <v>21378</v>
      </c>
      <c r="D25" s="22">
        <f>'Příjmy a Výdaje '!J21-'Kapitálové výdaje'!D24</f>
        <v>19894</v>
      </c>
      <c r="E25" s="23">
        <f t="shared" si="6"/>
        <v>93.058284217419768</v>
      </c>
      <c r="F25" s="137"/>
      <c r="G25" s="72"/>
      <c r="H25" s="72"/>
      <c r="I25" s="23"/>
      <c r="J25" s="132"/>
      <c r="K25" s="315">
        <v>2461</v>
      </c>
      <c r="L25" s="315">
        <v>2461</v>
      </c>
      <c r="M25" s="23">
        <f>L25/K25*100</f>
        <v>100</v>
      </c>
      <c r="N25" s="137"/>
      <c r="O25" s="72"/>
      <c r="P25" s="72"/>
      <c r="Q25" s="23"/>
      <c r="R25" s="148">
        <v>4012</v>
      </c>
      <c r="S25" s="149">
        <v>4302</v>
      </c>
      <c r="T25" s="149">
        <v>4278</v>
      </c>
      <c r="U25" s="23">
        <f t="shared" si="1"/>
        <v>99.442119944211996</v>
      </c>
      <c r="V25" s="21">
        <f t="shared" si="2"/>
        <v>11795</v>
      </c>
      <c r="W25" s="63">
        <f t="shared" si="3"/>
        <v>14615</v>
      </c>
      <c r="X25" s="22">
        <f t="shared" si="4"/>
        <v>13155</v>
      </c>
      <c r="Y25" s="23">
        <f t="shared" si="5"/>
        <v>90.010263427984953</v>
      </c>
    </row>
    <row r="26" spans="1:25" ht="21.95" customHeight="1" x14ac:dyDescent="0.25">
      <c r="A26" s="20" t="s">
        <v>166</v>
      </c>
      <c r="B26" s="21">
        <f>'Příjmy a Výdaje '!H22-'Kapitálové výdaje'!B25</f>
        <v>18079</v>
      </c>
      <c r="C26" s="22">
        <f>'Příjmy a Výdaje '!I22-'Kapitálové výdaje'!C25</f>
        <v>22363</v>
      </c>
      <c r="D26" s="22">
        <f>'Příjmy a Výdaje '!J22-'Kapitálové výdaje'!D25</f>
        <v>21925</v>
      </c>
      <c r="E26" s="23">
        <f t="shared" si="6"/>
        <v>98.041407682332419</v>
      </c>
      <c r="F26" s="137"/>
      <c r="G26" s="72"/>
      <c r="H26" s="72"/>
      <c r="I26" s="23"/>
      <c r="J26" s="132"/>
      <c r="K26" s="315">
        <v>917</v>
      </c>
      <c r="L26" s="315">
        <v>917</v>
      </c>
      <c r="M26" s="23">
        <f>L26/K26*100</f>
        <v>100</v>
      </c>
      <c r="N26" s="137"/>
      <c r="O26" s="72"/>
      <c r="P26" s="72"/>
      <c r="Q26" s="23"/>
      <c r="R26" s="150">
        <v>4204</v>
      </c>
      <c r="S26" s="151">
        <v>4204</v>
      </c>
      <c r="T26" s="151">
        <v>4204</v>
      </c>
      <c r="U26" s="23">
        <f t="shared" si="1"/>
        <v>100</v>
      </c>
      <c r="V26" s="21">
        <f t="shared" si="2"/>
        <v>13875</v>
      </c>
      <c r="W26" s="63">
        <f t="shared" si="3"/>
        <v>17242</v>
      </c>
      <c r="X26" s="22">
        <f t="shared" si="4"/>
        <v>16804</v>
      </c>
      <c r="Y26" s="23">
        <f t="shared" si="5"/>
        <v>97.459691451107759</v>
      </c>
    </row>
    <row r="27" spans="1:25" ht="21.95" customHeight="1" x14ac:dyDescent="0.25">
      <c r="A27" s="20" t="s">
        <v>167</v>
      </c>
      <c r="B27" s="21">
        <f>'Příjmy a Výdaje '!H23-'Kapitálové výdaje'!B26</f>
        <v>193427</v>
      </c>
      <c r="C27" s="22">
        <f>'Příjmy a Výdaje '!I23-'Kapitálové výdaje'!C26</f>
        <v>241140</v>
      </c>
      <c r="D27" s="22">
        <f>'Příjmy a Výdaje '!J23-'Kapitálové výdaje'!D26</f>
        <v>207966</v>
      </c>
      <c r="E27" s="23">
        <f t="shared" si="6"/>
        <v>86.242846479223687</v>
      </c>
      <c r="F27" s="138"/>
      <c r="G27" s="139"/>
      <c r="H27" s="139"/>
      <c r="I27" s="23"/>
      <c r="J27" s="132">
        <v>7094</v>
      </c>
      <c r="K27" s="315">
        <v>11996</v>
      </c>
      <c r="L27" s="315">
        <v>11996</v>
      </c>
      <c r="M27" s="23">
        <f>L27/K27*100</f>
        <v>100</v>
      </c>
      <c r="N27" s="137"/>
      <c r="O27" s="72"/>
      <c r="P27" s="72"/>
      <c r="Q27" s="23"/>
      <c r="R27" s="168">
        <v>50941</v>
      </c>
      <c r="S27" s="169">
        <v>59150</v>
      </c>
      <c r="T27" s="169">
        <v>59150</v>
      </c>
      <c r="U27" s="23">
        <f t="shared" si="1"/>
        <v>100</v>
      </c>
      <c r="V27" s="21">
        <f t="shared" si="2"/>
        <v>135392</v>
      </c>
      <c r="W27" s="63">
        <f t="shared" si="3"/>
        <v>169994</v>
      </c>
      <c r="X27" s="22">
        <f t="shared" si="4"/>
        <v>136820</v>
      </c>
      <c r="Y27" s="23">
        <f t="shared" si="5"/>
        <v>80.485193595068054</v>
      </c>
    </row>
    <row r="28" spans="1:25" ht="21.95" customHeight="1" x14ac:dyDescent="0.25">
      <c r="A28" s="20" t="s">
        <v>168</v>
      </c>
      <c r="B28" s="21">
        <f>'Příjmy a Výdaje '!H24-'Kapitálové výdaje'!B27</f>
        <v>25944</v>
      </c>
      <c r="C28" s="22">
        <f>'Příjmy a Výdaje '!I24-'Kapitálové výdaje'!C27</f>
        <v>30585</v>
      </c>
      <c r="D28" s="22">
        <f>'Příjmy a Výdaje '!J24-'Kapitálové výdaje'!D27</f>
        <v>25826</v>
      </c>
      <c r="E28" s="23">
        <f t="shared" si="6"/>
        <v>84.440085008991332</v>
      </c>
      <c r="F28" s="137"/>
      <c r="G28" s="72"/>
      <c r="H28" s="72"/>
      <c r="I28" s="23"/>
      <c r="J28" s="132">
        <v>200</v>
      </c>
      <c r="K28" s="315">
        <v>235</v>
      </c>
      <c r="L28" s="315">
        <v>235</v>
      </c>
      <c r="M28" s="23">
        <f t="shared" ref="M28:M36" si="8">L28/K28*100</f>
        <v>100</v>
      </c>
      <c r="N28" s="137"/>
      <c r="O28" s="72"/>
      <c r="P28" s="72"/>
      <c r="Q28" s="23"/>
      <c r="R28" s="190">
        <v>4300</v>
      </c>
      <c r="S28" s="191">
        <v>5404</v>
      </c>
      <c r="T28" s="191">
        <v>4399</v>
      </c>
      <c r="U28" s="23">
        <f t="shared" si="1"/>
        <v>81.402664692820139</v>
      </c>
      <c r="V28" s="21">
        <f t="shared" si="2"/>
        <v>21444</v>
      </c>
      <c r="W28" s="63">
        <f t="shared" si="3"/>
        <v>24946</v>
      </c>
      <c r="X28" s="22">
        <f t="shared" si="4"/>
        <v>21192</v>
      </c>
      <c r="Y28" s="23">
        <f t="shared" si="5"/>
        <v>84.951495229696135</v>
      </c>
    </row>
    <row r="29" spans="1:25" ht="21.95" customHeight="1" x14ac:dyDescent="0.25">
      <c r="A29" s="20" t="s">
        <v>169</v>
      </c>
      <c r="B29" s="21">
        <f>'Příjmy a Výdaje '!H25-'Kapitálové výdaje'!B28</f>
        <v>150648</v>
      </c>
      <c r="C29" s="22">
        <f>'Příjmy a Výdaje '!I25-'Kapitálové výdaje'!C28</f>
        <v>215170</v>
      </c>
      <c r="D29" s="22">
        <f>'Příjmy a Výdaje '!J25-'Kapitálové výdaje'!D28</f>
        <v>135792</v>
      </c>
      <c r="E29" s="23">
        <f t="shared" si="6"/>
        <v>63.109169493888551</v>
      </c>
      <c r="F29" s="120">
        <v>1377</v>
      </c>
      <c r="G29" s="121">
        <v>1377</v>
      </c>
      <c r="H29" s="121">
        <v>1362</v>
      </c>
      <c r="I29" s="23">
        <f t="shared" ref="I29:I34" si="9">H29/G29*100</f>
        <v>98.910675381263616</v>
      </c>
      <c r="J29" s="132">
        <v>953</v>
      </c>
      <c r="K29" s="315">
        <v>1400</v>
      </c>
      <c r="L29" s="315">
        <v>1400</v>
      </c>
      <c r="M29" s="23">
        <f t="shared" si="8"/>
        <v>100</v>
      </c>
      <c r="N29" s="137"/>
      <c r="O29" s="72"/>
      <c r="P29" s="72"/>
      <c r="Q29" s="23"/>
      <c r="R29" s="170">
        <v>28800</v>
      </c>
      <c r="S29" s="171">
        <v>31099</v>
      </c>
      <c r="T29" s="171">
        <v>29937</v>
      </c>
      <c r="U29" s="23">
        <f t="shared" si="1"/>
        <v>96.263545451622235</v>
      </c>
      <c r="V29" s="21">
        <f t="shared" si="2"/>
        <v>119518</v>
      </c>
      <c r="W29" s="63">
        <f t="shared" si="3"/>
        <v>181294</v>
      </c>
      <c r="X29" s="22">
        <f t="shared" si="4"/>
        <v>103093</v>
      </c>
      <c r="Y29" s="23">
        <f t="shared" si="5"/>
        <v>56.865092060410163</v>
      </c>
    </row>
    <row r="30" spans="1:25" ht="21.95" customHeight="1" x14ac:dyDescent="0.25">
      <c r="A30" s="20" t="s">
        <v>170</v>
      </c>
      <c r="B30" s="21">
        <f>'Příjmy a Výdaje '!H26-'Kapitálové výdaje'!B29</f>
        <v>37815</v>
      </c>
      <c r="C30" s="22">
        <f>'Příjmy a Výdaje '!I26-'Kapitálové výdaje'!C29</f>
        <v>45122</v>
      </c>
      <c r="D30" s="22">
        <f>'Příjmy a Výdaje '!J26-'Kapitálové výdaje'!D29</f>
        <v>42634</v>
      </c>
      <c r="E30" s="23">
        <f t="shared" si="6"/>
        <v>94.486060015070251</v>
      </c>
      <c r="F30" s="126">
        <v>314</v>
      </c>
      <c r="G30" s="127">
        <v>425</v>
      </c>
      <c r="H30" s="127">
        <v>310</v>
      </c>
      <c r="I30" s="23">
        <f t="shared" si="9"/>
        <v>72.941176470588232</v>
      </c>
      <c r="J30" s="132">
        <v>3379</v>
      </c>
      <c r="K30" s="315">
        <v>3389</v>
      </c>
      <c r="L30" s="315">
        <v>3389</v>
      </c>
      <c r="M30" s="23">
        <f t="shared" si="8"/>
        <v>100</v>
      </c>
      <c r="N30" s="137"/>
      <c r="O30" s="72"/>
      <c r="P30" s="72"/>
      <c r="Q30" s="23"/>
      <c r="R30" s="178">
        <v>9570</v>
      </c>
      <c r="S30" s="179">
        <v>10070</v>
      </c>
      <c r="T30" s="179">
        <v>10070</v>
      </c>
      <c r="U30" s="23">
        <f t="shared" si="1"/>
        <v>100</v>
      </c>
      <c r="V30" s="21">
        <f t="shared" si="2"/>
        <v>24552</v>
      </c>
      <c r="W30" s="63">
        <f t="shared" si="3"/>
        <v>31238</v>
      </c>
      <c r="X30" s="22">
        <f t="shared" si="4"/>
        <v>28865</v>
      </c>
      <c r="Y30" s="23">
        <f t="shared" si="5"/>
        <v>92.403482937447976</v>
      </c>
    </row>
    <row r="31" spans="1:25" ht="21.95" customHeight="1" x14ac:dyDescent="0.25">
      <c r="A31" s="20" t="s">
        <v>171</v>
      </c>
      <c r="B31" s="21">
        <f>'Příjmy a Výdaje '!H27-'Kapitálové výdaje'!B30</f>
        <v>49998</v>
      </c>
      <c r="C31" s="22">
        <f>'Příjmy a Výdaje '!I27-'Kapitálové výdaje'!C30</f>
        <v>62539</v>
      </c>
      <c r="D31" s="22">
        <f>'Příjmy a Výdaje '!J27-'Kapitálové výdaje'!D30</f>
        <v>54441</v>
      </c>
      <c r="E31" s="23">
        <f t="shared" si="6"/>
        <v>87.051280001279196</v>
      </c>
      <c r="F31" s="137"/>
      <c r="G31" s="72"/>
      <c r="H31" s="72"/>
      <c r="I31" s="23"/>
      <c r="J31" s="132">
        <v>360</v>
      </c>
      <c r="K31" s="315">
        <v>498</v>
      </c>
      <c r="L31" s="315">
        <v>498</v>
      </c>
      <c r="M31" s="23">
        <f t="shared" si="8"/>
        <v>100</v>
      </c>
      <c r="N31" s="137"/>
      <c r="O31" s="72"/>
      <c r="P31" s="72"/>
      <c r="Q31" s="23"/>
      <c r="R31" s="184">
        <v>9028</v>
      </c>
      <c r="S31" s="185">
        <v>13876</v>
      </c>
      <c r="T31" s="185">
        <v>13794</v>
      </c>
      <c r="U31" s="23">
        <f t="shared" si="1"/>
        <v>99.409051599884691</v>
      </c>
      <c r="V31" s="21">
        <f t="shared" si="2"/>
        <v>40610</v>
      </c>
      <c r="W31" s="63">
        <f t="shared" si="3"/>
        <v>48165</v>
      </c>
      <c r="X31" s="22">
        <f t="shared" si="4"/>
        <v>40149</v>
      </c>
      <c r="Y31" s="23">
        <f t="shared" si="5"/>
        <v>83.357209592027402</v>
      </c>
    </row>
    <row r="32" spans="1:25" ht="21.95" customHeight="1" x14ac:dyDescent="0.25">
      <c r="A32" s="20" t="s">
        <v>172</v>
      </c>
      <c r="B32" s="21">
        <f>'Příjmy a Výdaje '!H28-'Kapitálové výdaje'!B31</f>
        <v>36672</v>
      </c>
      <c r="C32" s="22">
        <f>'Příjmy a Výdaje '!I28-'Kapitálové výdaje'!C31</f>
        <v>53134</v>
      </c>
      <c r="D32" s="22">
        <f>'Příjmy a Výdaje '!J28-'Kapitálové výdaje'!D31</f>
        <v>47426</v>
      </c>
      <c r="E32" s="23">
        <f t="shared" si="6"/>
        <v>89.257349343170105</v>
      </c>
      <c r="F32" s="130"/>
      <c r="G32" s="131">
        <v>2214</v>
      </c>
      <c r="H32" s="131">
        <v>1552</v>
      </c>
      <c r="I32" s="23">
        <f t="shared" si="9"/>
        <v>70.099367660343276</v>
      </c>
      <c r="J32" s="132"/>
      <c r="K32" s="315">
        <v>51</v>
      </c>
      <c r="L32" s="315">
        <v>51</v>
      </c>
      <c r="M32" s="23">
        <f t="shared" si="8"/>
        <v>100</v>
      </c>
      <c r="N32" s="137"/>
      <c r="O32" s="72"/>
      <c r="P32" s="72"/>
      <c r="Q32" s="23"/>
      <c r="R32" s="186">
        <v>8670</v>
      </c>
      <c r="S32" s="187">
        <v>8958</v>
      </c>
      <c r="T32" s="187">
        <v>8958</v>
      </c>
      <c r="U32" s="23">
        <f t="shared" si="1"/>
        <v>100</v>
      </c>
      <c r="V32" s="21">
        <f t="shared" si="2"/>
        <v>28002</v>
      </c>
      <c r="W32" s="63">
        <f t="shared" si="3"/>
        <v>41911</v>
      </c>
      <c r="X32" s="22">
        <f t="shared" si="4"/>
        <v>36865</v>
      </c>
      <c r="Y32" s="23">
        <f t="shared" si="5"/>
        <v>87.960201379112874</v>
      </c>
    </row>
    <row r="33" spans="1:25" ht="21.95" customHeight="1" x14ac:dyDescent="0.25">
      <c r="A33" s="20" t="s">
        <v>173</v>
      </c>
      <c r="B33" s="21">
        <f>'Příjmy a Výdaje '!H29-'Kapitálové výdaje'!B32</f>
        <v>101439</v>
      </c>
      <c r="C33" s="22">
        <f>'Příjmy a Výdaje '!I29-'Kapitálové výdaje'!C32</f>
        <v>126643</v>
      </c>
      <c r="D33" s="22">
        <f>'Příjmy a Výdaje '!J29-'Kapitálové výdaje'!D32</f>
        <v>108282</v>
      </c>
      <c r="E33" s="23">
        <f t="shared" si="6"/>
        <v>85.501764803423796</v>
      </c>
      <c r="F33" s="122"/>
      <c r="G33" s="123"/>
      <c r="H33" s="123"/>
      <c r="I33" s="23"/>
      <c r="J33" s="132"/>
      <c r="K33" s="315">
        <v>522</v>
      </c>
      <c r="L33" s="315">
        <v>522</v>
      </c>
      <c r="M33" s="23">
        <f t="shared" si="8"/>
        <v>100</v>
      </c>
      <c r="N33" s="137"/>
      <c r="O33" s="72"/>
      <c r="P33" s="72"/>
      <c r="Q33" s="23"/>
      <c r="R33" s="174">
        <v>38049</v>
      </c>
      <c r="S33" s="175">
        <v>39603</v>
      </c>
      <c r="T33" s="175">
        <v>38662</v>
      </c>
      <c r="U33" s="23">
        <f t="shared" si="1"/>
        <v>97.623917379996456</v>
      </c>
      <c r="V33" s="21">
        <f t="shared" si="2"/>
        <v>63390</v>
      </c>
      <c r="W33" s="63">
        <f t="shared" si="3"/>
        <v>86518</v>
      </c>
      <c r="X33" s="22">
        <f t="shared" si="4"/>
        <v>69098</v>
      </c>
      <c r="Y33" s="23">
        <f t="shared" si="5"/>
        <v>79.865461522457764</v>
      </c>
    </row>
    <row r="34" spans="1:25" ht="21.95" customHeight="1" x14ac:dyDescent="0.25">
      <c r="A34" s="20" t="s">
        <v>174</v>
      </c>
      <c r="B34" s="21">
        <f>'Příjmy a Výdaje '!H30-'Kapitálové výdaje'!B33</f>
        <v>37831</v>
      </c>
      <c r="C34" s="22">
        <f>'Příjmy a Výdaje '!I30-'Kapitálové výdaje'!C33</f>
        <v>47997</v>
      </c>
      <c r="D34" s="22">
        <f>'Příjmy a Výdaje '!J30-'Kapitálové výdaje'!D33</f>
        <v>45367</v>
      </c>
      <c r="E34" s="23">
        <f t="shared" si="6"/>
        <v>94.520490864012331</v>
      </c>
      <c r="F34" s="128">
        <v>3584</v>
      </c>
      <c r="G34" s="129">
        <v>5160</v>
      </c>
      <c r="H34" s="129">
        <v>5158</v>
      </c>
      <c r="I34" s="23">
        <f t="shared" si="9"/>
        <v>99.961240310077514</v>
      </c>
      <c r="J34" s="132"/>
      <c r="K34" s="315">
        <v>56</v>
      </c>
      <c r="L34" s="315">
        <v>56</v>
      </c>
      <c r="M34" s="23">
        <f t="shared" si="8"/>
        <v>100</v>
      </c>
      <c r="N34" s="137"/>
      <c r="O34" s="72"/>
      <c r="P34" s="72"/>
      <c r="Q34" s="23"/>
      <c r="R34" s="182">
        <v>13854</v>
      </c>
      <c r="S34" s="183">
        <v>16367</v>
      </c>
      <c r="T34" s="183">
        <v>16367</v>
      </c>
      <c r="U34" s="23">
        <f t="shared" si="1"/>
        <v>100</v>
      </c>
      <c r="V34" s="21">
        <f t="shared" si="2"/>
        <v>20393</v>
      </c>
      <c r="W34" s="63">
        <f t="shared" si="3"/>
        <v>26414</v>
      </c>
      <c r="X34" s="22">
        <f t="shared" si="4"/>
        <v>23786</v>
      </c>
      <c r="Y34" s="23">
        <f t="shared" si="5"/>
        <v>90.050730673127887</v>
      </c>
    </row>
    <row r="35" spans="1:25" ht="21.95" customHeight="1" x14ac:dyDescent="0.25">
      <c r="A35" s="20" t="s">
        <v>175</v>
      </c>
      <c r="B35" s="21">
        <f>'Příjmy a Výdaje '!H31-'Kapitálové výdaje'!B34</f>
        <v>28683</v>
      </c>
      <c r="C35" s="22">
        <f>'Příjmy a Výdaje '!I31-'Kapitálové výdaje'!C34</f>
        <v>30119</v>
      </c>
      <c r="D35" s="22">
        <f>'Příjmy a Výdaje '!J31-'Kapitálové výdaje'!D34</f>
        <v>26543</v>
      </c>
      <c r="E35" s="23">
        <f t="shared" si="6"/>
        <v>88.127095853115975</v>
      </c>
      <c r="F35" s="137"/>
      <c r="G35" s="72"/>
      <c r="H35" s="72"/>
      <c r="I35" s="23"/>
      <c r="J35" s="132"/>
      <c r="K35" s="315">
        <v>88</v>
      </c>
      <c r="L35" s="315">
        <v>88</v>
      </c>
      <c r="M35" s="23">
        <f t="shared" si="8"/>
        <v>100</v>
      </c>
      <c r="N35" s="137"/>
      <c r="O35" s="72"/>
      <c r="P35" s="72"/>
      <c r="Q35" s="23"/>
      <c r="R35" s="188">
        <v>6502</v>
      </c>
      <c r="S35" s="189">
        <v>6504</v>
      </c>
      <c r="T35" s="189">
        <v>6404</v>
      </c>
      <c r="U35" s="23">
        <f t="shared" si="1"/>
        <v>98.46248462484624</v>
      </c>
      <c r="V35" s="21">
        <f t="shared" si="2"/>
        <v>22181</v>
      </c>
      <c r="W35" s="63">
        <f t="shared" si="3"/>
        <v>23527</v>
      </c>
      <c r="X35" s="22">
        <f t="shared" si="4"/>
        <v>20051</v>
      </c>
      <c r="Y35" s="23">
        <f t="shared" si="5"/>
        <v>85.22548561227525</v>
      </c>
    </row>
    <row r="36" spans="1:25" ht="21.95" customHeight="1" x14ac:dyDescent="0.25">
      <c r="A36" s="20" t="s">
        <v>176</v>
      </c>
      <c r="B36" s="21">
        <f>'Příjmy a Výdaje '!H32-'Kapitálové výdaje'!B35</f>
        <v>17285</v>
      </c>
      <c r="C36" s="22">
        <f>'Příjmy a Výdaje '!I32-'Kapitálové výdaje'!C35</f>
        <v>21049</v>
      </c>
      <c r="D36" s="22">
        <f>'Příjmy a Výdaje '!J32-'Kapitálové výdaje'!D35</f>
        <v>18337</v>
      </c>
      <c r="E36" s="23">
        <f t="shared" si="6"/>
        <v>87.115777471613853</v>
      </c>
      <c r="F36" s="137"/>
      <c r="G36" s="72"/>
      <c r="H36" s="72"/>
      <c r="I36" s="23"/>
      <c r="J36" s="132"/>
      <c r="K36" s="315">
        <v>69</v>
      </c>
      <c r="L36" s="315">
        <v>69</v>
      </c>
      <c r="M36" s="23">
        <f t="shared" si="8"/>
        <v>100</v>
      </c>
      <c r="N36" s="137"/>
      <c r="O36" s="72"/>
      <c r="P36" s="72"/>
      <c r="Q36" s="23"/>
      <c r="R36" s="180">
        <v>3112</v>
      </c>
      <c r="S36" s="181">
        <v>3119</v>
      </c>
      <c r="T36" s="181">
        <v>3119</v>
      </c>
      <c r="U36" s="23">
        <f t="shared" si="1"/>
        <v>100</v>
      </c>
      <c r="V36" s="21">
        <f t="shared" si="2"/>
        <v>14173</v>
      </c>
      <c r="W36" s="63">
        <f t="shared" si="3"/>
        <v>17861</v>
      </c>
      <c r="X36" s="22">
        <f t="shared" si="4"/>
        <v>15149</v>
      </c>
      <c r="Y36" s="23">
        <f t="shared" si="5"/>
        <v>84.816079726779009</v>
      </c>
    </row>
    <row r="37" spans="1:25" ht="21.95" customHeight="1" x14ac:dyDescent="0.25">
      <c r="A37" s="20" t="s">
        <v>177</v>
      </c>
      <c r="B37" s="21">
        <f>'Příjmy a Výdaje '!H33-'Kapitálové výdaje'!B36</f>
        <v>139314</v>
      </c>
      <c r="C37" s="22">
        <f>'Příjmy a Výdaje '!I33-'Kapitálové výdaje'!C36</f>
        <v>187351</v>
      </c>
      <c r="D37" s="22">
        <f>'Příjmy a Výdaje '!J33-'Kapitálové výdaje'!D36</f>
        <v>154106</v>
      </c>
      <c r="E37" s="23">
        <f t="shared" si="6"/>
        <v>82.255232157821411</v>
      </c>
      <c r="F37" s="140"/>
      <c r="G37" s="141"/>
      <c r="H37" s="141"/>
      <c r="I37" s="23"/>
      <c r="J37" s="132"/>
      <c r="K37" s="315">
        <v>1079</v>
      </c>
      <c r="L37" s="315">
        <v>1079</v>
      </c>
      <c r="M37" s="23">
        <f t="shared" ref="M37:M43" si="10">L37/K37*100</f>
        <v>100</v>
      </c>
      <c r="N37" s="137"/>
      <c r="O37" s="72"/>
      <c r="P37" s="72"/>
      <c r="Q37" s="23"/>
      <c r="R37" s="172">
        <v>26237</v>
      </c>
      <c r="S37" s="173">
        <v>27913</v>
      </c>
      <c r="T37" s="173">
        <v>27901</v>
      </c>
      <c r="U37" s="23">
        <f t="shared" si="1"/>
        <v>99.957009278830654</v>
      </c>
      <c r="V37" s="21">
        <f t="shared" si="2"/>
        <v>113077</v>
      </c>
      <c r="W37" s="63">
        <f t="shared" si="3"/>
        <v>158359</v>
      </c>
      <c r="X37" s="22">
        <f t="shared" si="4"/>
        <v>125126</v>
      </c>
      <c r="Y37" s="23">
        <f t="shared" si="5"/>
        <v>79.014138760664068</v>
      </c>
    </row>
    <row r="38" spans="1:25" ht="21.95" customHeight="1" x14ac:dyDescent="0.25">
      <c r="A38" s="20" t="s">
        <v>178</v>
      </c>
      <c r="B38" s="21">
        <f>'Příjmy a Výdaje '!H34-'Kapitálové výdaje'!B37</f>
        <v>21622</v>
      </c>
      <c r="C38" s="22">
        <f>'Příjmy a Výdaje '!I34-'Kapitálové výdaje'!C37</f>
        <v>27715</v>
      </c>
      <c r="D38" s="22">
        <f>'Příjmy a Výdaje '!J34-'Kapitálové výdaje'!D37</f>
        <v>24390</v>
      </c>
      <c r="E38" s="23">
        <f t="shared" si="6"/>
        <v>88.002886523543211</v>
      </c>
      <c r="F38" s="137"/>
      <c r="G38" s="72"/>
      <c r="H38" s="72"/>
      <c r="I38" s="23"/>
      <c r="J38" s="132"/>
      <c r="K38" s="315">
        <v>1</v>
      </c>
      <c r="L38" s="315">
        <v>1</v>
      </c>
      <c r="M38" s="23">
        <f t="shared" si="10"/>
        <v>100</v>
      </c>
      <c r="N38" s="137"/>
      <c r="O38" s="72"/>
      <c r="P38" s="72"/>
      <c r="Q38" s="23"/>
      <c r="R38" s="156">
        <v>5520</v>
      </c>
      <c r="S38" s="157">
        <v>5311</v>
      </c>
      <c r="T38" s="157">
        <v>5311</v>
      </c>
      <c r="U38" s="23">
        <f t="shared" si="1"/>
        <v>100</v>
      </c>
      <c r="V38" s="21">
        <f t="shared" si="2"/>
        <v>16102</v>
      </c>
      <c r="W38" s="63">
        <f t="shared" si="3"/>
        <v>22403</v>
      </c>
      <c r="X38" s="22">
        <f t="shared" si="4"/>
        <v>19078</v>
      </c>
      <c r="Y38" s="23">
        <f t="shared" si="5"/>
        <v>85.158237736017497</v>
      </c>
    </row>
    <row r="39" spans="1:25" ht="21.95" customHeight="1" x14ac:dyDescent="0.25">
      <c r="A39" s="20" t="s">
        <v>179</v>
      </c>
      <c r="B39" s="21">
        <f>'Příjmy a Výdaje '!H35-'Kapitálové výdaje'!B38</f>
        <v>55480</v>
      </c>
      <c r="C39" s="22">
        <f>'Příjmy a Výdaje '!I35-'Kapitálové výdaje'!C38</f>
        <v>66070</v>
      </c>
      <c r="D39" s="22">
        <f>'Příjmy a Výdaje '!J35-'Kapitálové výdaje'!D38</f>
        <v>61138</v>
      </c>
      <c r="E39" s="23">
        <f t="shared" si="6"/>
        <v>92.535189950052981</v>
      </c>
      <c r="F39" s="137"/>
      <c r="G39" s="72"/>
      <c r="H39" s="72"/>
      <c r="I39" s="23"/>
      <c r="J39" s="132"/>
      <c r="K39" s="315">
        <v>1</v>
      </c>
      <c r="L39" s="315">
        <v>1</v>
      </c>
      <c r="M39" s="23">
        <f t="shared" si="10"/>
        <v>100</v>
      </c>
      <c r="N39" s="137"/>
      <c r="O39" s="72"/>
      <c r="P39" s="72"/>
      <c r="Q39" s="23"/>
      <c r="R39" s="152">
        <v>11810</v>
      </c>
      <c r="S39" s="153">
        <v>12033</v>
      </c>
      <c r="T39" s="153">
        <v>12033</v>
      </c>
      <c r="U39" s="23">
        <f t="shared" si="1"/>
        <v>100</v>
      </c>
      <c r="V39" s="21">
        <f t="shared" si="2"/>
        <v>43670</v>
      </c>
      <c r="W39" s="63">
        <f t="shared" si="3"/>
        <v>54036</v>
      </c>
      <c r="X39" s="22">
        <f t="shared" si="4"/>
        <v>49104</v>
      </c>
      <c r="Y39" s="23">
        <f t="shared" si="5"/>
        <v>90.872751499000671</v>
      </c>
    </row>
    <row r="40" spans="1:25" ht="21.95" customHeight="1" x14ac:dyDescent="0.25">
      <c r="A40" s="20" t="s">
        <v>180</v>
      </c>
      <c r="B40" s="21">
        <f>'Příjmy a Výdaje '!H36-'Kapitálové výdaje'!B39</f>
        <v>5691</v>
      </c>
      <c r="C40" s="22">
        <f>'Příjmy a Výdaje '!I36-'Kapitálové výdaje'!C39</f>
        <v>8184</v>
      </c>
      <c r="D40" s="22">
        <f>'Příjmy a Výdaje '!J36-'Kapitálové výdaje'!D39</f>
        <v>7642</v>
      </c>
      <c r="E40" s="23">
        <f t="shared" si="6"/>
        <v>93.377321603128053</v>
      </c>
      <c r="F40" s="137"/>
      <c r="G40" s="72"/>
      <c r="H40" s="72"/>
      <c r="I40" s="23"/>
      <c r="J40" s="132">
        <v>30</v>
      </c>
      <c r="K40" s="315">
        <v>30</v>
      </c>
      <c r="L40" s="315">
        <v>30</v>
      </c>
      <c r="M40" s="23">
        <f t="shared" si="10"/>
        <v>100</v>
      </c>
      <c r="N40" s="137"/>
      <c r="O40" s="72"/>
      <c r="P40" s="72"/>
      <c r="Q40" s="23"/>
      <c r="R40" s="154">
        <v>600</v>
      </c>
      <c r="S40" s="155">
        <v>680</v>
      </c>
      <c r="T40" s="155">
        <v>680</v>
      </c>
      <c r="U40" s="23">
        <f t="shared" si="1"/>
        <v>100</v>
      </c>
      <c r="V40" s="21">
        <f t="shared" si="2"/>
        <v>5061</v>
      </c>
      <c r="W40" s="63">
        <f t="shared" si="3"/>
        <v>7474</v>
      </c>
      <c r="X40" s="22">
        <f t="shared" si="4"/>
        <v>6932</v>
      </c>
      <c r="Y40" s="23">
        <f t="shared" si="5"/>
        <v>92.748193738292755</v>
      </c>
    </row>
    <row r="41" spans="1:25" ht="21.95" customHeight="1" x14ac:dyDescent="0.25">
      <c r="A41" s="20" t="s">
        <v>181</v>
      </c>
      <c r="B41" s="21">
        <f>'Příjmy a Výdaje '!H37-'Kapitálové výdaje'!B40</f>
        <v>6275</v>
      </c>
      <c r="C41" s="22">
        <f>'Příjmy a Výdaje '!I37-'Kapitálové výdaje'!C40</f>
        <v>6835</v>
      </c>
      <c r="D41" s="22">
        <f>'Příjmy a Výdaje '!J37-'Kapitálové výdaje'!D40</f>
        <v>6181</v>
      </c>
      <c r="E41" s="23">
        <f t="shared" si="6"/>
        <v>90.431602048280908</v>
      </c>
      <c r="F41" s="137"/>
      <c r="G41" s="72"/>
      <c r="H41" s="72"/>
      <c r="I41" s="23"/>
      <c r="J41" s="132"/>
      <c r="K41" s="315">
        <v>73</v>
      </c>
      <c r="L41" s="315">
        <v>73</v>
      </c>
      <c r="M41" s="23">
        <f t="shared" si="10"/>
        <v>100</v>
      </c>
      <c r="N41" s="137"/>
      <c r="O41" s="72"/>
      <c r="P41" s="72"/>
      <c r="Q41" s="23"/>
      <c r="R41" s="162">
        <v>1652</v>
      </c>
      <c r="S41" s="163">
        <v>2007</v>
      </c>
      <c r="T41" s="163">
        <v>2007</v>
      </c>
      <c r="U41" s="23">
        <f t="shared" si="1"/>
        <v>100</v>
      </c>
      <c r="V41" s="21">
        <f t="shared" si="2"/>
        <v>4623</v>
      </c>
      <c r="W41" s="63">
        <f t="shared" si="3"/>
        <v>4755</v>
      </c>
      <c r="X41" s="22">
        <f t="shared" si="4"/>
        <v>4101</v>
      </c>
      <c r="Y41" s="23">
        <f t="shared" si="5"/>
        <v>86.246056782334378</v>
      </c>
    </row>
    <row r="42" spans="1:25" ht="21.95" customHeight="1" x14ac:dyDescent="0.25">
      <c r="A42" s="20" t="s">
        <v>182</v>
      </c>
      <c r="B42" s="21">
        <f>'Příjmy a Výdaje '!H38-'Kapitálové výdaje'!B41</f>
        <v>3187</v>
      </c>
      <c r="C42" s="22">
        <f>'Příjmy a Výdaje '!I38-'Kapitálové výdaje'!C41</f>
        <v>4204</v>
      </c>
      <c r="D42" s="22">
        <f>'Příjmy a Výdaje '!J38-'Kapitálové výdaje'!D41</f>
        <v>4112</v>
      </c>
      <c r="E42" s="23">
        <f t="shared" si="6"/>
        <v>97.811607992388204</v>
      </c>
      <c r="F42" s="137"/>
      <c r="G42" s="72"/>
      <c r="H42" s="72"/>
      <c r="I42" s="23"/>
      <c r="J42" s="132">
        <v>70</v>
      </c>
      <c r="K42" s="315">
        <v>70</v>
      </c>
      <c r="L42" s="315">
        <v>70</v>
      </c>
      <c r="M42" s="23"/>
      <c r="N42" s="137"/>
      <c r="O42" s="72"/>
      <c r="P42" s="72"/>
      <c r="Q42" s="23"/>
      <c r="R42" s="160">
        <v>157</v>
      </c>
      <c r="S42" s="161">
        <v>203</v>
      </c>
      <c r="T42" s="161">
        <v>203</v>
      </c>
      <c r="U42" s="23">
        <f t="shared" si="1"/>
        <v>100</v>
      </c>
      <c r="V42" s="21">
        <f t="shared" si="2"/>
        <v>2960</v>
      </c>
      <c r="W42" s="63">
        <f t="shared" si="3"/>
        <v>3931</v>
      </c>
      <c r="X42" s="22">
        <f t="shared" si="4"/>
        <v>3839</v>
      </c>
      <c r="Y42" s="23">
        <f t="shared" si="5"/>
        <v>97.659628593233265</v>
      </c>
    </row>
    <row r="43" spans="1:25" ht="21.95" customHeight="1" thickBot="1" x14ac:dyDescent="0.3">
      <c r="A43" s="24" t="s">
        <v>183</v>
      </c>
      <c r="B43" s="25">
        <f>'Příjmy a Výdaje '!H39-'Kapitálové výdaje'!B42</f>
        <v>2640</v>
      </c>
      <c r="C43" s="26">
        <f>'Příjmy a Výdaje '!I39-'Kapitálové výdaje'!C42</f>
        <v>3547</v>
      </c>
      <c r="D43" s="26">
        <f>'Příjmy a Výdaje '!J39-'Kapitálové výdaje'!D42</f>
        <v>3021</v>
      </c>
      <c r="E43" s="27">
        <f t="shared" si="6"/>
        <v>85.170566676064269</v>
      </c>
      <c r="F43" s="142"/>
      <c r="G43" s="73"/>
      <c r="H43" s="73"/>
      <c r="I43" s="27"/>
      <c r="J43" s="204"/>
      <c r="K43" s="321">
        <v>72</v>
      </c>
      <c r="L43" s="321">
        <v>72</v>
      </c>
      <c r="M43" s="27">
        <f t="shared" si="10"/>
        <v>100</v>
      </c>
      <c r="N43" s="142">
        <v>15</v>
      </c>
      <c r="O43" s="73">
        <v>15</v>
      </c>
      <c r="P43" s="73">
        <v>15</v>
      </c>
      <c r="Q43" s="27">
        <f t="shared" ref="Q43" si="11">P43/O43*100</f>
        <v>100</v>
      </c>
      <c r="R43" s="142"/>
      <c r="S43" s="73"/>
      <c r="T43" s="73"/>
      <c r="U43" s="27"/>
      <c r="V43" s="25">
        <f t="shared" si="2"/>
        <v>2625</v>
      </c>
      <c r="W43" s="205">
        <f t="shared" si="3"/>
        <v>3460</v>
      </c>
      <c r="X43" s="26">
        <f t="shared" si="4"/>
        <v>2934</v>
      </c>
      <c r="Y43" s="27">
        <f t="shared" si="5"/>
        <v>84.797687861271669</v>
      </c>
    </row>
    <row r="44" spans="1:25" ht="17.100000000000001" customHeight="1" thickBot="1" x14ac:dyDescent="0.3">
      <c r="A44" s="44"/>
      <c r="B44" s="50"/>
      <c r="C44" s="51"/>
      <c r="D44" s="51"/>
      <c r="E44" s="35"/>
      <c r="F44" s="32"/>
      <c r="G44" s="97"/>
      <c r="H44" s="97"/>
      <c r="I44" s="35"/>
      <c r="J44" s="32"/>
      <c r="K44" s="97"/>
      <c r="L44" s="97"/>
      <c r="M44" s="35"/>
      <c r="N44" s="32"/>
      <c r="O44" s="97"/>
      <c r="P44" s="97"/>
      <c r="Q44" s="35"/>
      <c r="R44" s="32"/>
      <c r="S44" s="97"/>
      <c r="T44" s="97"/>
      <c r="U44" s="35"/>
      <c r="V44" s="50"/>
      <c r="W44" s="51"/>
      <c r="X44" s="51"/>
      <c r="Y44" s="35"/>
    </row>
    <row r="45" spans="1:25" ht="18" customHeight="1" thickBot="1" x14ac:dyDescent="0.3">
      <c r="A45" s="45" t="s">
        <v>198</v>
      </c>
      <c r="B45" s="36">
        <f>SUM(B15:B43)</f>
        <v>1768766</v>
      </c>
      <c r="C45" s="42">
        <f>SUM(C15:C43)</f>
        <v>2254947</v>
      </c>
      <c r="D45" s="42">
        <f>SUM(D15:D43)</f>
        <v>1822009</v>
      </c>
      <c r="E45" s="39">
        <f>D45/C45*100</f>
        <v>80.800524358222177</v>
      </c>
      <c r="F45" s="36">
        <f>SUM(F15:F43)</f>
        <v>11447</v>
      </c>
      <c r="G45" s="42">
        <f>SUM(G15:G43)</f>
        <v>15310</v>
      </c>
      <c r="H45" s="42">
        <f>SUM(H15:H43)</f>
        <v>12895</v>
      </c>
      <c r="I45" s="39">
        <f>H45/G45*100</f>
        <v>84.225996080992815</v>
      </c>
      <c r="J45" s="42">
        <f>SUM(J15:J44)</f>
        <v>20086</v>
      </c>
      <c r="K45" s="42">
        <f>SUM(K15:K44)</f>
        <v>51520</v>
      </c>
      <c r="L45" s="42">
        <f>SUM(L15:L43)</f>
        <v>51520</v>
      </c>
      <c r="M45" s="39">
        <f>L45/K45*100</f>
        <v>100</v>
      </c>
      <c r="N45" s="91">
        <f>SUM(N15:N43)</f>
        <v>15</v>
      </c>
      <c r="O45" s="92">
        <f>SUM(O15:O43)</f>
        <v>25</v>
      </c>
      <c r="P45" s="92">
        <f>SUM(P15:P43)</f>
        <v>25</v>
      </c>
      <c r="Q45" s="39">
        <f>P45/O45*100</f>
        <v>100</v>
      </c>
      <c r="R45" s="36">
        <f>SUM(R15:R43)</f>
        <v>386785</v>
      </c>
      <c r="S45" s="42">
        <f>SUM(S15:S43)</f>
        <v>416571</v>
      </c>
      <c r="T45" s="42">
        <f>SUM(T15:T43)</f>
        <v>413170</v>
      </c>
      <c r="U45" s="39">
        <f>T45/S45*100</f>
        <v>99.183572548257075</v>
      </c>
      <c r="V45" s="36">
        <f>SUM(V15:V43)</f>
        <v>1350433</v>
      </c>
      <c r="W45" s="42">
        <f>SUM(W15:W43)</f>
        <v>1771521</v>
      </c>
      <c r="X45" s="42">
        <f>SUM(X15:X43)</f>
        <v>1344399</v>
      </c>
      <c r="Y45" s="39">
        <f>X45/W45*100</f>
        <v>75.889532215536818</v>
      </c>
    </row>
    <row r="46" spans="1:25" ht="17.100000000000001" customHeight="1" x14ac:dyDescent="0.25">
      <c r="V46" s="79" t="e">
        <f>B49-F49-N49-R49-#REF!</f>
        <v>#REF!</v>
      </c>
      <c r="W46" s="79" t="e">
        <f>C49-G49-O49-S49-#REF!</f>
        <v>#REF!</v>
      </c>
      <c r="X46" s="79" t="e">
        <f>D49-H49-P49-T49-#REF!</f>
        <v>#REF!</v>
      </c>
    </row>
    <row r="47" spans="1:25" x14ac:dyDescent="0.25">
      <c r="A47" s="78">
        <v>2013</v>
      </c>
      <c r="B47" s="79">
        <v>1623419</v>
      </c>
      <c r="C47" s="79">
        <v>2041480</v>
      </c>
      <c r="D47" s="79">
        <v>1769165</v>
      </c>
      <c r="F47" s="79">
        <v>22194</v>
      </c>
      <c r="G47" s="79">
        <v>22955</v>
      </c>
      <c r="H47" s="79">
        <v>18076</v>
      </c>
      <c r="N47" s="79">
        <f>390+15</f>
        <v>405</v>
      </c>
      <c r="O47" s="79">
        <f>604+1396+460</f>
        <v>2460</v>
      </c>
      <c r="P47" s="79">
        <f>604+1396+460</f>
        <v>2460</v>
      </c>
      <c r="R47" s="79">
        <f>367435+530</f>
        <v>367965</v>
      </c>
      <c r="S47" s="79">
        <f>395048+8508</f>
        <v>403556</v>
      </c>
      <c r="T47" s="79">
        <f>394249+8476</f>
        <v>402725</v>
      </c>
      <c r="V47" s="79" t="e">
        <f>B47-F47-N47-R47-#REF!</f>
        <v>#REF!</v>
      </c>
      <c r="W47" s="79" t="e">
        <f>C47-G47-O47-S47-#REF!</f>
        <v>#REF!</v>
      </c>
      <c r="X47" s="79" t="e">
        <f>D47-H47-P47-T47-#REF!</f>
        <v>#REF!</v>
      </c>
    </row>
    <row r="49" spans="1:24" x14ac:dyDescent="0.25">
      <c r="A49" s="78">
        <v>2014</v>
      </c>
      <c r="B49" s="79">
        <v>1670344</v>
      </c>
      <c r="C49" s="79">
        <v>2170578</v>
      </c>
      <c r="D49" s="79">
        <v>1793350</v>
      </c>
      <c r="F49" s="79">
        <v>16021</v>
      </c>
      <c r="G49" s="79">
        <v>18398</v>
      </c>
      <c r="H49" s="79">
        <v>15125</v>
      </c>
      <c r="N49" s="79">
        <f>317+15</f>
        <v>332</v>
      </c>
      <c r="O49" s="79">
        <f>441+143</f>
        <v>584</v>
      </c>
      <c r="P49" s="79">
        <f>441+143</f>
        <v>584</v>
      </c>
      <c r="R49" s="79">
        <f>382482+697</f>
        <v>383179</v>
      </c>
      <c r="S49" s="79">
        <f>9826+402678</f>
        <v>412504</v>
      </c>
      <c r="T49" s="79">
        <f>9627+398596</f>
        <v>408223</v>
      </c>
      <c r="V49" s="79" t="e">
        <f>B49-F49-N49-R49-#REF!</f>
        <v>#REF!</v>
      </c>
      <c r="W49" s="79" t="e">
        <f>C49-G49-O49-S49-#REF!</f>
        <v>#REF!</v>
      </c>
      <c r="X49" s="79" t="e">
        <f>D49-H49-P49-T49-#REF!</f>
        <v>#REF!</v>
      </c>
    </row>
    <row r="50" spans="1:24" x14ac:dyDescent="0.25">
      <c r="B50" s="112">
        <f>B49-B45</f>
        <v>-98422</v>
      </c>
      <c r="C50" s="112"/>
      <c r="D50" s="40">
        <f>D49-D45</f>
        <v>-28659</v>
      </c>
      <c r="F50" s="40">
        <f>F49-F45</f>
        <v>4574</v>
      </c>
      <c r="G50" s="40">
        <f>G49-G45</f>
        <v>3088</v>
      </c>
      <c r="H50" s="40">
        <f>H49-H45</f>
        <v>2230</v>
      </c>
      <c r="N50" s="40">
        <f>N49-N45</f>
        <v>317</v>
      </c>
      <c r="O50" s="40">
        <f>O49-O45</f>
        <v>559</v>
      </c>
      <c r="P50" s="40">
        <f>P49-P45</f>
        <v>559</v>
      </c>
      <c r="R50" s="40">
        <f>R49-R45</f>
        <v>-3606</v>
      </c>
      <c r="S50" s="40">
        <f>S49-S45</f>
        <v>-4067</v>
      </c>
      <c r="T50" s="40">
        <f>T49-T45</f>
        <v>-4947</v>
      </c>
      <c r="V50" s="40" t="e">
        <f>V49-V45</f>
        <v>#REF!</v>
      </c>
      <c r="W50" s="40" t="e">
        <f>W49-W45</f>
        <v>#REF!</v>
      </c>
      <c r="X50" s="40" t="e">
        <f>X49-X45</f>
        <v>#REF!</v>
      </c>
    </row>
    <row r="51" spans="1:24" x14ac:dyDescent="0.25">
      <c r="D51" s="112"/>
      <c r="E51" s="143" t="s">
        <v>218</v>
      </c>
      <c r="F51" s="206">
        <v>16021</v>
      </c>
      <c r="G51" s="143">
        <v>18378</v>
      </c>
      <c r="H51" s="143">
        <v>15120</v>
      </c>
    </row>
    <row r="61" spans="1:24" ht="15.95" customHeight="1" x14ac:dyDescent="0.25"/>
    <row r="62" spans="1:24" ht="15.9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2" customHeight="1" x14ac:dyDescent="0.25"/>
    <row r="96" ht="12" customHeight="1" x14ac:dyDescent="0.25"/>
    <row r="97" ht="15.95" customHeight="1" x14ac:dyDescent="0.25"/>
  </sheetData>
  <mergeCells count="34">
    <mergeCell ref="F8:I8"/>
    <mergeCell ref="B13:E13"/>
    <mergeCell ref="V9:V10"/>
    <mergeCell ref="H9:H10"/>
    <mergeCell ref="N9:N10"/>
    <mergeCell ref="O9:O10"/>
    <mergeCell ref="P9:P10"/>
    <mergeCell ref="R9:R10"/>
    <mergeCell ref="X9:X10"/>
    <mergeCell ref="V8:Y8"/>
    <mergeCell ref="J8:M8"/>
    <mergeCell ref="S9:S10"/>
    <mergeCell ref="T9:T10"/>
    <mergeCell ref="J9:J10"/>
    <mergeCell ref="K9:K10"/>
    <mergeCell ref="L9:L10"/>
    <mergeCell ref="R8:U8"/>
    <mergeCell ref="N8:Q8"/>
    <mergeCell ref="A2:Y2"/>
    <mergeCell ref="F13:I13"/>
    <mergeCell ref="N13:Q13"/>
    <mergeCell ref="R13:U13"/>
    <mergeCell ref="J13:M13"/>
    <mergeCell ref="V13:Y13"/>
    <mergeCell ref="A4:Y4"/>
    <mergeCell ref="A7:A10"/>
    <mergeCell ref="B7:E7"/>
    <mergeCell ref="B8:E8"/>
    <mergeCell ref="B9:B10"/>
    <mergeCell ref="C9:C10"/>
    <mergeCell ref="D9:D10"/>
    <mergeCell ref="F9:F10"/>
    <mergeCell ref="G9:G10"/>
    <mergeCell ref="W9:W10"/>
  </mergeCells>
  <phoneticPr fontId="8" type="noConversion"/>
  <printOptions horizontalCentered="1" verticalCentered="1"/>
  <pageMargins left="0.47244094488188981" right="0.39370078740157483" top="0.74803149606299213" bottom="0.74803149606299213" header="0.51181102362204722" footer="0.51181102362204722"/>
  <pageSetup paperSize="9" scale="5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List12">
    <pageSetUpPr fitToPage="1"/>
  </sheetPr>
  <dimension ref="A1:W51"/>
  <sheetViews>
    <sheetView showZeros="0" view="pageBreakPreview" zoomScaleNormal="100" zoomScaleSheetLayoutView="100" workbookViewId="0">
      <pane xSplit="1" ySplit="12" topLeftCell="B13" activePane="bottomRight" state="frozen"/>
      <selection pane="topRight"/>
      <selection pane="bottomLeft"/>
      <selection pane="bottomRight" activeCell="A2" sqref="A2:T2"/>
    </sheetView>
  </sheetViews>
  <sheetFormatPr defaultColWidth="9.77734375" defaultRowHeight="15.75" x14ac:dyDescent="0.25"/>
  <cols>
    <col min="1" max="1" width="30.33203125" style="221" customWidth="1"/>
    <col min="2" max="3" width="10.77734375" style="222" customWidth="1"/>
    <col min="4" max="4" width="9.33203125" style="222" customWidth="1"/>
    <col min="5" max="5" width="7.44140625" style="222" customWidth="1"/>
    <col min="6" max="7" width="11.5546875" style="222" customWidth="1"/>
    <col min="8" max="8" width="11.5546875" style="222" hidden="1" customWidth="1"/>
    <col min="9" max="9" width="9.33203125" style="222" customWidth="1"/>
    <col min="10" max="10" width="10.77734375" style="222" hidden="1" customWidth="1"/>
    <col min="11" max="11" width="7.44140625" style="222" customWidth="1"/>
    <col min="12" max="12" width="11.44140625" style="222" customWidth="1"/>
    <col min="13" max="13" width="10.88671875" style="222" customWidth="1"/>
    <col min="14" max="14" width="10.88671875" style="222" hidden="1" customWidth="1"/>
    <col min="15" max="15" width="9.33203125" style="222" customWidth="1"/>
    <col min="16" max="16" width="8" style="222" customWidth="1"/>
    <col min="17" max="18" width="10.77734375" style="222" customWidth="1"/>
    <col min="19" max="19" width="9.33203125" style="222" customWidth="1"/>
    <col min="20" max="20" width="7.21875" style="222" customWidth="1"/>
    <col min="21" max="21" width="5.44140625" style="222" customWidth="1"/>
    <col min="22" max="22" width="11.21875" style="222" customWidth="1"/>
    <col min="23" max="28" width="7.77734375" style="222" customWidth="1"/>
    <col min="29" max="16384" width="9.77734375" style="222"/>
  </cols>
  <sheetData>
    <row r="1" spans="1:23" ht="17.25" customHeight="1" x14ac:dyDescent="0.25"/>
    <row r="2" spans="1:23" ht="24" customHeight="1" x14ac:dyDescent="0.35">
      <c r="A2" s="339" t="s">
        <v>247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</row>
    <row r="3" spans="1:23" ht="15" customHeight="1" x14ac:dyDescent="0.35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</row>
    <row r="4" spans="1:23" ht="21" customHeight="1" x14ac:dyDescent="0.35">
      <c r="A4" s="339" t="s">
        <v>101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</row>
    <row r="5" spans="1:23" ht="22.5" customHeight="1" x14ac:dyDescent="0.25">
      <c r="T5" s="10"/>
    </row>
    <row r="6" spans="1:23" ht="22.5" customHeight="1" thickBot="1" x14ac:dyDescent="0.3">
      <c r="T6" s="10" t="s">
        <v>102</v>
      </c>
    </row>
    <row r="7" spans="1:23" ht="18" customHeight="1" thickBot="1" x14ac:dyDescent="0.3">
      <c r="A7" s="364" t="s">
        <v>192</v>
      </c>
      <c r="B7" s="362" t="s">
        <v>103</v>
      </c>
      <c r="C7" s="362"/>
      <c r="D7" s="362"/>
      <c r="E7" s="363"/>
      <c r="F7" s="222" t="s">
        <v>148</v>
      </c>
      <c r="T7" s="10" t="s">
        <v>1</v>
      </c>
    </row>
    <row r="8" spans="1:23" s="221" customFormat="1" ht="18" customHeight="1" x14ac:dyDescent="0.25">
      <c r="A8" s="365"/>
      <c r="B8" s="397"/>
      <c r="C8" s="397"/>
      <c r="D8" s="397"/>
      <c r="E8" s="397"/>
      <c r="F8" s="343" t="s">
        <v>138</v>
      </c>
      <c r="G8" s="367"/>
      <c r="H8" s="367"/>
      <c r="I8" s="367"/>
      <c r="J8" s="367"/>
      <c r="K8" s="344"/>
      <c r="L8" s="343" t="s">
        <v>191</v>
      </c>
      <c r="M8" s="367"/>
      <c r="N8" s="367"/>
      <c r="O8" s="367"/>
      <c r="P8" s="344"/>
      <c r="Q8" s="367" t="s">
        <v>151</v>
      </c>
      <c r="R8" s="367"/>
      <c r="S8" s="367"/>
      <c r="T8" s="344"/>
    </row>
    <row r="9" spans="1:23" s="221" customFormat="1" ht="18" customHeight="1" thickBot="1" x14ac:dyDescent="0.3">
      <c r="A9" s="365"/>
      <c r="B9" s="358" t="s">
        <v>44</v>
      </c>
      <c r="C9" s="358"/>
      <c r="D9" s="358"/>
      <c r="E9" s="358"/>
      <c r="F9" s="421" t="s">
        <v>149</v>
      </c>
      <c r="G9" s="422"/>
      <c r="H9" s="422"/>
      <c r="I9" s="422"/>
      <c r="J9" s="422"/>
      <c r="K9" s="423"/>
      <c r="L9" s="421" t="s">
        <v>150</v>
      </c>
      <c r="M9" s="422"/>
      <c r="N9" s="422"/>
      <c r="O9" s="422"/>
      <c r="P9" s="423"/>
      <c r="Q9" s="53"/>
      <c r="R9" s="53"/>
      <c r="S9" s="53"/>
      <c r="T9" s="99"/>
    </row>
    <row r="10" spans="1:23" ht="18" customHeight="1" x14ac:dyDescent="0.25">
      <c r="A10" s="365"/>
      <c r="B10" s="424" t="s">
        <v>196</v>
      </c>
      <c r="C10" s="355" t="s">
        <v>197</v>
      </c>
      <c r="D10" s="355" t="s">
        <v>223</v>
      </c>
      <c r="E10" s="100" t="s">
        <v>0</v>
      </c>
      <c r="F10" s="374" t="s">
        <v>196</v>
      </c>
      <c r="G10" s="355" t="s">
        <v>197</v>
      </c>
      <c r="I10" s="355" t="s">
        <v>223</v>
      </c>
      <c r="J10" s="223"/>
      <c r="K10" s="56" t="s">
        <v>0</v>
      </c>
      <c r="L10" s="374" t="s">
        <v>196</v>
      </c>
      <c r="M10" s="355" t="s">
        <v>197</v>
      </c>
      <c r="N10" s="219"/>
      <c r="O10" s="355" t="s">
        <v>223</v>
      </c>
      <c r="P10" s="56" t="s">
        <v>0</v>
      </c>
      <c r="Q10" s="424" t="s">
        <v>196</v>
      </c>
      <c r="R10" s="355" t="s">
        <v>197</v>
      </c>
      <c r="S10" s="355" t="s">
        <v>223</v>
      </c>
      <c r="T10" s="56" t="s">
        <v>0</v>
      </c>
    </row>
    <row r="11" spans="1:23" ht="15" customHeight="1" thickBot="1" x14ac:dyDescent="0.3">
      <c r="A11" s="366"/>
      <c r="B11" s="425"/>
      <c r="C11" s="356"/>
      <c r="D11" s="356"/>
      <c r="E11" s="101" t="s">
        <v>11</v>
      </c>
      <c r="F11" s="375"/>
      <c r="G11" s="356"/>
      <c r="I11" s="356"/>
      <c r="J11" s="223"/>
      <c r="K11" s="57" t="s">
        <v>11</v>
      </c>
      <c r="L11" s="375"/>
      <c r="M11" s="356"/>
      <c r="N11" s="220"/>
      <c r="O11" s="356"/>
      <c r="P11" s="57" t="s">
        <v>11</v>
      </c>
      <c r="Q11" s="425"/>
      <c r="R11" s="356"/>
      <c r="S11" s="356"/>
      <c r="T11" s="57" t="s">
        <v>11</v>
      </c>
    </row>
    <row r="12" spans="1:23" ht="17.25" customHeight="1" x14ac:dyDescent="0.25">
      <c r="A12" s="44"/>
      <c r="F12" s="371" t="s">
        <v>225</v>
      </c>
      <c r="G12" s="372"/>
      <c r="H12" s="372"/>
      <c r="I12" s="372"/>
      <c r="J12" s="372"/>
      <c r="K12" s="373"/>
      <c r="L12" s="32"/>
      <c r="M12" s="223"/>
      <c r="N12" s="223"/>
      <c r="O12" s="223"/>
      <c r="P12" s="224"/>
      <c r="Q12" s="411"/>
      <c r="R12" s="411"/>
      <c r="S12" s="411"/>
      <c r="T12" s="412"/>
    </row>
    <row r="13" spans="1:23" ht="15" customHeight="1" thickBot="1" x14ac:dyDescent="0.3">
      <c r="A13" s="44"/>
      <c r="F13" s="32"/>
      <c r="G13" s="223"/>
      <c r="H13" s="223"/>
      <c r="I13" s="223"/>
      <c r="J13" s="223"/>
      <c r="K13" s="224"/>
      <c r="L13" s="32"/>
      <c r="M13" s="223"/>
      <c r="N13" s="223"/>
      <c r="O13" s="223"/>
      <c r="P13" s="224"/>
      <c r="Q13" s="223"/>
      <c r="R13" s="223"/>
      <c r="S13" s="280"/>
      <c r="T13" s="224"/>
    </row>
    <row r="14" spans="1:23" ht="17.100000000000001" customHeight="1" x14ac:dyDescent="0.25">
      <c r="A14" s="28" t="s">
        <v>155</v>
      </c>
      <c r="B14" s="113">
        <f>'Výdaje '!F12</f>
        <v>164449</v>
      </c>
      <c r="C14" s="30">
        <f>'Výdaje '!G12</f>
        <v>204626</v>
      </c>
      <c r="D14" s="30">
        <f>'Výdaje '!H12</f>
        <v>82534</v>
      </c>
      <c r="E14" s="233">
        <f t="shared" ref="E14:E42" si="0">D14/C14*100</f>
        <v>40.334072893962642</v>
      </c>
      <c r="F14" s="29"/>
      <c r="G14" s="113">
        <v>35978</v>
      </c>
      <c r="H14" s="113"/>
      <c r="I14" s="113">
        <v>16724</v>
      </c>
      <c r="J14" s="30">
        <f>G14-H14</f>
        <v>35978</v>
      </c>
      <c r="K14" s="31">
        <f>I14/G14*100</f>
        <v>46.483962421479788</v>
      </c>
      <c r="L14" s="29"/>
      <c r="M14" s="30">
        <v>5049</v>
      </c>
      <c r="N14" s="234"/>
      <c r="O14" s="30">
        <v>5049</v>
      </c>
      <c r="P14" s="31">
        <f t="shared" ref="P14:P17" si="1">O14/M14*100</f>
        <v>100</v>
      </c>
      <c r="Q14" s="113">
        <f>B14-F14-L14</f>
        <v>164449</v>
      </c>
      <c r="R14" s="30">
        <f t="shared" ref="R14:R42" si="2">C14-G14-M14</f>
        <v>163599</v>
      </c>
      <c r="S14" s="30">
        <f t="shared" ref="S14:S15" si="3">D14-I14-O14</f>
        <v>60761</v>
      </c>
      <c r="T14" s="31">
        <f t="shared" ref="T14:T42" si="4">S14/R14*100</f>
        <v>37.140202568475353</v>
      </c>
      <c r="V14" s="222">
        <v>38139926.380000003</v>
      </c>
      <c r="W14" s="222">
        <f>V14/1000-S14</f>
        <v>-22621.073619999996</v>
      </c>
    </row>
    <row r="15" spans="1:23" ht="17.100000000000001" customHeight="1" x14ac:dyDescent="0.25">
      <c r="A15" s="20" t="s">
        <v>156</v>
      </c>
      <c r="B15" s="114">
        <f>'Výdaje '!F13</f>
        <v>13940</v>
      </c>
      <c r="C15" s="22">
        <f>'Výdaje '!G13</f>
        <v>22809</v>
      </c>
      <c r="D15" s="22">
        <f>'Výdaje '!H13</f>
        <v>15618</v>
      </c>
      <c r="E15" s="235">
        <f t="shared" si="0"/>
        <v>68.472971195580683</v>
      </c>
      <c r="F15" s="21"/>
      <c r="G15" s="114">
        <v>5850</v>
      </c>
      <c r="H15" s="114"/>
      <c r="I15" s="114">
        <v>1998</v>
      </c>
      <c r="J15" s="22">
        <f>G15-H15</f>
        <v>5850</v>
      </c>
      <c r="K15" s="23">
        <f t="shared" ref="K15:K42" si="5">I15/G15*100</f>
        <v>34.153846153846153</v>
      </c>
      <c r="L15" s="21"/>
      <c r="M15" s="236">
        <v>5541</v>
      </c>
      <c r="N15" s="237"/>
      <c r="O15" s="22">
        <v>5541</v>
      </c>
      <c r="P15" s="23">
        <f>O15/M15*100</f>
        <v>100</v>
      </c>
      <c r="Q15" s="114">
        <f t="shared" ref="Q15:Q41" si="6">B15-F15-L15</f>
        <v>13940</v>
      </c>
      <c r="R15" s="22">
        <f t="shared" si="2"/>
        <v>11418</v>
      </c>
      <c r="S15" s="22">
        <f t="shared" si="3"/>
        <v>8079</v>
      </c>
      <c r="T15" s="23">
        <f t="shared" si="4"/>
        <v>70.756699947451395</v>
      </c>
      <c r="V15" s="222">
        <v>17153693.399999999</v>
      </c>
      <c r="W15" s="222">
        <f t="shared" ref="W15:W43" si="7">V15/1000-S15</f>
        <v>9074.6934000000001</v>
      </c>
    </row>
    <row r="16" spans="1:23" ht="17.100000000000001" customHeight="1" x14ac:dyDescent="0.25">
      <c r="A16" s="20" t="s">
        <v>157</v>
      </c>
      <c r="B16" s="114">
        <f>'Výdaje '!F14</f>
        <v>62803</v>
      </c>
      <c r="C16" s="22">
        <f>'Výdaje '!G14</f>
        <v>75190</v>
      </c>
      <c r="D16" s="22">
        <f>'Výdaje '!H14</f>
        <v>34242</v>
      </c>
      <c r="E16" s="235">
        <f t="shared" si="0"/>
        <v>45.540630402979119</v>
      </c>
      <c r="F16" s="21"/>
      <c r="G16" s="114">
        <v>33515</v>
      </c>
      <c r="H16" s="114"/>
      <c r="I16" s="114">
        <v>1462</v>
      </c>
      <c r="J16" s="72">
        <f t="shared" ref="J16:J42" si="8">G16-H16</f>
        <v>33515</v>
      </c>
      <c r="K16" s="23">
        <f t="shared" si="5"/>
        <v>4.3622258690138738</v>
      </c>
      <c r="L16" s="21"/>
      <c r="M16" s="22">
        <v>12935</v>
      </c>
      <c r="N16" s="238"/>
      <c r="O16" s="22">
        <v>12235</v>
      </c>
      <c r="P16" s="23">
        <f t="shared" si="1"/>
        <v>94.588326246617697</v>
      </c>
      <c r="Q16" s="114">
        <f t="shared" si="6"/>
        <v>62803</v>
      </c>
      <c r="R16" s="22">
        <f t="shared" si="2"/>
        <v>28740</v>
      </c>
      <c r="S16" s="22">
        <f>D16-I16-O16</f>
        <v>20545</v>
      </c>
      <c r="T16" s="23">
        <f>S16/R16*100</f>
        <v>71.485734168406395</v>
      </c>
      <c r="V16" s="222">
        <v>18728547.27</v>
      </c>
      <c r="W16" s="222">
        <f t="shared" si="7"/>
        <v>-1816.4527300000009</v>
      </c>
    </row>
    <row r="17" spans="1:23" ht="17.100000000000001" customHeight="1" x14ac:dyDescent="0.25">
      <c r="A17" s="20" t="s">
        <v>158</v>
      </c>
      <c r="B17" s="114">
        <f>'Výdaje '!F15</f>
        <v>24700</v>
      </c>
      <c r="C17" s="22">
        <f>'Výdaje '!G15</f>
        <v>54415</v>
      </c>
      <c r="D17" s="22">
        <f>'Výdaje '!H15</f>
        <v>41662</v>
      </c>
      <c r="E17" s="235">
        <f t="shared" si="0"/>
        <v>76.563447578792605</v>
      </c>
      <c r="F17" s="21"/>
      <c r="G17" s="114">
        <v>12150</v>
      </c>
      <c r="H17" s="114"/>
      <c r="I17" s="114">
        <v>12150</v>
      </c>
      <c r="J17" s="72">
        <f t="shared" si="8"/>
        <v>12150</v>
      </c>
      <c r="K17" s="23">
        <f t="shared" si="5"/>
        <v>100</v>
      </c>
      <c r="L17" s="21"/>
      <c r="M17" s="22">
        <v>3742</v>
      </c>
      <c r="N17" s="238"/>
      <c r="O17" s="22">
        <v>3742</v>
      </c>
      <c r="P17" s="23">
        <f t="shared" si="1"/>
        <v>100</v>
      </c>
      <c r="Q17" s="114">
        <f t="shared" si="6"/>
        <v>24700</v>
      </c>
      <c r="R17" s="22">
        <f t="shared" si="2"/>
        <v>38523</v>
      </c>
      <c r="S17" s="22">
        <f t="shared" ref="S17:S42" si="9">D17-I17-O17</f>
        <v>25770</v>
      </c>
      <c r="T17" s="23">
        <f t="shared" si="4"/>
        <v>66.89510162759909</v>
      </c>
      <c r="V17" s="222">
        <v>78097121.370000005</v>
      </c>
      <c r="W17" s="222">
        <f t="shared" si="7"/>
        <v>52327.121370000008</v>
      </c>
    </row>
    <row r="18" spans="1:23" ht="17.100000000000001" customHeight="1" x14ac:dyDescent="0.25">
      <c r="A18" s="20" t="s">
        <v>159</v>
      </c>
      <c r="B18" s="114">
        <f>'Výdaje '!F16</f>
        <v>18354</v>
      </c>
      <c r="C18" s="22">
        <f>'Výdaje '!G16</f>
        <v>61844</v>
      </c>
      <c r="D18" s="22">
        <f>'Výdaje '!H16</f>
        <v>53383</v>
      </c>
      <c r="E18" s="235">
        <f t="shared" si="0"/>
        <v>86.318802147338474</v>
      </c>
      <c r="F18" s="21"/>
      <c r="G18" s="114">
        <v>25415</v>
      </c>
      <c r="H18" s="114"/>
      <c r="I18" s="114">
        <v>17177</v>
      </c>
      <c r="J18" s="72">
        <f t="shared" si="8"/>
        <v>25415</v>
      </c>
      <c r="K18" s="23">
        <f t="shared" si="5"/>
        <v>67.586071217784777</v>
      </c>
      <c r="L18" s="21"/>
      <c r="M18" s="22"/>
      <c r="N18" s="238"/>
      <c r="O18" s="22"/>
      <c r="P18" s="23"/>
      <c r="Q18" s="114">
        <f t="shared" si="6"/>
        <v>18354</v>
      </c>
      <c r="R18" s="22">
        <f t="shared" si="2"/>
        <v>36429</v>
      </c>
      <c r="S18" s="22">
        <f t="shared" si="9"/>
        <v>36206</v>
      </c>
      <c r="T18" s="23">
        <f t="shared" si="4"/>
        <v>99.387850339015614</v>
      </c>
      <c r="V18" s="222">
        <v>3262926.6</v>
      </c>
      <c r="W18" s="222">
        <f t="shared" si="7"/>
        <v>-32943.073400000001</v>
      </c>
    </row>
    <row r="19" spans="1:23" ht="17.100000000000001" customHeight="1" x14ac:dyDescent="0.25">
      <c r="A19" s="20" t="s">
        <v>160</v>
      </c>
      <c r="B19" s="114">
        <f>'Výdaje '!F17</f>
        <v>160</v>
      </c>
      <c r="C19" s="22">
        <f>'Výdaje '!G17</f>
        <v>1430</v>
      </c>
      <c r="D19" s="22">
        <f>'Výdaje '!H17</f>
        <v>1356</v>
      </c>
      <c r="E19" s="235">
        <f t="shared" si="0"/>
        <v>94.825174825174827</v>
      </c>
      <c r="F19" s="21"/>
      <c r="G19" s="114">
        <v>450</v>
      </c>
      <c r="H19" s="114"/>
      <c r="I19" s="114">
        <v>450</v>
      </c>
      <c r="J19" s="72">
        <f t="shared" si="8"/>
        <v>450</v>
      </c>
      <c r="K19" s="23">
        <f t="shared" si="5"/>
        <v>100</v>
      </c>
      <c r="L19" s="21"/>
      <c r="M19" s="22"/>
      <c r="N19" s="239"/>
      <c r="O19" s="22"/>
      <c r="P19" s="23"/>
      <c r="Q19" s="114">
        <f t="shared" si="6"/>
        <v>160</v>
      </c>
      <c r="R19" s="22">
        <f t="shared" si="2"/>
        <v>980</v>
      </c>
      <c r="S19" s="22">
        <f t="shared" si="9"/>
        <v>906</v>
      </c>
      <c r="T19" s="23">
        <f t="shared" si="4"/>
        <v>92.448979591836732</v>
      </c>
      <c r="V19" s="222">
        <v>695282</v>
      </c>
      <c r="W19" s="222">
        <f t="shared" si="7"/>
        <v>-210.71799999999996</v>
      </c>
    </row>
    <row r="20" spans="1:23" ht="17.100000000000001" customHeight="1" x14ac:dyDescent="0.25">
      <c r="A20" s="20" t="s">
        <v>161</v>
      </c>
      <c r="B20" s="114">
        <f>'Výdaje '!F18</f>
        <v>21000</v>
      </c>
      <c r="C20" s="22">
        <f>'Výdaje '!G18</f>
        <v>42133</v>
      </c>
      <c r="D20" s="22">
        <f>'Výdaje '!H18</f>
        <v>15876</v>
      </c>
      <c r="E20" s="235">
        <f t="shared" si="0"/>
        <v>37.680677853464026</v>
      </c>
      <c r="F20" s="21"/>
      <c r="G20" s="114">
        <v>15430</v>
      </c>
      <c r="H20" s="114"/>
      <c r="I20" s="114">
        <v>9449</v>
      </c>
      <c r="J20" s="72">
        <f t="shared" si="8"/>
        <v>15430</v>
      </c>
      <c r="K20" s="23">
        <f t="shared" si="5"/>
        <v>61.237848347375248</v>
      </c>
      <c r="L20" s="21"/>
      <c r="M20" s="22">
        <v>1380</v>
      </c>
      <c r="N20" s="238"/>
      <c r="O20" s="22">
        <v>30</v>
      </c>
      <c r="P20" s="23">
        <f>O20/M20*100</f>
        <v>2.1739130434782608</v>
      </c>
      <c r="Q20" s="114">
        <f t="shared" si="6"/>
        <v>21000</v>
      </c>
      <c r="R20" s="22">
        <f t="shared" si="2"/>
        <v>25323</v>
      </c>
      <c r="S20" s="22">
        <f t="shared" si="9"/>
        <v>6397</v>
      </c>
      <c r="T20" s="23">
        <f t="shared" si="4"/>
        <v>25.261619871263282</v>
      </c>
      <c r="V20" s="222">
        <v>3508496.2</v>
      </c>
      <c r="W20" s="222">
        <f t="shared" si="7"/>
        <v>-2888.5038</v>
      </c>
    </row>
    <row r="21" spans="1:23" ht="17.100000000000001" customHeight="1" x14ac:dyDescent="0.25">
      <c r="A21" s="20" t="s">
        <v>162</v>
      </c>
      <c r="B21" s="114">
        <f>'Výdaje '!F19</f>
        <v>40719</v>
      </c>
      <c r="C21" s="22">
        <f>'Výdaje '!G19</f>
        <v>211846</v>
      </c>
      <c r="D21" s="22">
        <f>'Výdaje '!H19</f>
        <v>26733</v>
      </c>
      <c r="E21" s="235">
        <f t="shared" si="0"/>
        <v>12.619072345005334</v>
      </c>
      <c r="F21" s="21"/>
      <c r="G21" s="114">
        <v>9450</v>
      </c>
      <c r="H21" s="114"/>
      <c r="I21" s="114">
        <v>2650</v>
      </c>
      <c r="J21" s="72">
        <f t="shared" si="8"/>
        <v>9450</v>
      </c>
      <c r="K21" s="23">
        <f t="shared" si="5"/>
        <v>28.042328042328041</v>
      </c>
      <c r="L21" s="21"/>
      <c r="M21" s="22">
        <v>2037</v>
      </c>
      <c r="N21" s="238"/>
      <c r="O21" s="22">
        <v>2020</v>
      </c>
      <c r="P21" s="23">
        <f>O21/M21*100</f>
        <v>99.165439371624942</v>
      </c>
      <c r="Q21" s="114">
        <f t="shared" si="6"/>
        <v>40719</v>
      </c>
      <c r="R21" s="22">
        <f t="shared" si="2"/>
        <v>200359</v>
      </c>
      <c r="S21" s="22">
        <f t="shared" si="9"/>
        <v>22063</v>
      </c>
      <c r="T21" s="23">
        <f t="shared" si="4"/>
        <v>11.01173393758204</v>
      </c>
      <c r="V21" s="222">
        <v>61071384.899999999</v>
      </c>
      <c r="W21" s="222">
        <f t="shared" si="7"/>
        <v>39008.384899999997</v>
      </c>
    </row>
    <row r="22" spans="1:23" ht="17.100000000000001" customHeight="1" x14ac:dyDescent="0.25">
      <c r="A22" s="20" t="s">
        <v>163</v>
      </c>
      <c r="B22" s="114">
        <f>'Výdaje '!F20</f>
        <v>3836</v>
      </c>
      <c r="C22" s="22">
        <f>'Výdaje '!G20</f>
        <v>5702</v>
      </c>
      <c r="D22" s="22">
        <f>'Výdaje '!H20</f>
        <v>698</v>
      </c>
      <c r="E22" s="235">
        <f t="shared" si="0"/>
        <v>12.241318835496317</v>
      </c>
      <c r="F22" s="21"/>
      <c r="G22" s="114">
        <v>1000</v>
      </c>
      <c r="H22" s="114"/>
      <c r="I22" s="114"/>
      <c r="J22" s="72">
        <f t="shared" si="8"/>
        <v>1000</v>
      </c>
      <c r="K22" s="23"/>
      <c r="L22" s="21"/>
      <c r="M22" s="22"/>
      <c r="N22" s="238"/>
      <c r="O22" s="22"/>
      <c r="P22" s="23"/>
      <c r="Q22" s="114">
        <f t="shared" si="6"/>
        <v>3836</v>
      </c>
      <c r="R22" s="22">
        <f t="shared" si="2"/>
        <v>4702</v>
      </c>
      <c r="S22" s="22">
        <f t="shared" si="9"/>
        <v>698</v>
      </c>
      <c r="T22" s="23">
        <f t="shared" si="4"/>
        <v>14.844746916205869</v>
      </c>
      <c r="V22" s="222">
        <v>4484702.3</v>
      </c>
      <c r="W22" s="222">
        <f t="shared" si="7"/>
        <v>3786.7022999999999</v>
      </c>
    </row>
    <row r="23" spans="1:23" ht="17.100000000000001" customHeight="1" x14ac:dyDescent="0.25">
      <c r="A23" s="20" t="s">
        <v>164</v>
      </c>
      <c r="B23" s="114">
        <f>'Výdaje '!F21</f>
        <v>1081</v>
      </c>
      <c r="C23" s="22">
        <f>'Výdaje '!G21</f>
        <v>13888</v>
      </c>
      <c r="D23" s="22">
        <f>'Výdaje '!H21</f>
        <v>2869</v>
      </c>
      <c r="E23" s="235">
        <f t="shared" si="0"/>
        <v>20.658122119815669</v>
      </c>
      <c r="F23" s="21"/>
      <c r="G23" s="114">
        <v>10420</v>
      </c>
      <c r="H23" s="114"/>
      <c r="I23" s="114">
        <v>2191</v>
      </c>
      <c r="J23" s="72">
        <f t="shared" si="8"/>
        <v>10420</v>
      </c>
      <c r="K23" s="64">
        <f t="shared" si="5"/>
        <v>21.026871401151631</v>
      </c>
      <c r="L23" s="21"/>
      <c r="M23" s="22"/>
      <c r="N23" s="238"/>
      <c r="O23" s="22"/>
      <c r="P23" s="23"/>
      <c r="Q23" s="114">
        <f t="shared" si="6"/>
        <v>1081</v>
      </c>
      <c r="R23" s="22">
        <f t="shared" si="2"/>
        <v>3468</v>
      </c>
      <c r="S23" s="22">
        <f t="shared" si="9"/>
        <v>678</v>
      </c>
      <c r="T23" s="23">
        <f t="shared" si="4"/>
        <v>19.550173010380622</v>
      </c>
      <c r="V23" s="222">
        <v>1405062</v>
      </c>
      <c r="W23" s="222">
        <f t="shared" si="7"/>
        <v>727.0619999999999</v>
      </c>
    </row>
    <row r="24" spans="1:23" ht="17.100000000000001" customHeight="1" x14ac:dyDescent="0.25">
      <c r="A24" s="20" t="s">
        <v>165</v>
      </c>
      <c r="B24" s="114">
        <f>'Výdaje '!F22</f>
        <v>6300</v>
      </c>
      <c r="C24" s="22">
        <f>'Výdaje '!G22</f>
        <v>8495</v>
      </c>
      <c r="D24" s="22">
        <f>'Výdaje '!H22</f>
        <v>5662</v>
      </c>
      <c r="E24" s="235">
        <f t="shared" si="0"/>
        <v>66.650971159505588</v>
      </c>
      <c r="F24" s="21"/>
      <c r="G24" s="114">
        <v>4114</v>
      </c>
      <c r="H24" s="114"/>
      <c r="I24" s="114">
        <v>3159</v>
      </c>
      <c r="J24" s="72">
        <f t="shared" si="8"/>
        <v>4114</v>
      </c>
      <c r="K24" s="64">
        <f t="shared" si="5"/>
        <v>76.786582401555663</v>
      </c>
      <c r="L24" s="21"/>
      <c r="M24" s="22">
        <v>90</v>
      </c>
      <c r="N24" s="238"/>
      <c r="O24" s="63">
        <v>90</v>
      </c>
      <c r="P24" s="23">
        <f>O24/M24*100</f>
        <v>100</v>
      </c>
      <c r="Q24" s="114">
        <f t="shared" si="6"/>
        <v>6300</v>
      </c>
      <c r="R24" s="22">
        <f t="shared" si="2"/>
        <v>4291</v>
      </c>
      <c r="S24" s="22">
        <f t="shared" si="9"/>
        <v>2413</v>
      </c>
      <c r="T24" s="23">
        <f t="shared" si="4"/>
        <v>56.233978093684456</v>
      </c>
      <c r="V24" s="222">
        <v>3605999</v>
      </c>
      <c r="W24" s="222">
        <f t="shared" si="7"/>
        <v>1192.9989999999998</v>
      </c>
    </row>
    <row r="25" spans="1:23" ht="17.100000000000001" customHeight="1" x14ac:dyDescent="0.25">
      <c r="A25" s="20" t="s">
        <v>166</v>
      </c>
      <c r="B25" s="114">
        <f>'Výdaje '!F23</f>
        <v>320</v>
      </c>
      <c r="C25" s="22">
        <f>'Výdaje '!G23</f>
        <v>38436</v>
      </c>
      <c r="D25" s="22">
        <f>'Výdaje '!H23</f>
        <v>15102</v>
      </c>
      <c r="E25" s="235">
        <f t="shared" si="0"/>
        <v>39.29128941617234</v>
      </c>
      <c r="F25" s="21"/>
      <c r="G25" s="114">
        <v>36680</v>
      </c>
      <c r="H25" s="114"/>
      <c r="I25" s="114">
        <v>14720</v>
      </c>
      <c r="J25" s="72">
        <f t="shared" si="8"/>
        <v>36680</v>
      </c>
      <c r="K25" s="64">
        <f t="shared" si="5"/>
        <v>40.130861504907308</v>
      </c>
      <c r="L25" s="21"/>
      <c r="M25" s="22"/>
      <c r="N25" s="238"/>
      <c r="O25" s="22"/>
      <c r="P25" s="23"/>
      <c r="Q25" s="114">
        <f t="shared" si="6"/>
        <v>320</v>
      </c>
      <c r="R25" s="22">
        <f t="shared" si="2"/>
        <v>1756</v>
      </c>
      <c r="S25" s="22">
        <f t="shared" si="9"/>
        <v>382</v>
      </c>
      <c r="T25" s="23">
        <f t="shared" si="4"/>
        <v>21.753986332574033</v>
      </c>
      <c r="V25" s="222">
        <v>1108541</v>
      </c>
      <c r="W25" s="222">
        <f t="shared" si="7"/>
        <v>726.54099999999994</v>
      </c>
    </row>
    <row r="26" spans="1:23" ht="17.100000000000001" customHeight="1" x14ac:dyDescent="0.25">
      <c r="A26" s="20" t="s">
        <v>167</v>
      </c>
      <c r="B26" s="114">
        <f>'Výdaje '!F24</f>
        <v>155488</v>
      </c>
      <c r="C26" s="22">
        <f>'Výdaje '!G24</f>
        <v>325533</v>
      </c>
      <c r="D26" s="22">
        <f>'Výdaje '!H24</f>
        <v>139611</v>
      </c>
      <c r="E26" s="235">
        <f t="shared" si="0"/>
        <v>42.886896259365408</v>
      </c>
      <c r="F26" s="21"/>
      <c r="G26" s="114">
        <v>81989</v>
      </c>
      <c r="H26" s="114"/>
      <c r="I26" s="114">
        <v>32122</v>
      </c>
      <c r="J26" s="72">
        <f t="shared" si="8"/>
        <v>81989</v>
      </c>
      <c r="K26" s="64">
        <f t="shared" si="5"/>
        <v>39.178426374269719</v>
      </c>
      <c r="L26" s="21"/>
      <c r="M26" s="22">
        <v>750</v>
      </c>
      <c r="N26" s="238"/>
      <c r="O26" s="22"/>
      <c r="P26" s="23"/>
      <c r="Q26" s="114">
        <f t="shared" si="6"/>
        <v>155488</v>
      </c>
      <c r="R26" s="22">
        <f t="shared" si="2"/>
        <v>242794</v>
      </c>
      <c r="S26" s="22">
        <f t="shared" si="9"/>
        <v>107489</v>
      </c>
      <c r="T26" s="23">
        <f t="shared" si="4"/>
        <v>44.271687109236638</v>
      </c>
      <c r="V26" s="222">
        <v>43017780.359999999</v>
      </c>
      <c r="W26" s="222">
        <f t="shared" si="7"/>
        <v>-64471.219640000003</v>
      </c>
    </row>
    <row r="27" spans="1:23" ht="17.100000000000001" customHeight="1" x14ac:dyDescent="0.25">
      <c r="A27" s="20" t="s">
        <v>168</v>
      </c>
      <c r="B27" s="114">
        <f>'Výdaje '!F25</f>
        <v>4020</v>
      </c>
      <c r="C27" s="22">
        <f>'Výdaje '!G25</f>
        <v>35100</v>
      </c>
      <c r="D27" s="22">
        <f>'Výdaje '!H25</f>
        <v>10128</v>
      </c>
      <c r="E27" s="235">
        <f t="shared" si="0"/>
        <v>28.854700854700855</v>
      </c>
      <c r="F27" s="21"/>
      <c r="G27" s="114">
        <v>31100</v>
      </c>
      <c r="H27" s="114"/>
      <c r="I27" s="114">
        <v>8832</v>
      </c>
      <c r="J27" s="72">
        <f t="shared" si="8"/>
        <v>31100</v>
      </c>
      <c r="K27" s="64">
        <f t="shared" si="5"/>
        <v>28.39871382636656</v>
      </c>
      <c r="L27" s="21"/>
      <c r="M27" s="22"/>
      <c r="N27" s="238"/>
      <c r="O27" s="63"/>
      <c r="P27" s="23"/>
      <c r="Q27" s="114">
        <f t="shared" si="6"/>
        <v>4020</v>
      </c>
      <c r="R27" s="22">
        <f t="shared" si="2"/>
        <v>4000</v>
      </c>
      <c r="S27" s="22">
        <f t="shared" si="9"/>
        <v>1296</v>
      </c>
      <c r="T27" s="23">
        <f t="shared" si="4"/>
        <v>32.4</v>
      </c>
      <c r="V27" s="222">
        <v>9369465.9000000004</v>
      </c>
      <c r="W27" s="222">
        <f t="shared" si="7"/>
        <v>8073.4659000000011</v>
      </c>
    </row>
    <row r="28" spans="1:23" ht="17.100000000000001" customHeight="1" x14ac:dyDescent="0.25">
      <c r="A28" s="20" t="s">
        <v>169</v>
      </c>
      <c r="B28" s="114">
        <f>'Výdaje '!F26</f>
        <v>7530</v>
      </c>
      <c r="C28" s="22">
        <f>'Výdaje '!G26</f>
        <v>50308</v>
      </c>
      <c r="D28" s="22">
        <f>'Výdaje '!H26</f>
        <v>21814</v>
      </c>
      <c r="E28" s="235">
        <f t="shared" si="0"/>
        <v>43.360896875248464</v>
      </c>
      <c r="F28" s="21"/>
      <c r="G28" s="114">
        <v>20256</v>
      </c>
      <c r="H28" s="114"/>
      <c r="I28" s="114">
        <v>7354</v>
      </c>
      <c r="J28" s="72">
        <f t="shared" si="8"/>
        <v>20256</v>
      </c>
      <c r="K28" s="64">
        <f t="shared" si="5"/>
        <v>36.305292259083728</v>
      </c>
      <c r="L28" s="21"/>
      <c r="M28" s="22">
        <v>3708</v>
      </c>
      <c r="N28" s="238"/>
      <c r="O28" s="63">
        <v>3308</v>
      </c>
      <c r="P28" s="23">
        <f>O28/M28*100</f>
        <v>89.212513484358141</v>
      </c>
      <c r="Q28" s="114">
        <f t="shared" si="6"/>
        <v>7530</v>
      </c>
      <c r="R28" s="22">
        <f t="shared" si="2"/>
        <v>26344</v>
      </c>
      <c r="S28" s="22">
        <f t="shared" si="9"/>
        <v>11152</v>
      </c>
      <c r="T28" s="23">
        <f t="shared" si="4"/>
        <v>42.332219860309749</v>
      </c>
      <c r="V28" s="222">
        <v>36281168.600000001</v>
      </c>
      <c r="W28" s="222">
        <f>V28/1000-S28</f>
        <v>25129.168600000005</v>
      </c>
    </row>
    <row r="29" spans="1:23" ht="17.100000000000001" customHeight="1" x14ac:dyDescent="0.25">
      <c r="A29" s="20" t="s">
        <v>170</v>
      </c>
      <c r="B29" s="114">
        <f>'Výdaje '!F27</f>
        <v>36591</v>
      </c>
      <c r="C29" s="22">
        <f>'Výdaje '!G27</f>
        <v>58003</v>
      </c>
      <c r="D29" s="22">
        <f>'Výdaje '!H27</f>
        <v>33977</v>
      </c>
      <c r="E29" s="235">
        <f t="shared" si="0"/>
        <v>58.578004585969687</v>
      </c>
      <c r="F29" s="21"/>
      <c r="G29" s="114">
        <v>12680</v>
      </c>
      <c r="H29" s="114"/>
      <c r="I29" s="114">
        <v>9103</v>
      </c>
      <c r="J29" s="72">
        <f t="shared" si="8"/>
        <v>12680</v>
      </c>
      <c r="K29" s="64">
        <f t="shared" si="5"/>
        <v>71.790220820189276</v>
      </c>
      <c r="L29" s="21"/>
      <c r="M29" s="22"/>
      <c r="N29" s="238"/>
      <c r="O29" s="63"/>
      <c r="P29" s="23"/>
      <c r="Q29" s="114">
        <f t="shared" si="6"/>
        <v>36591</v>
      </c>
      <c r="R29" s="22">
        <f t="shared" si="2"/>
        <v>45323</v>
      </c>
      <c r="S29" s="22">
        <f t="shared" si="9"/>
        <v>24874</v>
      </c>
      <c r="T29" s="23">
        <f t="shared" si="4"/>
        <v>54.881627429781787</v>
      </c>
      <c r="V29" s="222">
        <v>25088573.020000003</v>
      </c>
      <c r="W29" s="222">
        <f t="shared" si="7"/>
        <v>214.57302000000345</v>
      </c>
    </row>
    <row r="30" spans="1:23" ht="17.100000000000001" customHeight="1" x14ac:dyDescent="0.25">
      <c r="A30" s="20" t="s">
        <v>171</v>
      </c>
      <c r="B30" s="114">
        <f>'Výdaje '!F28</f>
        <v>13080</v>
      </c>
      <c r="C30" s="22">
        <f>'Výdaje '!G28</f>
        <v>79788</v>
      </c>
      <c r="D30" s="22">
        <f>'Výdaje '!H28</f>
        <v>33427</v>
      </c>
      <c r="E30" s="235">
        <f t="shared" si="0"/>
        <v>41.894771143530356</v>
      </c>
      <c r="F30" s="21"/>
      <c r="G30" s="114">
        <v>24912</v>
      </c>
      <c r="H30" s="114"/>
      <c r="I30" s="114">
        <v>19052</v>
      </c>
      <c r="J30" s="72">
        <f t="shared" si="8"/>
        <v>24912</v>
      </c>
      <c r="K30" s="64">
        <f t="shared" si="5"/>
        <v>76.477199743095696</v>
      </c>
      <c r="L30" s="21"/>
      <c r="M30" s="22"/>
      <c r="N30" s="238"/>
      <c r="O30" s="63"/>
      <c r="P30" s="23"/>
      <c r="Q30" s="114">
        <f t="shared" si="6"/>
        <v>13080</v>
      </c>
      <c r="R30" s="22">
        <f t="shared" si="2"/>
        <v>54876</v>
      </c>
      <c r="S30" s="22">
        <f t="shared" si="9"/>
        <v>14375</v>
      </c>
      <c r="T30" s="23">
        <f t="shared" si="4"/>
        <v>26.195422406880969</v>
      </c>
      <c r="V30" s="222">
        <v>3112519.8</v>
      </c>
      <c r="W30" s="222">
        <f t="shared" si="7"/>
        <v>-11262.4802</v>
      </c>
    </row>
    <row r="31" spans="1:23" ht="17.100000000000001" customHeight="1" x14ac:dyDescent="0.25">
      <c r="A31" s="20" t="s">
        <v>172</v>
      </c>
      <c r="B31" s="114">
        <f>'Výdaje '!F29</f>
        <v>9000</v>
      </c>
      <c r="C31" s="22">
        <f>'Výdaje '!G29</f>
        <v>10441</v>
      </c>
      <c r="D31" s="22">
        <f>'Výdaje '!H29</f>
        <v>6360</v>
      </c>
      <c r="E31" s="235">
        <f t="shared" si="0"/>
        <v>60.913705583756354</v>
      </c>
      <c r="F31" s="21"/>
      <c r="G31" s="114">
        <v>660</v>
      </c>
      <c r="H31" s="114"/>
      <c r="I31" s="114">
        <v>660</v>
      </c>
      <c r="J31" s="72">
        <f t="shared" si="8"/>
        <v>660</v>
      </c>
      <c r="K31" s="64">
        <f t="shared" si="5"/>
        <v>100</v>
      </c>
      <c r="L31" s="21"/>
      <c r="M31" s="22">
        <v>270</v>
      </c>
      <c r="N31" s="238"/>
      <c r="O31" s="63">
        <v>270</v>
      </c>
      <c r="P31" s="23">
        <f>O31/M31*100</f>
        <v>100</v>
      </c>
      <c r="Q31" s="114">
        <f t="shared" si="6"/>
        <v>9000</v>
      </c>
      <c r="R31" s="22">
        <f t="shared" si="2"/>
        <v>9511</v>
      </c>
      <c r="S31" s="22">
        <f t="shared" si="9"/>
        <v>5430</v>
      </c>
      <c r="T31" s="23">
        <f t="shared" si="4"/>
        <v>57.091788455472617</v>
      </c>
      <c r="V31" s="222">
        <v>46417757.020000003</v>
      </c>
      <c r="W31" s="222">
        <f t="shared" si="7"/>
        <v>40987.757020000005</v>
      </c>
    </row>
    <row r="32" spans="1:23" ht="17.100000000000001" customHeight="1" x14ac:dyDescent="0.25">
      <c r="A32" s="20" t="s">
        <v>173</v>
      </c>
      <c r="B32" s="114">
        <f>'Výdaje '!F30</f>
        <v>78789</v>
      </c>
      <c r="C32" s="22">
        <f>'Výdaje '!G30</f>
        <v>142768</v>
      </c>
      <c r="D32" s="22">
        <f>'Výdaje '!H30</f>
        <v>78485</v>
      </c>
      <c r="E32" s="235">
        <f t="shared" si="0"/>
        <v>54.97380365347977</v>
      </c>
      <c r="F32" s="21"/>
      <c r="G32" s="114">
        <v>38923</v>
      </c>
      <c r="H32" s="114"/>
      <c r="I32" s="114">
        <v>13208</v>
      </c>
      <c r="J32" s="72">
        <f t="shared" si="8"/>
        <v>38923</v>
      </c>
      <c r="K32" s="64">
        <f t="shared" si="5"/>
        <v>33.933663900521545</v>
      </c>
      <c r="L32" s="21"/>
      <c r="M32" s="22">
        <f>1850+7709</f>
        <v>9559</v>
      </c>
      <c r="N32" s="238"/>
      <c r="O32" s="63">
        <v>7709</v>
      </c>
      <c r="P32" s="23">
        <f t="shared" ref="P32:P33" si="10">O32/M32*100</f>
        <v>80.64651114133278</v>
      </c>
      <c r="Q32" s="114">
        <f t="shared" si="6"/>
        <v>78789</v>
      </c>
      <c r="R32" s="22">
        <f t="shared" si="2"/>
        <v>94286</v>
      </c>
      <c r="S32" s="22">
        <f t="shared" si="9"/>
        <v>57568</v>
      </c>
      <c r="T32" s="23">
        <f t="shared" si="4"/>
        <v>61.056784676410068</v>
      </c>
      <c r="V32" s="222">
        <v>50156597</v>
      </c>
      <c r="W32" s="222">
        <f t="shared" si="7"/>
        <v>-7411.4029999999984</v>
      </c>
    </row>
    <row r="33" spans="1:23" ht="17.100000000000001" customHeight="1" x14ac:dyDescent="0.25">
      <c r="A33" s="20" t="s">
        <v>174</v>
      </c>
      <c r="B33" s="114">
        <f>'Výdaje '!F31</f>
        <v>1980</v>
      </c>
      <c r="C33" s="22">
        <f>'Výdaje '!G31</f>
        <v>20097</v>
      </c>
      <c r="D33" s="22">
        <f>'Výdaje '!H31</f>
        <v>15244</v>
      </c>
      <c r="E33" s="235">
        <f t="shared" si="0"/>
        <v>75.85211723142757</v>
      </c>
      <c r="F33" s="21"/>
      <c r="G33" s="114">
        <v>15269</v>
      </c>
      <c r="H33" s="114"/>
      <c r="I33" s="114">
        <v>13788</v>
      </c>
      <c r="J33" s="72">
        <f t="shared" si="8"/>
        <v>15269</v>
      </c>
      <c r="K33" s="64">
        <f t="shared" si="5"/>
        <v>90.30060907721527</v>
      </c>
      <c r="L33" s="21"/>
      <c r="M33" s="22">
        <v>300</v>
      </c>
      <c r="N33" s="238"/>
      <c r="O33" s="63">
        <v>138</v>
      </c>
      <c r="P33" s="23">
        <f t="shared" si="10"/>
        <v>46</v>
      </c>
      <c r="Q33" s="114">
        <f t="shared" si="6"/>
        <v>1980</v>
      </c>
      <c r="R33" s="22">
        <f>C33-G33-M33</f>
        <v>4528</v>
      </c>
      <c r="S33" s="22">
        <f t="shared" si="9"/>
        <v>1318</v>
      </c>
      <c r="T33" s="23">
        <f t="shared" si="4"/>
        <v>29.107773851590107</v>
      </c>
      <c r="V33" s="222">
        <v>11732496.58</v>
      </c>
      <c r="W33" s="222">
        <f t="shared" si="7"/>
        <v>10414.496580000001</v>
      </c>
    </row>
    <row r="34" spans="1:23" ht="17.100000000000001" customHeight="1" x14ac:dyDescent="0.25">
      <c r="A34" s="20" t="s">
        <v>175</v>
      </c>
      <c r="B34" s="114">
        <f>'Výdaje '!F32</f>
        <v>7172</v>
      </c>
      <c r="C34" s="22">
        <f>'Výdaje '!G32</f>
        <v>16812</v>
      </c>
      <c r="D34" s="22">
        <f>'Výdaje '!H32</f>
        <v>12719</v>
      </c>
      <c r="E34" s="235">
        <f t="shared" si="0"/>
        <v>75.65429455151083</v>
      </c>
      <c r="F34" s="21"/>
      <c r="G34" s="114">
        <v>7137</v>
      </c>
      <c r="H34" s="114"/>
      <c r="I34" s="114">
        <v>5871</v>
      </c>
      <c r="J34" s="72">
        <f t="shared" si="8"/>
        <v>7137</v>
      </c>
      <c r="K34" s="64">
        <f t="shared" si="5"/>
        <v>82.261454392601934</v>
      </c>
      <c r="L34" s="21"/>
      <c r="M34" s="22"/>
      <c r="N34" s="238"/>
      <c r="O34" s="63"/>
      <c r="P34" s="23"/>
      <c r="Q34" s="114">
        <f t="shared" si="6"/>
        <v>7172</v>
      </c>
      <c r="R34" s="22">
        <f t="shared" si="2"/>
        <v>9675</v>
      </c>
      <c r="S34" s="22">
        <f t="shared" si="9"/>
        <v>6848</v>
      </c>
      <c r="T34" s="23">
        <f t="shared" si="4"/>
        <v>70.78036175710595</v>
      </c>
      <c r="V34" s="222">
        <v>6261323</v>
      </c>
      <c r="W34" s="222">
        <f t="shared" si="7"/>
        <v>-586.67699999999968</v>
      </c>
    </row>
    <row r="35" spans="1:23" ht="17.100000000000001" customHeight="1" x14ac:dyDescent="0.25">
      <c r="A35" s="20" t="s">
        <v>176</v>
      </c>
      <c r="B35" s="114">
        <f>'Výdaje '!F33</f>
        <v>700</v>
      </c>
      <c r="C35" s="22">
        <f>'Výdaje '!G33</f>
        <v>16724</v>
      </c>
      <c r="D35" s="22">
        <f>'Výdaje '!H33</f>
        <v>7300</v>
      </c>
      <c r="E35" s="235">
        <f t="shared" si="0"/>
        <v>43.649844534800287</v>
      </c>
      <c r="F35" s="21"/>
      <c r="G35" s="114">
        <v>6280</v>
      </c>
      <c r="H35" s="114"/>
      <c r="I35" s="114">
        <v>4964</v>
      </c>
      <c r="J35" s="22">
        <f>G35-H35</f>
        <v>6280</v>
      </c>
      <c r="K35" s="64">
        <f t="shared" si="5"/>
        <v>79.044585987261158</v>
      </c>
      <c r="L35" s="21"/>
      <c r="M35" s="22">
        <v>500</v>
      </c>
      <c r="N35" s="238"/>
      <c r="O35" s="63"/>
      <c r="P35" s="23"/>
      <c r="Q35" s="114">
        <f t="shared" si="6"/>
        <v>700</v>
      </c>
      <c r="R35" s="22">
        <f t="shared" si="2"/>
        <v>9944</v>
      </c>
      <c r="S35" s="22">
        <f t="shared" si="9"/>
        <v>2336</v>
      </c>
      <c r="T35" s="23">
        <f t="shared" si="4"/>
        <v>23.491552695092519</v>
      </c>
      <c r="V35" s="222">
        <v>1011495</v>
      </c>
      <c r="W35" s="222">
        <f t="shared" si="7"/>
        <v>-1324.5050000000001</v>
      </c>
    </row>
    <row r="36" spans="1:23" ht="17.100000000000001" customHeight="1" x14ac:dyDescent="0.25">
      <c r="A36" s="20" t="s">
        <v>177</v>
      </c>
      <c r="B36" s="114">
        <f>'Výdaje '!F34</f>
        <v>81731</v>
      </c>
      <c r="C36" s="22">
        <f>'Výdaje '!G34</f>
        <v>109380</v>
      </c>
      <c r="D36" s="22">
        <f>'Výdaje '!H34</f>
        <v>53673</v>
      </c>
      <c r="E36" s="235">
        <f t="shared" si="0"/>
        <v>49.070213933077348</v>
      </c>
      <c r="F36" s="21"/>
      <c r="G36" s="114">
        <v>15411</v>
      </c>
      <c r="H36" s="114"/>
      <c r="I36" s="114">
        <v>15411</v>
      </c>
      <c r="J36" s="72">
        <f t="shared" si="8"/>
        <v>15411</v>
      </c>
      <c r="K36" s="64">
        <f t="shared" si="5"/>
        <v>100</v>
      </c>
      <c r="L36" s="21"/>
      <c r="M36" s="22">
        <v>1734</v>
      </c>
      <c r="N36" s="238"/>
      <c r="O36" s="63">
        <v>1734</v>
      </c>
      <c r="P36" s="23">
        <f t="shared" ref="P36:P37" si="11">O36/M36*100</f>
        <v>100</v>
      </c>
      <c r="Q36" s="114">
        <f t="shared" si="6"/>
        <v>81731</v>
      </c>
      <c r="R36" s="22">
        <f t="shared" si="2"/>
        <v>92235</v>
      </c>
      <c r="S36" s="22">
        <f t="shared" si="9"/>
        <v>36528</v>
      </c>
      <c r="T36" s="23">
        <f t="shared" si="4"/>
        <v>39.603187510164254</v>
      </c>
      <c r="V36" s="222">
        <v>33001486.210000001</v>
      </c>
      <c r="W36" s="222">
        <f t="shared" si="7"/>
        <v>-3526.5137899999972</v>
      </c>
    </row>
    <row r="37" spans="1:23" ht="17.100000000000001" customHeight="1" x14ac:dyDescent="0.25">
      <c r="A37" s="20" t="s">
        <v>178</v>
      </c>
      <c r="B37" s="114">
        <f>'Výdaje '!F35</f>
        <v>15550</v>
      </c>
      <c r="C37" s="22">
        <f>'Výdaje '!G35</f>
        <v>29807</v>
      </c>
      <c r="D37" s="22">
        <f>'Výdaje '!H35</f>
        <v>20009</v>
      </c>
      <c r="E37" s="235">
        <f t="shared" si="0"/>
        <v>67.128526856107626</v>
      </c>
      <c r="F37" s="21">
        <v>2500</v>
      </c>
      <c r="G37" s="114">
        <v>5690</v>
      </c>
      <c r="H37" s="114"/>
      <c r="I37" s="114">
        <v>5690</v>
      </c>
      <c r="J37" s="72">
        <f t="shared" si="8"/>
        <v>5690</v>
      </c>
      <c r="K37" s="64">
        <f t="shared" si="5"/>
        <v>100</v>
      </c>
      <c r="L37" s="21"/>
      <c r="M37" s="22">
        <v>7886</v>
      </c>
      <c r="N37" s="238"/>
      <c r="O37" s="63">
        <v>7886</v>
      </c>
      <c r="P37" s="23">
        <f t="shared" si="11"/>
        <v>100</v>
      </c>
      <c r="Q37" s="114">
        <f t="shared" si="6"/>
        <v>13050</v>
      </c>
      <c r="R37" s="22">
        <f t="shared" si="2"/>
        <v>16231</v>
      </c>
      <c r="S37" s="22">
        <f t="shared" si="9"/>
        <v>6433</v>
      </c>
      <c r="T37" s="23">
        <f t="shared" si="4"/>
        <v>39.634033639332145</v>
      </c>
      <c r="V37" s="222">
        <v>769704.6</v>
      </c>
      <c r="W37" s="222">
        <f t="shared" si="7"/>
        <v>-5663.2954</v>
      </c>
    </row>
    <row r="38" spans="1:23" ht="17.100000000000001" customHeight="1" x14ac:dyDescent="0.25">
      <c r="A38" s="20" t="s">
        <v>179</v>
      </c>
      <c r="B38" s="114">
        <f>'Výdaje '!F36</f>
        <v>17790</v>
      </c>
      <c r="C38" s="22">
        <f>'Výdaje '!G36</f>
        <v>24467</v>
      </c>
      <c r="D38" s="22">
        <f>'Výdaje '!H36</f>
        <v>17420</v>
      </c>
      <c r="E38" s="235">
        <f>D38/C38*100</f>
        <v>71.19794008256018</v>
      </c>
      <c r="F38" s="21"/>
      <c r="G38" s="114">
        <v>5450</v>
      </c>
      <c r="H38" s="114"/>
      <c r="I38" s="114">
        <v>5450</v>
      </c>
      <c r="J38" s="72">
        <f t="shared" si="8"/>
        <v>5450</v>
      </c>
      <c r="K38" s="64">
        <f t="shared" si="5"/>
        <v>100</v>
      </c>
      <c r="L38" s="21"/>
      <c r="M38" s="22"/>
      <c r="N38" s="238"/>
      <c r="O38" s="63"/>
      <c r="P38" s="23"/>
      <c r="Q38" s="114">
        <f t="shared" si="6"/>
        <v>17790</v>
      </c>
      <c r="R38" s="22">
        <f t="shared" si="2"/>
        <v>19017</v>
      </c>
      <c r="S38" s="22">
        <f t="shared" si="9"/>
        <v>11970</v>
      </c>
      <c r="T38" s="23">
        <f t="shared" si="4"/>
        <v>62.943681968764785</v>
      </c>
      <c r="V38" s="222">
        <v>7380325.4900000002</v>
      </c>
      <c r="W38" s="222">
        <f t="shared" si="7"/>
        <v>-4589.6745099999998</v>
      </c>
    </row>
    <row r="39" spans="1:23" ht="17.100000000000001" customHeight="1" x14ac:dyDescent="0.25">
      <c r="A39" s="20" t="s">
        <v>180</v>
      </c>
      <c r="B39" s="114">
        <f>'Výdaje '!F37</f>
        <v>64</v>
      </c>
      <c r="C39" s="22">
        <f>'Výdaje '!G37</f>
        <v>421</v>
      </c>
      <c r="D39" s="22">
        <f>'Výdaje '!H37</f>
        <v>421</v>
      </c>
      <c r="E39" s="235">
        <f t="shared" si="0"/>
        <v>100</v>
      </c>
      <c r="F39" s="21">
        <v>64</v>
      </c>
      <c r="G39" s="114">
        <v>264</v>
      </c>
      <c r="H39" s="114"/>
      <c r="I39" s="114">
        <v>264</v>
      </c>
      <c r="J39" s="72">
        <f t="shared" si="8"/>
        <v>264</v>
      </c>
      <c r="K39" s="64">
        <f t="shared" si="5"/>
        <v>100</v>
      </c>
      <c r="L39" s="21"/>
      <c r="M39" s="22"/>
      <c r="N39" s="238"/>
      <c r="O39" s="63"/>
      <c r="P39" s="23"/>
      <c r="Q39" s="114">
        <f t="shared" si="6"/>
        <v>0</v>
      </c>
      <c r="R39" s="22">
        <f t="shared" si="2"/>
        <v>157</v>
      </c>
      <c r="S39" s="22">
        <f t="shared" si="9"/>
        <v>157</v>
      </c>
      <c r="T39" s="23">
        <f t="shared" si="4"/>
        <v>100</v>
      </c>
      <c r="V39" s="222">
        <v>100000</v>
      </c>
      <c r="W39" s="222">
        <f t="shared" si="7"/>
        <v>-57</v>
      </c>
    </row>
    <row r="40" spans="1:23" ht="17.100000000000001" customHeight="1" x14ac:dyDescent="0.25">
      <c r="A40" s="20" t="s">
        <v>181</v>
      </c>
      <c r="B40" s="114">
        <f>'Výdaje '!F38</f>
        <v>0</v>
      </c>
      <c r="C40" s="22">
        <f>'Výdaje '!G38</f>
        <v>15533</v>
      </c>
      <c r="D40" s="22">
        <f>'Výdaje '!H38</f>
        <v>484</v>
      </c>
      <c r="E40" s="235">
        <f t="shared" si="0"/>
        <v>3.1159466941350673</v>
      </c>
      <c r="F40" s="21"/>
      <c r="G40" s="114">
        <v>15090</v>
      </c>
      <c r="H40" s="114"/>
      <c r="I40" s="114">
        <v>90</v>
      </c>
      <c r="J40" s="72">
        <f t="shared" si="8"/>
        <v>15090</v>
      </c>
      <c r="K40" s="64">
        <f t="shared" si="5"/>
        <v>0.59642147117296218</v>
      </c>
      <c r="L40" s="21"/>
      <c r="M40" s="22"/>
      <c r="N40" s="238"/>
      <c r="O40" s="63"/>
      <c r="P40" s="23"/>
      <c r="Q40" s="114">
        <f t="shared" si="6"/>
        <v>0</v>
      </c>
      <c r="R40" s="22">
        <f t="shared" si="2"/>
        <v>443</v>
      </c>
      <c r="S40" s="22">
        <f t="shared" si="9"/>
        <v>394</v>
      </c>
      <c r="T40" s="23">
        <f t="shared" si="4"/>
        <v>88.939051918735885</v>
      </c>
      <c r="V40" s="222">
        <v>1192801.8</v>
      </c>
      <c r="W40" s="222">
        <f t="shared" si="7"/>
        <v>798.80179999999996</v>
      </c>
    </row>
    <row r="41" spans="1:23" ht="15" customHeight="1" x14ac:dyDescent="0.25">
      <c r="A41" s="20" t="s">
        <v>182</v>
      </c>
      <c r="B41" s="114">
        <f>'Výdaje '!F39</f>
        <v>443</v>
      </c>
      <c r="C41" s="22">
        <f>'Výdaje '!G39</f>
        <v>4622</v>
      </c>
      <c r="D41" s="22">
        <f>'Výdaje '!H39</f>
        <v>4601</v>
      </c>
      <c r="E41" s="235">
        <f>D41/C41*100</f>
        <v>99.545651233232363</v>
      </c>
      <c r="F41" s="21">
        <v>0</v>
      </c>
      <c r="G41" s="114">
        <v>3330</v>
      </c>
      <c r="H41" s="114"/>
      <c r="I41" s="114">
        <v>3330</v>
      </c>
      <c r="J41" s="72">
        <f t="shared" si="8"/>
        <v>3330</v>
      </c>
      <c r="K41" s="64">
        <f t="shared" si="5"/>
        <v>100</v>
      </c>
      <c r="L41" s="21"/>
      <c r="M41" s="22">
        <v>862</v>
      </c>
      <c r="N41" s="238"/>
      <c r="O41" s="22">
        <v>862</v>
      </c>
      <c r="P41" s="23">
        <f t="shared" ref="P41" si="12">O41/M41*100</f>
        <v>100</v>
      </c>
      <c r="Q41" s="114">
        <f t="shared" si="6"/>
        <v>443</v>
      </c>
      <c r="R41" s="22">
        <f t="shared" si="2"/>
        <v>430</v>
      </c>
      <c r="S41" s="22">
        <f t="shared" si="9"/>
        <v>409</v>
      </c>
      <c r="T41" s="23">
        <f t="shared" si="4"/>
        <v>95.116279069767444</v>
      </c>
      <c r="V41" s="222">
        <v>225373</v>
      </c>
      <c r="W41" s="222">
        <f t="shared" si="7"/>
        <v>-183.62700000000001</v>
      </c>
    </row>
    <row r="42" spans="1:23" ht="15" customHeight="1" thickBot="1" x14ac:dyDescent="0.3">
      <c r="A42" s="24" t="s">
        <v>183</v>
      </c>
      <c r="B42" s="115">
        <f>'Výdaje '!F40</f>
        <v>0</v>
      </c>
      <c r="C42" s="26">
        <f>'Výdaje '!G40</f>
        <v>654</v>
      </c>
      <c r="D42" s="26">
        <f>'Výdaje '!H40</f>
        <v>576</v>
      </c>
      <c r="E42" s="240">
        <f t="shared" si="0"/>
        <v>88.073394495412856</v>
      </c>
      <c r="F42" s="25"/>
      <c r="G42" s="115">
        <v>55</v>
      </c>
      <c r="H42" s="115"/>
      <c r="I42" s="115">
        <v>55</v>
      </c>
      <c r="J42" s="73">
        <f t="shared" si="8"/>
        <v>55</v>
      </c>
      <c r="K42" s="64">
        <f t="shared" si="5"/>
        <v>100</v>
      </c>
      <c r="L42" s="25"/>
      <c r="M42" s="26">
        <v>0</v>
      </c>
      <c r="N42" s="241">
        <v>0</v>
      </c>
      <c r="O42" s="26">
        <f t="shared" ref="O42" si="13">ROUND(N42/1000,0)</f>
        <v>0</v>
      </c>
      <c r="P42" s="27"/>
      <c r="Q42" s="115">
        <f>B42-F42-L42</f>
        <v>0</v>
      </c>
      <c r="R42" s="26">
        <f t="shared" si="2"/>
        <v>599</v>
      </c>
      <c r="S42" s="26">
        <f t="shared" si="9"/>
        <v>521</v>
      </c>
      <c r="T42" s="27">
        <f t="shared" si="4"/>
        <v>86.978297161936553</v>
      </c>
      <c r="V42" s="222">
        <v>0</v>
      </c>
      <c r="W42" s="222">
        <f t="shared" si="7"/>
        <v>-521</v>
      </c>
    </row>
    <row r="43" spans="1:23" ht="15" customHeight="1" thickBot="1" x14ac:dyDescent="0.3">
      <c r="A43" s="44"/>
      <c r="B43" s="40"/>
      <c r="C43" s="40"/>
      <c r="D43" s="40"/>
      <c r="E43" s="75"/>
      <c r="F43" s="282"/>
      <c r="G43" s="283"/>
      <c r="H43" s="283"/>
      <c r="I43" s="283"/>
      <c r="J43" s="223"/>
      <c r="K43" s="35"/>
      <c r="L43" s="50"/>
      <c r="M43" s="51"/>
      <c r="N43" s="51"/>
      <c r="O43" s="51"/>
      <c r="P43" s="35"/>
      <c r="Q43" s="51"/>
      <c r="R43" s="51"/>
      <c r="S43" s="51"/>
      <c r="T43" s="35"/>
      <c r="W43" s="222">
        <f t="shared" si="7"/>
        <v>0</v>
      </c>
    </row>
    <row r="44" spans="1:23" ht="18" customHeight="1" thickBot="1" x14ac:dyDescent="0.3">
      <c r="A44" s="45" t="s">
        <v>198</v>
      </c>
      <c r="B44" s="116">
        <f>SUM(B14:B42)</f>
        <v>787590</v>
      </c>
      <c r="C44" s="42">
        <f>SUM(C14:C42)</f>
        <v>1681272</v>
      </c>
      <c r="D44" s="42">
        <f>SUM(D14:D42)</f>
        <v>751984</v>
      </c>
      <c r="E44" s="279">
        <f>D44/C44*100</f>
        <v>44.727087586065792</v>
      </c>
      <c r="F44" s="36">
        <f>SUM(F14:F42)</f>
        <v>2564</v>
      </c>
      <c r="G44" s="42">
        <f>SUM(G14:G42)</f>
        <v>474948</v>
      </c>
      <c r="H44" s="42">
        <f>SUM(H14:H42)</f>
        <v>0</v>
      </c>
      <c r="I44" s="42">
        <f>SUM(I14:I42)</f>
        <v>227374</v>
      </c>
      <c r="J44" s="92"/>
      <c r="K44" s="39">
        <f>I44/G44*100</f>
        <v>47.873451409417449</v>
      </c>
      <c r="L44" s="36">
        <f>SUM(L14:L42)</f>
        <v>0</v>
      </c>
      <c r="M44" s="42">
        <f>SUM(M14:M42)</f>
        <v>56343</v>
      </c>
      <c r="N44" s="42">
        <f>SUM(N14:N42)</f>
        <v>0</v>
      </c>
      <c r="O44" s="42">
        <f>SUM(O14:O42)</f>
        <v>50614</v>
      </c>
      <c r="P44" s="39">
        <f>O44/M44*100</f>
        <v>89.831922332854134</v>
      </c>
      <c r="Q44" s="116">
        <f>SUM(Q14:Q42)</f>
        <v>785026</v>
      </c>
      <c r="R44" s="42">
        <f>SUM(R14:R42)</f>
        <v>1149981</v>
      </c>
      <c r="S44" s="42">
        <f>SUM(S14:S42)</f>
        <v>473996</v>
      </c>
      <c r="T44" s="39">
        <f>S44/R44*100</f>
        <v>41.21772446675206</v>
      </c>
      <c r="V44" s="222">
        <f>SUM(V14:V43)</f>
        <v>506380549.80000001</v>
      </c>
    </row>
    <row r="48" spans="1:23" x14ac:dyDescent="0.25">
      <c r="E48" s="281"/>
      <c r="F48" s="281"/>
      <c r="G48" s="281"/>
      <c r="H48" s="114"/>
    </row>
    <row r="49" spans="2:4" x14ac:dyDescent="0.25">
      <c r="B49" s="242"/>
      <c r="C49" s="242"/>
      <c r="D49" s="242"/>
    </row>
    <row r="51" spans="2:4" x14ac:dyDescent="0.25">
      <c r="D51" s="40"/>
    </row>
  </sheetData>
  <mergeCells count="24">
    <mergeCell ref="Q10:Q11"/>
    <mergeCell ref="R10:R11"/>
    <mergeCell ref="S10:S11"/>
    <mergeCell ref="G10:G11"/>
    <mergeCell ref="I10:I11"/>
    <mergeCell ref="L10:L11"/>
    <mergeCell ref="M10:M11"/>
    <mergeCell ref="O10:O11"/>
    <mergeCell ref="Q12:T12"/>
    <mergeCell ref="F12:K12"/>
    <mergeCell ref="A2:T2"/>
    <mergeCell ref="A4:T4"/>
    <mergeCell ref="B9:E9"/>
    <mergeCell ref="Q8:T8"/>
    <mergeCell ref="F9:K9"/>
    <mergeCell ref="F8:K8"/>
    <mergeCell ref="L8:P8"/>
    <mergeCell ref="L9:P9"/>
    <mergeCell ref="A7:A11"/>
    <mergeCell ref="B7:E8"/>
    <mergeCell ref="B10:B11"/>
    <mergeCell ref="C10:C11"/>
    <mergeCell ref="D10:D11"/>
    <mergeCell ref="F10:F11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62" orientation="landscape" r:id="rId1"/>
  <headerFooter alignWithMargins="0"/>
  <rowBreaks count="1" manualBreakCount="1">
    <brk id="13" max="19" man="1"/>
  </rowBreaks>
  <colBreaks count="1" manualBreakCount="1">
    <brk id="14" max="43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List13">
    <pageSetUpPr fitToPage="1"/>
  </sheetPr>
  <dimension ref="A1:Z54"/>
  <sheetViews>
    <sheetView showZeros="0" view="pageBreakPreview" topLeftCell="A2" zoomScaleNormal="75" zoomScaleSheetLayoutView="100" workbookViewId="0">
      <pane xSplit="1" ySplit="11" topLeftCell="B13" activePane="bottomRight" state="frozen"/>
      <selection pane="topRight"/>
      <selection pane="bottomLeft"/>
      <selection pane="bottomRight"/>
    </sheetView>
  </sheetViews>
  <sheetFormatPr defaultColWidth="9.77734375" defaultRowHeight="15.75" x14ac:dyDescent="0.25"/>
  <cols>
    <col min="1" max="1" width="26.44140625" style="221" customWidth="1"/>
    <col min="2" max="3" width="9.21875" style="222" customWidth="1"/>
    <col min="4" max="4" width="9.44140625" style="222" customWidth="1"/>
    <col min="5" max="5" width="7.6640625" style="222" customWidth="1"/>
    <col min="6" max="6" width="8.44140625" style="222" customWidth="1"/>
    <col min="7" max="7" width="9.21875" style="222" customWidth="1"/>
    <col min="8" max="8" width="9.44140625" style="222" customWidth="1"/>
    <col min="9" max="9" width="6.88671875" style="222" customWidth="1"/>
    <col min="10" max="10" width="8.21875" style="222" customWidth="1"/>
    <col min="11" max="11" width="8" style="222" customWidth="1"/>
    <col min="12" max="12" width="9.44140625" style="222" customWidth="1"/>
    <col min="13" max="13" width="6.77734375" style="222" customWidth="1"/>
    <col min="14" max="14" width="9.44140625" style="222" customWidth="1"/>
    <col min="15" max="15" width="9.109375" style="222" customWidth="1"/>
    <col min="16" max="16" width="10.21875" style="222" customWidth="1"/>
    <col min="17" max="17" width="6.88671875" style="222" customWidth="1"/>
    <col min="18" max="18" width="7.77734375" style="222" customWidth="1"/>
    <col min="19" max="21" width="9.109375" style="222" customWidth="1"/>
    <col min="22" max="22" width="0.33203125" style="222" customWidth="1"/>
    <col min="23" max="23" width="2.33203125" style="222" customWidth="1"/>
    <col min="24" max="24" width="10.44140625" style="222" customWidth="1"/>
    <col min="25" max="47" width="7.77734375" style="222" customWidth="1"/>
    <col min="48" max="16384" width="9.77734375" style="222"/>
  </cols>
  <sheetData>
    <row r="1" spans="1:26" ht="17.25" customHeight="1" x14ac:dyDescent="0.25"/>
    <row r="2" spans="1:26" s="217" customFormat="1" ht="24" customHeight="1" x14ac:dyDescent="0.2">
      <c r="A2" s="335" t="s">
        <v>222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26" s="217" customFormat="1" ht="15" customHeight="1" x14ac:dyDescent="0.2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4" spans="1:26" s="217" customFormat="1" ht="21" customHeight="1" x14ac:dyDescent="0.2">
      <c r="A4" s="335" t="s">
        <v>117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</row>
    <row r="5" spans="1:26" ht="22.5" customHeight="1" x14ac:dyDescent="0.25">
      <c r="M5" s="10"/>
      <c r="Q5" s="10" t="s">
        <v>205</v>
      </c>
    </row>
    <row r="6" spans="1:26" ht="17.100000000000001" customHeight="1" thickBot="1" x14ac:dyDescent="0.3">
      <c r="M6" s="10"/>
      <c r="Q6" s="10" t="s">
        <v>1</v>
      </c>
    </row>
    <row r="7" spans="1:26" s="221" customFormat="1" ht="18" customHeight="1" x14ac:dyDescent="0.25">
      <c r="A7" s="364" t="s">
        <v>192</v>
      </c>
      <c r="B7" s="343" t="s">
        <v>111</v>
      </c>
      <c r="C7" s="367"/>
      <c r="D7" s="367"/>
      <c r="E7" s="344"/>
      <c r="F7" s="343" t="s">
        <v>113</v>
      </c>
      <c r="G7" s="367"/>
      <c r="H7" s="367"/>
      <c r="I7" s="344"/>
      <c r="J7" s="343" t="s">
        <v>140</v>
      </c>
      <c r="K7" s="367"/>
      <c r="L7" s="367"/>
      <c r="M7" s="344"/>
      <c r="N7" s="343" t="s">
        <v>142</v>
      </c>
      <c r="O7" s="367"/>
      <c r="P7" s="367"/>
      <c r="Q7" s="344"/>
    </row>
    <row r="8" spans="1:26" s="221" customFormat="1" ht="18" customHeight="1" thickBot="1" x14ac:dyDescent="0.3">
      <c r="A8" s="365"/>
      <c r="B8" s="357" t="s">
        <v>112</v>
      </c>
      <c r="C8" s="358"/>
      <c r="D8" s="358"/>
      <c r="E8" s="359"/>
      <c r="F8" s="357" t="s">
        <v>114</v>
      </c>
      <c r="G8" s="358"/>
      <c r="H8" s="358"/>
      <c r="I8" s="359"/>
      <c r="J8" s="357" t="s">
        <v>141</v>
      </c>
      <c r="K8" s="358"/>
      <c r="L8" s="358"/>
      <c r="M8" s="359"/>
      <c r="N8" s="357" t="s">
        <v>141</v>
      </c>
      <c r="O8" s="358"/>
      <c r="P8" s="358"/>
      <c r="Q8" s="359"/>
      <c r="S8" s="386" t="s">
        <v>128</v>
      </c>
      <c r="T8" s="386"/>
      <c r="U8" s="386"/>
    </row>
    <row r="9" spans="1:26" s="225" customFormat="1" ht="18.75" customHeight="1" x14ac:dyDescent="0.25">
      <c r="A9" s="365"/>
      <c r="B9" s="426" t="s">
        <v>196</v>
      </c>
      <c r="C9" s="360" t="s">
        <v>197</v>
      </c>
      <c r="D9" s="355" t="s">
        <v>223</v>
      </c>
      <c r="E9" s="102" t="s">
        <v>0</v>
      </c>
      <c r="F9" s="426" t="s">
        <v>196</v>
      </c>
      <c r="G9" s="360" t="s">
        <v>197</v>
      </c>
      <c r="H9" s="355" t="s">
        <v>223</v>
      </c>
      <c r="I9" s="102" t="s">
        <v>0</v>
      </c>
      <c r="J9" s="426" t="s">
        <v>196</v>
      </c>
      <c r="K9" s="360" t="s">
        <v>197</v>
      </c>
      <c r="L9" s="355" t="s">
        <v>223</v>
      </c>
      <c r="M9" s="102" t="s">
        <v>0</v>
      </c>
      <c r="N9" s="426" t="s">
        <v>196</v>
      </c>
      <c r="O9" s="360" t="s">
        <v>197</v>
      </c>
      <c r="P9" s="355" t="s">
        <v>223</v>
      </c>
      <c r="Q9" s="102" t="s">
        <v>0</v>
      </c>
      <c r="S9" s="428" t="s">
        <v>129</v>
      </c>
      <c r="T9" s="428"/>
      <c r="U9" s="428"/>
    </row>
    <row r="10" spans="1:26" s="225" customFormat="1" ht="18.75" customHeight="1" thickBot="1" x14ac:dyDescent="0.3">
      <c r="A10" s="366"/>
      <c r="B10" s="375"/>
      <c r="C10" s="356"/>
      <c r="D10" s="356"/>
      <c r="E10" s="57" t="s">
        <v>11</v>
      </c>
      <c r="F10" s="375"/>
      <c r="G10" s="356"/>
      <c r="H10" s="356"/>
      <c r="I10" s="57" t="s">
        <v>11</v>
      </c>
      <c r="J10" s="375"/>
      <c r="K10" s="356"/>
      <c r="L10" s="356"/>
      <c r="M10" s="57" t="s">
        <v>11</v>
      </c>
      <c r="N10" s="375"/>
      <c r="O10" s="356"/>
      <c r="P10" s="356"/>
      <c r="Q10" s="57" t="s">
        <v>11</v>
      </c>
      <c r="S10" s="225" t="s">
        <v>12</v>
      </c>
      <c r="T10" s="225" t="s">
        <v>13</v>
      </c>
      <c r="U10" s="225" t="s">
        <v>130</v>
      </c>
    </row>
    <row r="11" spans="1:26" ht="15.95" hidden="1" customHeight="1" thickTop="1" thickBot="1" x14ac:dyDescent="0.3">
      <c r="A11" s="44"/>
      <c r="B11" s="32"/>
      <c r="C11" s="223" t="s">
        <v>61</v>
      </c>
      <c r="D11" s="223"/>
      <c r="E11" s="224"/>
      <c r="F11" s="32"/>
      <c r="G11" s="223" t="s">
        <v>64</v>
      </c>
      <c r="H11" s="223"/>
      <c r="I11" s="224"/>
      <c r="J11" s="32" t="s">
        <v>32</v>
      </c>
      <c r="K11" s="223"/>
      <c r="L11" s="223" t="s">
        <v>33</v>
      </c>
      <c r="M11" s="224" t="s">
        <v>0</v>
      </c>
      <c r="N11" s="32" t="s">
        <v>32</v>
      </c>
      <c r="O11" s="223"/>
      <c r="P11" s="223" t="s">
        <v>33</v>
      </c>
      <c r="Q11" s="224" t="s">
        <v>0</v>
      </c>
    </row>
    <row r="12" spans="1:26" ht="15.95" customHeight="1" x14ac:dyDescent="0.25">
      <c r="A12" s="44"/>
      <c r="B12" s="371" t="s">
        <v>190</v>
      </c>
      <c r="C12" s="372"/>
      <c r="D12" s="372"/>
      <c r="E12" s="373"/>
      <c r="F12" s="371" t="s">
        <v>115</v>
      </c>
      <c r="G12" s="372"/>
      <c r="H12" s="372"/>
      <c r="I12" s="373"/>
      <c r="J12" s="371" t="s">
        <v>143</v>
      </c>
      <c r="K12" s="372"/>
      <c r="L12" s="372"/>
      <c r="M12" s="373"/>
      <c r="N12" s="371" t="s">
        <v>144</v>
      </c>
      <c r="O12" s="372"/>
      <c r="P12" s="372"/>
      <c r="Q12" s="373"/>
    </row>
    <row r="13" spans="1:26" ht="17.100000000000001" customHeight="1" thickBot="1" x14ac:dyDescent="0.3">
      <c r="A13" s="44"/>
      <c r="B13" s="32"/>
      <c r="C13" s="223"/>
      <c r="D13" s="223"/>
      <c r="E13" s="61"/>
      <c r="F13" s="32"/>
      <c r="G13" s="223"/>
      <c r="H13" s="223"/>
      <c r="I13" s="224"/>
      <c r="J13" s="32"/>
      <c r="K13" s="223"/>
      <c r="L13" s="223"/>
      <c r="M13" s="224"/>
      <c r="N13" s="32"/>
      <c r="O13" s="223"/>
      <c r="P13" s="223"/>
      <c r="Q13" s="224"/>
    </row>
    <row r="14" spans="1:26" ht="16.5" customHeight="1" x14ac:dyDescent="0.25">
      <c r="A14" s="28" t="s">
        <v>155</v>
      </c>
      <c r="B14" s="29">
        <v>136359</v>
      </c>
      <c r="C14" s="30">
        <v>166052</v>
      </c>
      <c r="D14" s="30">
        <v>44514</v>
      </c>
      <c r="E14" s="64">
        <f t="shared" ref="E14:E39" si="0">D14/C14*100</f>
        <v>26.807265194035601</v>
      </c>
      <c r="F14" s="29"/>
      <c r="G14" s="30"/>
      <c r="H14" s="30"/>
      <c r="I14" s="31"/>
      <c r="J14" s="29"/>
      <c r="K14" s="30"/>
      <c r="L14" s="30"/>
      <c r="M14" s="31"/>
      <c r="N14" s="29"/>
      <c r="O14" s="30"/>
      <c r="P14" s="30"/>
      <c r="Q14" s="31"/>
      <c r="S14" s="40">
        <f>'Příjmy a Výdaje '!N11</f>
        <v>-136359</v>
      </c>
      <c r="T14" s="40">
        <f>'Příjmy a Výdaje '!O11</f>
        <v>-166052</v>
      </c>
      <c r="U14" s="40">
        <f>'Příjmy a Výdaje '!P11</f>
        <v>-44513</v>
      </c>
      <c r="X14" s="40">
        <f>S14+B14</f>
        <v>0</v>
      </c>
      <c r="Y14" s="40">
        <f>T14+C14</f>
        <v>0</v>
      </c>
      <c r="Z14" s="40">
        <f>U14+D14</f>
        <v>1</v>
      </c>
    </row>
    <row r="15" spans="1:26" ht="16.5" customHeight="1" x14ac:dyDescent="0.25">
      <c r="A15" s="20" t="s">
        <v>156</v>
      </c>
      <c r="B15" s="21">
        <v>13603</v>
      </c>
      <c r="C15" s="22">
        <v>13603</v>
      </c>
      <c r="D15" s="22">
        <v>-1180</v>
      </c>
      <c r="E15" s="23"/>
      <c r="F15" s="21"/>
      <c r="G15" s="22"/>
      <c r="H15" s="22"/>
      <c r="I15" s="23"/>
      <c r="J15" s="21"/>
      <c r="K15" s="22"/>
      <c r="L15" s="22"/>
      <c r="M15" s="23"/>
      <c r="N15" s="21"/>
      <c r="O15" s="22"/>
      <c r="P15" s="22"/>
      <c r="Q15" s="23"/>
      <c r="S15" s="40">
        <f>'Příjmy a Výdaje '!N12</f>
        <v>-13603</v>
      </c>
      <c r="T15" s="40">
        <f>'Příjmy a Výdaje '!O12</f>
        <v>-13602</v>
      </c>
      <c r="U15" s="40">
        <f>'Příjmy a Výdaje '!P12</f>
        <v>1181</v>
      </c>
      <c r="X15" s="40">
        <f t="shared" ref="X15:X42" si="1">S15+B15</f>
        <v>0</v>
      </c>
      <c r="Y15" s="40">
        <f t="shared" ref="Y15:Y41" si="2">T15+C15</f>
        <v>1</v>
      </c>
      <c r="Z15" s="40">
        <f t="shared" ref="Z15:Z42" si="3">U15+D15</f>
        <v>1</v>
      </c>
    </row>
    <row r="16" spans="1:26" ht="16.5" customHeight="1" x14ac:dyDescent="0.25">
      <c r="A16" s="20" t="s">
        <v>157</v>
      </c>
      <c r="B16" s="21">
        <v>69659</v>
      </c>
      <c r="C16" s="22">
        <v>83568</v>
      </c>
      <c r="D16" s="22">
        <v>5728</v>
      </c>
      <c r="E16" s="23">
        <f t="shared" si="0"/>
        <v>6.8542982959984675</v>
      </c>
      <c r="F16" s="21"/>
      <c r="G16" s="22"/>
      <c r="H16" s="22"/>
      <c r="I16" s="23"/>
      <c r="J16" s="21"/>
      <c r="K16" s="22"/>
      <c r="L16" s="22"/>
      <c r="M16" s="23"/>
      <c r="N16" s="21"/>
      <c r="O16" s="22"/>
      <c r="P16" s="22"/>
      <c r="Q16" s="23"/>
      <c r="S16" s="40">
        <f>'Příjmy a Výdaje '!N13</f>
        <v>-69659</v>
      </c>
      <c r="T16" s="40">
        <f>'Příjmy a Výdaje '!O13</f>
        <v>-83568</v>
      </c>
      <c r="U16" s="40">
        <f>'Příjmy a Výdaje '!P13</f>
        <v>-5727</v>
      </c>
      <c r="X16" s="40">
        <f t="shared" si="1"/>
        <v>0</v>
      </c>
      <c r="Y16" s="40">
        <f t="shared" si="2"/>
        <v>0</v>
      </c>
      <c r="Z16" s="40">
        <f t="shared" si="3"/>
        <v>1</v>
      </c>
    </row>
    <row r="17" spans="1:26" ht="16.5" customHeight="1" x14ac:dyDescent="0.25">
      <c r="A17" s="20" t="s">
        <v>158</v>
      </c>
      <c r="B17" s="21">
        <v>23947</v>
      </c>
      <c r="C17" s="22">
        <v>36414</v>
      </c>
      <c r="D17" s="22">
        <v>17190</v>
      </c>
      <c r="E17" s="23">
        <f t="shared" si="0"/>
        <v>47.207118141374202</v>
      </c>
      <c r="F17" s="21">
        <v>-11138</v>
      </c>
      <c r="G17" s="22">
        <v>-23234</v>
      </c>
      <c r="H17" s="22">
        <v>-23233</v>
      </c>
      <c r="I17" s="23">
        <f>H17/G17*100</f>
        <v>99.995695962813116</v>
      </c>
      <c r="J17" s="21"/>
      <c r="K17" s="22"/>
      <c r="L17" s="22">
        <f>82000-82000</f>
        <v>0</v>
      </c>
      <c r="M17" s="23"/>
      <c r="N17" s="21"/>
      <c r="O17" s="22"/>
      <c r="P17" s="22"/>
      <c r="Q17" s="23"/>
      <c r="S17" s="40">
        <f>'Příjmy a Výdaje '!N14</f>
        <v>-12809</v>
      </c>
      <c r="T17" s="40">
        <f>'Příjmy a Výdaje '!O14</f>
        <v>-13180</v>
      </c>
      <c r="U17" s="40">
        <f>'Příjmy a Výdaje '!P14</f>
        <v>6043</v>
      </c>
      <c r="X17" s="40"/>
      <c r="Y17" s="40"/>
      <c r="Z17" s="40"/>
    </row>
    <row r="18" spans="1:26" ht="16.5" customHeight="1" x14ac:dyDescent="0.25">
      <c r="A18" s="20" t="s">
        <v>159</v>
      </c>
      <c r="B18" s="21">
        <v>6754</v>
      </c>
      <c r="C18" s="22">
        <v>-14684</v>
      </c>
      <c r="D18" s="22">
        <v>-28727</v>
      </c>
      <c r="E18" s="23">
        <f t="shared" si="0"/>
        <v>195.63470444020703</v>
      </c>
      <c r="F18" s="21"/>
      <c r="G18" s="22"/>
      <c r="H18" s="22"/>
      <c r="I18" s="23"/>
      <c r="J18" s="21"/>
      <c r="K18" s="22"/>
      <c r="L18" s="22"/>
      <c r="M18" s="23"/>
      <c r="N18" s="21"/>
      <c r="O18" s="22"/>
      <c r="P18" s="22"/>
      <c r="Q18" s="23"/>
      <c r="S18" s="40">
        <f>'Příjmy a Výdaje '!N15</f>
        <v>-6754</v>
      </c>
      <c r="T18" s="40">
        <f>'Příjmy a Výdaje '!O15</f>
        <v>14684</v>
      </c>
      <c r="U18" s="40">
        <f>'Příjmy a Výdaje '!P15</f>
        <v>28727</v>
      </c>
      <c r="X18" s="40">
        <f t="shared" si="1"/>
        <v>0</v>
      </c>
      <c r="Y18" s="40">
        <f t="shared" si="2"/>
        <v>0</v>
      </c>
      <c r="Z18" s="40">
        <f t="shared" si="3"/>
        <v>0</v>
      </c>
    </row>
    <row r="19" spans="1:26" ht="16.5" customHeight="1" x14ac:dyDescent="0.25">
      <c r="A19" s="20" t="s">
        <v>160</v>
      </c>
      <c r="B19" s="21">
        <v>1392</v>
      </c>
      <c r="C19" s="22">
        <v>1719</v>
      </c>
      <c r="D19" s="22">
        <v>-2040</v>
      </c>
      <c r="E19" s="23"/>
      <c r="F19" s="21"/>
      <c r="G19" s="22"/>
      <c r="H19" s="22"/>
      <c r="I19" s="23"/>
      <c r="J19" s="21"/>
      <c r="K19" s="22"/>
      <c r="L19" s="22"/>
      <c r="M19" s="23"/>
      <c r="N19" s="21"/>
      <c r="O19" s="22"/>
      <c r="P19" s="22"/>
      <c r="Q19" s="23"/>
      <c r="S19" s="40">
        <f>'Příjmy a Výdaje '!N16</f>
        <v>-1392</v>
      </c>
      <c r="T19" s="40">
        <f>'Příjmy a Výdaje '!O16</f>
        <v>-1719</v>
      </c>
      <c r="U19" s="40">
        <f>'Příjmy a Výdaje '!P16</f>
        <v>2041</v>
      </c>
      <c r="X19" s="40">
        <f t="shared" si="1"/>
        <v>0</v>
      </c>
      <c r="Y19" s="40">
        <f t="shared" si="2"/>
        <v>0</v>
      </c>
      <c r="Z19" s="40">
        <f t="shared" si="3"/>
        <v>1</v>
      </c>
    </row>
    <row r="20" spans="1:26" ht="16.5" customHeight="1" x14ac:dyDescent="0.25">
      <c r="A20" s="20" t="s">
        <v>161</v>
      </c>
      <c r="B20" s="21">
        <v>1000</v>
      </c>
      <c r="C20" s="22">
        <v>9974</v>
      </c>
      <c r="D20" s="22">
        <v>-9043</v>
      </c>
      <c r="E20" s="23"/>
      <c r="F20" s="21">
        <v>-2378</v>
      </c>
      <c r="G20" s="22">
        <v>-2378</v>
      </c>
      <c r="H20" s="22">
        <v>-2378</v>
      </c>
      <c r="I20" s="23">
        <f>H20/G20*100</f>
        <v>100</v>
      </c>
      <c r="J20" s="21"/>
      <c r="K20" s="22"/>
      <c r="L20" s="22"/>
      <c r="M20" s="23"/>
      <c r="N20" s="21"/>
      <c r="O20" s="22"/>
      <c r="P20" s="22"/>
      <c r="Q20" s="23"/>
      <c r="S20" s="40">
        <f>'Příjmy a Výdaje '!N17</f>
        <v>1378</v>
      </c>
      <c r="T20" s="40">
        <f>'Příjmy a Výdaje '!O17</f>
        <v>-7596</v>
      </c>
      <c r="U20" s="40">
        <f>'Příjmy a Výdaje '!P17</f>
        <v>11422</v>
      </c>
      <c r="X20" s="40"/>
      <c r="Y20" s="40"/>
      <c r="Z20" s="40"/>
    </row>
    <row r="21" spans="1:26" ht="16.5" customHeight="1" x14ac:dyDescent="0.25">
      <c r="A21" s="20" t="s">
        <v>162</v>
      </c>
      <c r="B21" s="21">
        <v>64032</v>
      </c>
      <c r="C21" s="22">
        <v>270990</v>
      </c>
      <c r="D21" s="22">
        <v>-32739</v>
      </c>
      <c r="E21" s="23"/>
      <c r="F21" s="21">
        <v>-3840</v>
      </c>
      <c r="G21" s="22">
        <v>-3840</v>
      </c>
      <c r="H21" s="22">
        <v>-3840</v>
      </c>
      <c r="I21" s="23">
        <f>H21/G21*100</f>
        <v>100</v>
      </c>
      <c r="J21" s="21"/>
      <c r="K21" s="22"/>
      <c r="L21" s="22">
        <f>270000-270000</f>
        <v>0</v>
      </c>
      <c r="M21" s="23"/>
      <c r="N21" s="21"/>
      <c r="O21" s="22"/>
      <c r="P21" s="22"/>
      <c r="Q21" s="23"/>
      <c r="S21" s="40">
        <f>'Příjmy a Výdaje '!N18</f>
        <v>-60192</v>
      </c>
      <c r="T21" s="40">
        <f>'Příjmy a Výdaje '!O18</f>
        <v>-267150</v>
      </c>
      <c r="U21" s="40">
        <f>'Příjmy a Výdaje '!P18</f>
        <v>36579</v>
      </c>
      <c r="X21" s="40"/>
      <c r="Y21" s="40"/>
      <c r="Z21" s="40"/>
    </row>
    <row r="22" spans="1:26" ht="16.5" customHeight="1" x14ac:dyDescent="0.25">
      <c r="A22" s="20" t="s">
        <v>163</v>
      </c>
      <c r="B22" s="21"/>
      <c r="C22" s="22">
        <v>2441</v>
      </c>
      <c r="D22" s="22">
        <v>-3784</v>
      </c>
      <c r="E22" s="23"/>
      <c r="F22" s="21"/>
      <c r="G22" s="22"/>
      <c r="H22" s="22"/>
      <c r="I22" s="23"/>
      <c r="J22" s="21"/>
      <c r="K22" s="22"/>
      <c r="L22" s="22"/>
      <c r="M22" s="23"/>
      <c r="N22" s="21"/>
      <c r="O22" s="22"/>
      <c r="P22" s="22"/>
      <c r="Q22" s="23"/>
      <c r="S22" s="40">
        <f>'Příjmy a Výdaje '!N19</f>
        <v>0</v>
      </c>
      <c r="T22" s="40">
        <f>'Příjmy a Výdaje '!O19</f>
        <v>-2441</v>
      </c>
      <c r="U22" s="40">
        <f>'Příjmy a Výdaje '!P19</f>
        <v>3784</v>
      </c>
      <c r="X22" s="40">
        <f t="shared" si="1"/>
        <v>0</v>
      </c>
      <c r="Y22" s="40">
        <f t="shared" si="2"/>
        <v>0</v>
      </c>
      <c r="Z22" s="40">
        <f t="shared" si="3"/>
        <v>0</v>
      </c>
    </row>
    <row r="23" spans="1:26" ht="16.5" customHeight="1" x14ac:dyDescent="0.25">
      <c r="A23" s="20" t="s">
        <v>164</v>
      </c>
      <c r="B23" s="21"/>
      <c r="C23" s="22">
        <v>3396</v>
      </c>
      <c r="D23" s="22">
        <v>-13661</v>
      </c>
      <c r="E23" s="23"/>
      <c r="F23" s="21"/>
      <c r="G23" s="22"/>
      <c r="H23" s="22"/>
      <c r="I23" s="23"/>
      <c r="J23" s="21"/>
      <c r="K23" s="22"/>
      <c r="L23" s="22"/>
      <c r="M23" s="23"/>
      <c r="N23" s="21"/>
      <c r="O23" s="22"/>
      <c r="P23" s="22"/>
      <c r="Q23" s="23"/>
      <c r="S23" s="40">
        <f>'Příjmy a Výdaje '!N20</f>
        <v>0</v>
      </c>
      <c r="T23" s="40">
        <f>'Příjmy a Výdaje '!O20</f>
        <v>-3396</v>
      </c>
      <c r="U23" s="40">
        <f>'Příjmy a Výdaje '!P20</f>
        <v>13661</v>
      </c>
      <c r="X23" s="40">
        <f t="shared" si="1"/>
        <v>0</v>
      </c>
      <c r="Y23" s="40">
        <f t="shared" si="2"/>
        <v>0</v>
      </c>
      <c r="Z23" s="40">
        <f t="shared" si="3"/>
        <v>0</v>
      </c>
    </row>
    <row r="24" spans="1:26" ht="16.5" customHeight="1" x14ac:dyDescent="0.25">
      <c r="A24" s="20" t="s">
        <v>165</v>
      </c>
      <c r="B24" s="21">
        <v>1060</v>
      </c>
      <c r="C24" s="22">
        <v>3096</v>
      </c>
      <c r="D24" s="22">
        <v>-534</v>
      </c>
      <c r="E24" s="23"/>
      <c r="F24" s="21"/>
      <c r="G24" s="22"/>
      <c r="H24" s="22"/>
      <c r="I24" s="23"/>
      <c r="J24" s="21"/>
      <c r="K24" s="22"/>
      <c r="L24" s="22"/>
      <c r="M24" s="23"/>
      <c r="N24" s="21"/>
      <c r="O24" s="22"/>
      <c r="P24" s="22"/>
      <c r="Q24" s="23"/>
      <c r="S24" s="40">
        <f>'Příjmy a Výdaje '!N21</f>
        <v>-1060</v>
      </c>
      <c r="T24" s="40">
        <f>'Příjmy a Výdaje '!O21</f>
        <v>-3096</v>
      </c>
      <c r="U24" s="40">
        <f>'Příjmy a Výdaje '!P21</f>
        <v>534</v>
      </c>
      <c r="X24" s="40">
        <f t="shared" si="1"/>
        <v>0</v>
      </c>
      <c r="Y24" s="40">
        <f t="shared" si="2"/>
        <v>0</v>
      </c>
      <c r="Z24" s="40">
        <f t="shared" si="3"/>
        <v>0</v>
      </c>
    </row>
    <row r="25" spans="1:26" ht="16.5" customHeight="1" x14ac:dyDescent="0.25">
      <c r="A25" s="20" t="s">
        <v>166</v>
      </c>
      <c r="B25" s="21"/>
      <c r="C25" s="22">
        <v>14644</v>
      </c>
      <c r="D25" s="22">
        <v>-10389</v>
      </c>
      <c r="E25" s="23"/>
      <c r="F25" s="21"/>
      <c r="G25" s="22"/>
      <c r="H25" s="22"/>
      <c r="I25" s="23"/>
      <c r="J25" s="21"/>
      <c r="K25" s="22"/>
      <c r="L25" s="22"/>
      <c r="M25" s="23"/>
      <c r="N25" s="21"/>
      <c r="O25" s="22"/>
      <c r="P25" s="22"/>
      <c r="Q25" s="23"/>
      <c r="S25" s="40">
        <f>'Příjmy a Výdaje '!N22</f>
        <v>0</v>
      </c>
      <c r="T25" s="40">
        <f>'Příjmy a Výdaje '!O22</f>
        <v>-14644</v>
      </c>
      <c r="U25" s="40">
        <f>'Příjmy a Výdaje '!P22</f>
        <v>10389</v>
      </c>
      <c r="X25" s="40">
        <f t="shared" si="1"/>
        <v>0</v>
      </c>
      <c r="Y25" s="40">
        <f t="shared" si="2"/>
        <v>0</v>
      </c>
      <c r="Z25" s="40">
        <f t="shared" si="3"/>
        <v>0</v>
      </c>
    </row>
    <row r="26" spans="1:26" ht="16.5" customHeight="1" x14ac:dyDescent="0.25">
      <c r="A26" s="20" t="s">
        <v>167</v>
      </c>
      <c r="B26" s="21">
        <v>130981</v>
      </c>
      <c r="C26" s="22">
        <v>175875</v>
      </c>
      <c r="D26" s="22">
        <v>-42319</v>
      </c>
      <c r="E26" s="23"/>
      <c r="F26" s="21"/>
      <c r="G26" s="22"/>
      <c r="H26" s="22"/>
      <c r="I26" s="23"/>
      <c r="J26" s="21"/>
      <c r="K26" s="22"/>
      <c r="L26" s="22"/>
      <c r="M26" s="23"/>
      <c r="N26" s="21"/>
      <c r="O26" s="22"/>
      <c r="P26" s="22"/>
      <c r="Q26" s="23"/>
      <c r="S26" s="40">
        <f>'Příjmy a Výdaje '!N23</f>
        <v>-130981</v>
      </c>
      <c r="T26" s="40">
        <f>'Příjmy a Výdaje '!O23</f>
        <v>-175875</v>
      </c>
      <c r="U26" s="40">
        <f>'Příjmy a Výdaje '!P23</f>
        <v>42319</v>
      </c>
      <c r="X26" s="40">
        <f t="shared" si="1"/>
        <v>0</v>
      </c>
      <c r="Y26" s="40">
        <f t="shared" si="2"/>
        <v>0</v>
      </c>
      <c r="Z26" s="40">
        <f t="shared" si="3"/>
        <v>0</v>
      </c>
    </row>
    <row r="27" spans="1:26" ht="16.5" customHeight="1" x14ac:dyDescent="0.25">
      <c r="A27" s="20" t="s">
        <v>168</v>
      </c>
      <c r="B27" s="21">
        <v>4020</v>
      </c>
      <c r="C27" s="22">
        <v>4823</v>
      </c>
      <c r="D27" s="22">
        <v>-23764</v>
      </c>
      <c r="E27" s="23"/>
      <c r="F27" s="21"/>
      <c r="G27" s="22"/>
      <c r="H27" s="22"/>
      <c r="I27" s="23"/>
      <c r="J27" s="21"/>
      <c r="K27" s="22"/>
      <c r="L27" s="22"/>
      <c r="M27" s="23"/>
      <c r="N27" s="21"/>
      <c r="O27" s="22"/>
      <c r="P27" s="22"/>
      <c r="Q27" s="23"/>
      <c r="S27" s="40">
        <f>'Příjmy a Výdaje '!N24</f>
        <v>-4020</v>
      </c>
      <c r="T27" s="40">
        <f>'Příjmy a Výdaje '!O24</f>
        <v>-4823</v>
      </c>
      <c r="U27" s="40">
        <f>'Příjmy a Výdaje '!P24</f>
        <v>23764</v>
      </c>
      <c r="X27" s="40">
        <f t="shared" si="1"/>
        <v>0</v>
      </c>
      <c r="Y27" s="40">
        <f t="shared" si="2"/>
        <v>0</v>
      </c>
      <c r="Z27" s="40">
        <f t="shared" si="3"/>
        <v>0</v>
      </c>
    </row>
    <row r="28" spans="1:26" ht="16.5" customHeight="1" x14ac:dyDescent="0.25">
      <c r="A28" s="20" t="s">
        <v>169</v>
      </c>
      <c r="B28" s="21"/>
      <c r="C28" s="22">
        <v>72704</v>
      </c>
      <c r="D28" s="22">
        <v>-35057</v>
      </c>
      <c r="E28" s="23"/>
      <c r="F28" s="21">
        <v>-8574</v>
      </c>
      <c r="G28" s="22">
        <v>-8574</v>
      </c>
      <c r="H28" s="22">
        <v>-8573</v>
      </c>
      <c r="I28" s="23">
        <f>H28/G28*100</f>
        <v>99.98833683228365</v>
      </c>
      <c r="J28" s="21"/>
      <c r="K28" s="22"/>
      <c r="L28" s="22"/>
      <c r="M28" s="23"/>
      <c r="N28" s="21"/>
      <c r="O28" s="22"/>
      <c r="P28" s="22"/>
      <c r="Q28" s="23"/>
      <c r="S28" s="40">
        <f>'Příjmy a Výdaje '!N25</f>
        <v>8574</v>
      </c>
      <c r="T28" s="40">
        <f>'Příjmy a Výdaje '!O25</f>
        <v>-64130</v>
      </c>
      <c r="U28" s="40">
        <f>'Příjmy a Výdaje '!P25</f>
        <v>43627</v>
      </c>
      <c r="X28" s="40"/>
      <c r="Y28" s="40"/>
      <c r="Z28" s="40"/>
    </row>
    <row r="29" spans="1:26" ht="16.5" customHeight="1" x14ac:dyDescent="0.25">
      <c r="A29" s="20" t="s">
        <v>170</v>
      </c>
      <c r="B29" s="21">
        <v>33127</v>
      </c>
      <c r="C29" s="22">
        <v>41972</v>
      </c>
      <c r="D29" s="22">
        <v>8276</v>
      </c>
      <c r="E29" s="23">
        <f t="shared" si="0"/>
        <v>19.717907176212712</v>
      </c>
      <c r="F29" s="21">
        <v>-1111</v>
      </c>
      <c r="G29" s="22">
        <v>-1111</v>
      </c>
      <c r="H29" s="22">
        <v>-1111</v>
      </c>
      <c r="I29" s="23">
        <f>H29/G29*100</f>
        <v>100</v>
      </c>
      <c r="J29" s="21"/>
      <c r="K29" s="22"/>
      <c r="L29" s="22"/>
      <c r="M29" s="23"/>
      <c r="N29" s="21"/>
      <c r="O29" s="22"/>
      <c r="P29" s="22"/>
      <c r="Q29" s="23"/>
      <c r="S29" s="40">
        <f>'Příjmy a Výdaje '!N26</f>
        <v>-32016</v>
      </c>
      <c r="T29" s="40">
        <f>'Příjmy a Výdaje '!O26</f>
        <v>-40861</v>
      </c>
      <c r="U29" s="40">
        <f>'Příjmy a Výdaje '!P26</f>
        <v>-7165</v>
      </c>
      <c r="X29" s="40"/>
      <c r="Y29" s="40"/>
      <c r="Z29" s="40"/>
    </row>
    <row r="30" spans="1:26" ht="16.5" customHeight="1" x14ac:dyDescent="0.25">
      <c r="A30" s="20" t="s">
        <v>171</v>
      </c>
      <c r="B30" s="21"/>
      <c r="C30" s="22">
        <v>43479</v>
      </c>
      <c r="D30" s="22">
        <v>-12637</v>
      </c>
      <c r="E30" s="23"/>
      <c r="F30" s="21"/>
      <c r="G30" s="22"/>
      <c r="H30" s="22"/>
      <c r="I30" s="23"/>
      <c r="J30" s="21"/>
      <c r="K30" s="22"/>
      <c r="L30" s="22">
        <f>10000-10000</f>
        <v>0</v>
      </c>
      <c r="M30" s="23"/>
      <c r="N30" s="21"/>
      <c r="O30" s="22"/>
      <c r="P30" s="22"/>
      <c r="Q30" s="23"/>
      <c r="S30" s="40">
        <f>'Příjmy a Výdaje '!N27</f>
        <v>0</v>
      </c>
      <c r="T30" s="40">
        <f>'Příjmy a Výdaje '!O27</f>
        <v>-43480</v>
      </c>
      <c r="U30" s="40">
        <f>'Příjmy a Výdaje '!P27</f>
        <v>12637</v>
      </c>
      <c r="X30" s="40">
        <f t="shared" si="1"/>
        <v>0</v>
      </c>
      <c r="Y30" s="40">
        <f t="shared" si="2"/>
        <v>-1</v>
      </c>
      <c r="Z30" s="40">
        <f t="shared" si="3"/>
        <v>0</v>
      </c>
    </row>
    <row r="31" spans="1:26" ht="16.5" customHeight="1" x14ac:dyDescent="0.25">
      <c r="A31" s="20" t="s">
        <v>172</v>
      </c>
      <c r="B31" s="21">
        <v>1000</v>
      </c>
      <c r="C31" s="22">
        <v>-3834</v>
      </c>
      <c r="D31" s="22">
        <v>-13021</v>
      </c>
      <c r="E31" s="23">
        <f t="shared" si="0"/>
        <v>339.61919666145019</v>
      </c>
      <c r="F31" s="21">
        <v>-8467</v>
      </c>
      <c r="G31" s="22">
        <v>-8467</v>
      </c>
      <c r="H31" s="22">
        <v>-8466</v>
      </c>
      <c r="I31" s="23">
        <f>H31/G31*100</f>
        <v>99.988189441360575</v>
      </c>
      <c r="J31" s="21"/>
      <c r="K31" s="22"/>
      <c r="L31" s="22"/>
      <c r="M31" s="23"/>
      <c r="N31" s="21"/>
      <c r="O31" s="22"/>
      <c r="P31" s="22"/>
      <c r="Q31" s="23"/>
      <c r="S31" s="40">
        <f>'Příjmy a Výdaje '!N28</f>
        <v>7467</v>
      </c>
      <c r="T31" s="40">
        <f>'Příjmy a Výdaje '!O28</f>
        <v>12301</v>
      </c>
      <c r="U31" s="40">
        <f>'Příjmy a Výdaje '!P28</f>
        <v>21486</v>
      </c>
      <c r="X31" s="40"/>
      <c r="Y31" s="40"/>
      <c r="Z31" s="40"/>
    </row>
    <row r="32" spans="1:26" ht="16.5" customHeight="1" x14ac:dyDescent="0.25">
      <c r="A32" s="20" t="s">
        <v>173</v>
      </c>
      <c r="B32" s="21">
        <v>28658</v>
      </c>
      <c r="C32" s="22">
        <v>46789</v>
      </c>
      <c r="D32" s="22">
        <v>-36024</v>
      </c>
      <c r="E32" s="23"/>
      <c r="F32" s="21"/>
      <c r="G32" s="22"/>
      <c r="H32" s="22"/>
      <c r="I32" s="23"/>
      <c r="J32" s="21"/>
      <c r="K32" s="22"/>
      <c r="L32" s="22"/>
      <c r="M32" s="23"/>
      <c r="N32" s="21"/>
      <c r="O32" s="22"/>
      <c r="P32" s="22"/>
      <c r="Q32" s="23"/>
      <c r="S32" s="40">
        <f>'Příjmy a Výdaje '!N29</f>
        <v>-28658</v>
      </c>
      <c r="T32" s="40">
        <f>'Příjmy a Výdaje '!O29</f>
        <v>-46789</v>
      </c>
      <c r="U32" s="40">
        <f>'Příjmy a Výdaje '!P29</f>
        <v>36024</v>
      </c>
      <c r="X32" s="40"/>
      <c r="Y32" s="40"/>
      <c r="Z32" s="40"/>
    </row>
    <row r="33" spans="1:26" ht="16.5" customHeight="1" x14ac:dyDescent="0.25">
      <c r="A33" s="20" t="s">
        <v>174</v>
      </c>
      <c r="B33" s="21"/>
      <c r="C33" s="22">
        <v>9673</v>
      </c>
      <c r="D33" s="22">
        <v>1969</v>
      </c>
      <c r="E33" s="23">
        <f t="shared" si="0"/>
        <v>20.355629070608909</v>
      </c>
      <c r="F33" s="21">
        <v>-11756</v>
      </c>
      <c r="G33" s="22">
        <v>-11756</v>
      </c>
      <c r="H33" s="22">
        <v>-11756</v>
      </c>
      <c r="I33" s="23">
        <f>H33/G33*100</f>
        <v>100</v>
      </c>
      <c r="J33" s="21"/>
      <c r="K33" s="22"/>
      <c r="L33" s="22"/>
      <c r="M33" s="23"/>
      <c r="N33" s="21"/>
      <c r="O33" s="22"/>
      <c r="P33" s="22"/>
      <c r="Q33" s="23"/>
      <c r="S33" s="40">
        <f>'Příjmy a Výdaje '!N30</f>
        <v>11756</v>
      </c>
      <c r="T33" s="40">
        <f>'Příjmy a Výdaje '!O30</f>
        <v>2085</v>
      </c>
      <c r="U33" s="40">
        <f>'Příjmy a Výdaje '!P30</f>
        <v>9787</v>
      </c>
      <c r="X33" s="40"/>
      <c r="Y33" s="40"/>
      <c r="Z33" s="40"/>
    </row>
    <row r="34" spans="1:26" ht="16.5" customHeight="1" x14ac:dyDescent="0.25">
      <c r="A34" s="20" t="s">
        <v>175</v>
      </c>
      <c r="B34" s="21">
        <v>5947</v>
      </c>
      <c r="C34" s="22">
        <v>9395</v>
      </c>
      <c r="D34" s="22">
        <v>1298</v>
      </c>
      <c r="E34" s="23">
        <f t="shared" si="0"/>
        <v>13.815859499733902</v>
      </c>
      <c r="F34" s="21"/>
      <c r="G34" s="22"/>
      <c r="H34" s="22"/>
      <c r="I34" s="23"/>
      <c r="J34" s="21"/>
      <c r="K34" s="22"/>
      <c r="L34" s="22"/>
      <c r="M34" s="23"/>
      <c r="N34" s="21"/>
      <c r="O34" s="22"/>
      <c r="P34" s="22"/>
      <c r="Q34" s="23"/>
      <c r="S34" s="40">
        <f>'Příjmy a Výdaje '!N31</f>
        <v>-5947</v>
      </c>
      <c r="T34" s="40">
        <f>'Příjmy a Výdaje '!O31</f>
        <v>-9395</v>
      </c>
      <c r="U34" s="40">
        <f>'Příjmy a Výdaje '!P31</f>
        <v>-1299</v>
      </c>
      <c r="X34" s="40">
        <f t="shared" si="1"/>
        <v>0</v>
      </c>
      <c r="Y34" s="40">
        <f t="shared" si="2"/>
        <v>0</v>
      </c>
      <c r="Z34" s="40">
        <f t="shared" si="3"/>
        <v>-1</v>
      </c>
    </row>
    <row r="35" spans="1:26" ht="16.5" customHeight="1" x14ac:dyDescent="0.25">
      <c r="A35" s="20" t="s">
        <v>176</v>
      </c>
      <c r="B35" s="21"/>
      <c r="C35" s="22">
        <v>8078</v>
      </c>
      <c r="D35" s="22">
        <v>-3720</v>
      </c>
      <c r="E35" s="23"/>
      <c r="F35" s="21"/>
      <c r="G35" s="22"/>
      <c r="H35" s="22"/>
      <c r="I35" s="23"/>
      <c r="J35" s="21"/>
      <c r="K35" s="22"/>
      <c r="L35" s="22"/>
      <c r="M35" s="23"/>
      <c r="N35" s="21"/>
      <c r="O35" s="22"/>
      <c r="P35" s="22"/>
      <c r="Q35" s="23"/>
      <c r="S35" s="40">
        <f>'Příjmy a Výdaje '!N32</f>
        <v>0</v>
      </c>
      <c r="T35" s="40">
        <f>'Příjmy a Výdaje '!O32</f>
        <v>-8078</v>
      </c>
      <c r="U35" s="40">
        <f>'Příjmy a Výdaje '!P32</f>
        <v>3720</v>
      </c>
      <c r="X35" s="40">
        <f t="shared" si="1"/>
        <v>0</v>
      </c>
      <c r="Y35" s="40">
        <f t="shared" si="2"/>
        <v>0</v>
      </c>
      <c r="Z35" s="40">
        <f t="shared" si="3"/>
        <v>0</v>
      </c>
    </row>
    <row r="36" spans="1:26" ht="16.5" customHeight="1" x14ac:dyDescent="0.25">
      <c r="A36" s="20" t="s">
        <v>177</v>
      </c>
      <c r="B36" s="21">
        <v>73276</v>
      </c>
      <c r="C36" s="22">
        <v>108014</v>
      </c>
      <c r="D36" s="22">
        <v>34045</v>
      </c>
      <c r="E36" s="23">
        <f t="shared" si="0"/>
        <v>31.519062343770255</v>
      </c>
      <c r="F36" s="21"/>
      <c r="G36" s="22"/>
      <c r="H36" s="22"/>
      <c r="I36" s="23"/>
      <c r="J36" s="21"/>
      <c r="K36" s="22"/>
      <c r="L36" s="22"/>
      <c r="M36" s="23"/>
      <c r="N36" s="21"/>
      <c r="O36" s="22"/>
      <c r="P36" s="22">
        <v>-15000</v>
      </c>
      <c r="Q36" s="23"/>
      <c r="S36" s="40">
        <f>'Příjmy a Výdaje '!N33</f>
        <v>-73276</v>
      </c>
      <c r="T36" s="40">
        <f>'Příjmy a Výdaje '!O33</f>
        <v>-108014</v>
      </c>
      <c r="U36" s="40">
        <f>'Příjmy a Výdaje '!P33</f>
        <v>-19045</v>
      </c>
      <c r="X36" s="40">
        <f t="shared" si="1"/>
        <v>0</v>
      </c>
      <c r="Y36" s="40">
        <f t="shared" si="2"/>
        <v>0</v>
      </c>
      <c r="Z36" s="40"/>
    </row>
    <row r="37" spans="1:26" ht="16.5" customHeight="1" x14ac:dyDescent="0.25">
      <c r="A37" s="20" t="s">
        <v>178</v>
      </c>
      <c r="B37" s="21">
        <v>17708</v>
      </c>
      <c r="C37" s="22">
        <v>18440</v>
      </c>
      <c r="D37" s="22">
        <v>5266</v>
      </c>
      <c r="E37" s="23">
        <f t="shared" si="0"/>
        <v>28.557483731019524</v>
      </c>
      <c r="F37" s="21"/>
      <c r="G37" s="22"/>
      <c r="H37" s="22"/>
      <c r="I37" s="23"/>
      <c r="J37" s="21"/>
      <c r="K37" s="22"/>
      <c r="L37" s="22"/>
      <c r="M37" s="23"/>
      <c r="N37" s="21"/>
      <c r="O37" s="22"/>
      <c r="P37" s="22"/>
      <c r="Q37" s="23"/>
      <c r="S37" s="40">
        <f>'Příjmy a Výdaje '!N34</f>
        <v>-17708</v>
      </c>
      <c r="T37" s="40">
        <f>'Příjmy a Výdaje '!O34</f>
        <v>-18441</v>
      </c>
      <c r="U37" s="40">
        <f>'Příjmy a Výdaje '!P34</f>
        <v>-5266</v>
      </c>
      <c r="X37" s="40">
        <f t="shared" si="1"/>
        <v>0</v>
      </c>
      <c r="Y37" s="40">
        <f t="shared" si="2"/>
        <v>-1</v>
      </c>
      <c r="Z37" s="40">
        <f t="shared" si="3"/>
        <v>0</v>
      </c>
    </row>
    <row r="38" spans="1:26" ht="16.5" customHeight="1" x14ac:dyDescent="0.25">
      <c r="A38" s="20" t="s">
        <v>179</v>
      </c>
      <c r="B38" s="21">
        <v>14746</v>
      </c>
      <c r="C38" s="22">
        <v>15819</v>
      </c>
      <c r="D38" s="22">
        <v>4327</v>
      </c>
      <c r="E38" s="23">
        <f t="shared" si="0"/>
        <v>27.353182881345216</v>
      </c>
      <c r="F38" s="21"/>
      <c r="G38" s="22"/>
      <c r="H38" s="22"/>
      <c r="I38" s="23"/>
      <c r="J38" s="21"/>
      <c r="K38" s="22"/>
      <c r="L38" s="22"/>
      <c r="M38" s="23"/>
      <c r="N38" s="21"/>
      <c r="O38" s="22"/>
      <c r="P38" s="22"/>
      <c r="Q38" s="23"/>
      <c r="S38" s="40">
        <f>'Příjmy a Výdaje '!N35</f>
        <v>-14746</v>
      </c>
      <c r="T38" s="40">
        <f>'Příjmy a Výdaje '!O35</f>
        <v>-15819</v>
      </c>
      <c r="U38" s="40">
        <f>'Příjmy a Výdaje '!P35</f>
        <v>-4327</v>
      </c>
      <c r="X38" s="40">
        <f t="shared" si="1"/>
        <v>0</v>
      </c>
      <c r="Y38" s="40">
        <f t="shared" si="2"/>
        <v>0</v>
      </c>
      <c r="Z38" s="40">
        <f t="shared" si="3"/>
        <v>0</v>
      </c>
    </row>
    <row r="39" spans="1:26" ht="16.5" customHeight="1" x14ac:dyDescent="0.25">
      <c r="A39" s="20" t="s">
        <v>180</v>
      </c>
      <c r="B39" s="21"/>
      <c r="C39" s="22">
        <v>1523</v>
      </c>
      <c r="D39" s="22">
        <v>1074</v>
      </c>
      <c r="E39" s="23">
        <f t="shared" si="0"/>
        <v>70.518713066316479</v>
      </c>
      <c r="F39" s="21"/>
      <c r="G39" s="22"/>
      <c r="H39" s="22"/>
      <c r="I39" s="23"/>
      <c r="J39" s="21"/>
      <c r="K39" s="22"/>
      <c r="L39" s="22"/>
      <c r="M39" s="23"/>
      <c r="N39" s="21"/>
      <c r="O39" s="22"/>
      <c r="P39" s="22"/>
      <c r="Q39" s="23"/>
      <c r="S39" s="40">
        <f>'Příjmy a Výdaje '!N36</f>
        <v>0</v>
      </c>
      <c r="T39" s="40">
        <f>'Příjmy a Výdaje '!O36</f>
        <v>-1523</v>
      </c>
      <c r="U39" s="40">
        <f>'Příjmy a Výdaje '!P36</f>
        <v>-1074</v>
      </c>
      <c r="X39" s="40">
        <f t="shared" si="1"/>
        <v>0</v>
      </c>
      <c r="Y39" s="40">
        <f t="shared" si="2"/>
        <v>0</v>
      </c>
      <c r="Z39" s="40">
        <f t="shared" si="3"/>
        <v>0</v>
      </c>
    </row>
    <row r="40" spans="1:26" ht="16.5" customHeight="1" x14ac:dyDescent="0.25">
      <c r="A40" s="20" t="s">
        <v>181</v>
      </c>
      <c r="B40" s="21"/>
      <c r="C40" s="22">
        <v>305</v>
      </c>
      <c r="D40" s="22">
        <v>-15373</v>
      </c>
      <c r="E40" s="23"/>
      <c r="F40" s="21"/>
      <c r="G40" s="22"/>
      <c r="H40" s="22"/>
      <c r="I40" s="23"/>
      <c r="J40" s="21"/>
      <c r="K40" s="22"/>
      <c r="L40" s="22"/>
      <c r="M40" s="23"/>
      <c r="N40" s="21"/>
      <c r="O40" s="22"/>
      <c r="P40" s="22"/>
      <c r="Q40" s="23"/>
      <c r="S40" s="40">
        <f>'Příjmy a Výdaje '!N37</f>
        <v>0</v>
      </c>
      <c r="T40" s="40">
        <f>'Příjmy a Výdaje '!O37</f>
        <v>-305</v>
      </c>
      <c r="U40" s="40">
        <f>'Příjmy a Výdaje '!P37</f>
        <v>15373</v>
      </c>
      <c r="X40" s="40">
        <f t="shared" si="1"/>
        <v>0</v>
      </c>
      <c r="Y40" s="40">
        <f t="shared" si="2"/>
        <v>0</v>
      </c>
      <c r="Z40" s="40">
        <f t="shared" si="3"/>
        <v>0</v>
      </c>
    </row>
    <row r="41" spans="1:26" ht="16.5" customHeight="1" x14ac:dyDescent="0.25">
      <c r="A41" s="20" t="s">
        <v>182</v>
      </c>
      <c r="B41" s="21"/>
      <c r="C41" s="22">
        <v>148</v>
      </c>
      <c r="D41" s="22">
        <v>59</v>
      </c>
      <c r="E41" s="23">
        <f t="shared" ref="E41:E42" si="4">D41/C41*100</f>
        <v>39.864864864864863</v>
      </c>
      <c r="F41" s="21"/>
      <c r="G41" s="22"/>
      <c r="H41" s="22"/>
      <c r="I41" s="23"/>
      <c r="J41" s="21"/>
      <c r="K41" s="22"/>
      <c r="L41" s="22"/>
      <c r="M41" s="23"/>
      <c r="N41" s="21"/>
      <c r="O41" s="22"/>
      <c r="P41" s="22"/>
      <c r="Q41" s="23"/>
      <c r="S41" s="40">
        <f>'Příjmy a Výdaje '!N38</f>
        <v>0</v>
      </c>
      <c r="T41" s="40">
        <f>'Příjmy a Výdaje '!O38</f>
        <v>-149</v>
      </c>
      <c r="U41" s="40">
        <f>'Příjmy a Výdaje '!P38</f>
        <v>-59</v>
      </c>
      <c r="X41" s="40">
        <f t="shared" si="1"/>
        <v>0</v>
      </c>
      <c r="Y41" s="40">
        <f t="shared" si="2"/>
        <v>-1</v>
      </c>
      <c r="Z41" s="40">
        <f t="shared" si="3"/>
        <v>0</v>
      </c>
    </row>
    <row r="42" spans="1:26" ht="16.5" customHeight="1" thickBot="1" x14ac:dyDescent="0.3">
      <c r="A42" s="24" t="s">
        <v>183</v>
      </c>
      <c r="B42" s="25"/>
      <c r="C42" s="26">
        <v>1305</v>
      </c>
      <c r="D42" s="26">
        <v>712</v>
      </c>
      <c r="E42" s="27">
        <f t="shared" si="4"/>
        <v>54.559386973180082</v>
      </c>
      <c r="F42" s="25"/>
      <c r="G42" s="26"/>
      <c r="H42" s="26"/>
      <c r="I42" s="27"/>
      <c r="J42" s="25"/>
      <c r="K42" s="26"/>
      <c r="L42" s="26"/>
      <c r="M42" s="27"/>
      <c r="N42" s="25"/>
      <c r="O42" s="26"/>
      <c r="P42" s="26"/>
      <c r="Q42" s="27"/>
      <c r="S42" s="40">
        <f>'Příjmy a Výdaje '!N39</f>
        <v>0</v>
      </c>
      <c r="T42" s="40">
        <f>'Příjmy a Výdaje '!O39</f>
        <v>-1305</v>
      </c>
      <c r="U42" s="40">
        <f>'Příjmy a Výdaje '!P39</f>
        <v>-712</v>
      </c>
      <c r="X42" s="40">
        <f t="shared" si="1"/>
        <v>0</v>
      </c>
      <c r="Y42" s="40"/>
      <c r="Z42" s="40">
        <f t="shared" si="3"/>
        <v>0</v>
      </c>
    </row>
    <row r="43" spans="1:26" ht="15" customHeight="1" thickBot="1" x14ac:dyDescent="0.3">
      <c r="A43" s="44"/>
      <c r="B43" s="50"/>
      <c r="C43" s="51"/>
      <c r="D43" s="51"/>
      <c r="E43" s="35"/>
      <c r="F43" s="50"/>
      <c r="G43" s="51"/>
      <c r="H43" s="51"/>
      <c r="I43" s="35"/>
      <c r="J43" s="50"/>
      <c r="K43" s="51"/>
      <c r="L43" s="51"/>
      <c r="M43" s="35"/>
      <c r="N43" s="50"/>
      <c r="O43" s="51"/>
      <c r="P43" s="51"/>
      <c r="Q43" s="35"/>
      <c r="S43" s="40">
        <f>'Příjmy a Výdaje '!N40</f>
        <v>0</v>
      </c>
      <c r="T43" s="40">
        <f>'Příjmy a Výdaje '!O40</f>
        <v>0</v>
      </c>
      <c r="U43" s="40">
        <f>'Příjmy a Výdaje '!P40</f>
        <v>0</v>
      </c>
    </row>
    <row r="44" spans="1:26" s="221" customFormat="1" ht="18" customHeight="1" thickBot="1" x14ac:dyDescent="0.3">
      <c r="A44" s="45" t="s">
        <v>198</v>
      </c>
      <c r="B44" s="36">
        <f>SUM(B14:B42)</f>
        <v>627269</v>
      </c>
      <c r="C44" s="42">
        <f>SUM(C14:C42)</f>
        <v>1145721</v>
      </c>
      <c r="D44" s="42">
        <f>SUM(D14:D42)</f>
        <v>-159554</v>
      </c>
      <c r="E44" s="243"/>
      <c r="F44" s="36">
        <f>SUM(F14:F42)</f>
        <v>-47264</v>
      </c>
      <c r="G44" s="42">
        <f>SUM(G14:G42)</f>
        <v>-59360</v>
      </c>
      <c r="H44" s="42">
        <f>SUM(H14:H42)</f>
        <v>-59357</v>
      </c>
      <c r="I44" s="39">
        <f>H44/G44*100</f>
        <v>99.994946091644209</v>
      </c>
      <c r="J44" s="36">
        <f>SUM(J14:J42)</f>
        <v>0</v>
      </c>
      <c r="K44" s="42">
        <f>SUM(K14:K42)</f>
        <v>0</v>
      </c>
      <c r="L44" s="42">
        <f>SUM(L14:L42)</f>
        <v>0</v>
      </c>
      <c r="M44" s="39"/>
      <c r="N44" s="36">
        <f>SUM(N14:N42)</f>
        <v>0</v>
      </c>
      <c r="O44" s="42">
        <f>SUM(O14:O42)</f>
        <v>0</v>
      </c>
      <c r="P44" s="42">
        <f>SUM(P14:P42)</f>
        <v>-15000</v>
      </c>
      <c r="Q44" s="39"/>
      <c r="V44" s="221">
        <f>SUM(V14:V43)</f>
        <v>0</v>
      </c>
    </row>
    <row r="45" spans="1:26" ht="15.95" customHeight="1" x14ac:dyDescent="0.25">
      <c r="Q45" s="75"/>
      <c r="V45" s="222" t="e">
        <f>#REF!+V44</f>
        <v>#REF!</v>
      </c>
    </row>
    <row r="46" spans="1:26" ht="15.95" customHeight="1" x14ac:dyDescent="0.25">
      <c r="S46" s="222">
        <v>605398</v>
      </c>
      <c r="T46" s="222">
        <v>953185</v>
      </c>
      <c r="U46" s="222">
        <v>-167872</v>
      </c>
    </row>
    <row r="47" spans="1:26" ht="15.95" customHeight="1" x14ac:dyDescent="0.25">
      <c r="A47" s="221">
        <v>2012</v>
      </c>
      <c r="B47" s="222">
        <v>362113</v>
      </c>
      <c r="C47" s="222">
        <v>469891</v>
      </c>
      <c r="D47" s="222">
        <f>-485090+2488</f>
        <v>-482602</v>
      </c>
      <c r="F47" s="222">
        <v>-73311</v>
      </c>
      <c r="G47" s="222">
        <v>-75238</v>
      </c>
      <c r="H47" s="222">
        <v>-75218</v>
      </c>
      <c r="L47" s="222">
        <f>4863500-4863500</f>
        <v>0</v>
      </c>
    </row>
    <row r="48" spans="1:26" ht="15.95" customHeight="1" x14ac:dyDescent="0.25"/>
    <row r="49" spans="1:21" ht="15.95" customHeight="1" x14ac:dyDescent="0.25">
      <c r="A49" s="221">
        <v>2013</v>
      </c>
      <c r="B49" s="222">
        <v>691735</v>
      </c>
      <c r="C49" s="222">
        <v>1021475</v>
      </c>
      <c r="D49" s="222">
        <f>-40411+5762</f>
        <v>-34649</v>
      </c>
      <c r="F49" s="222">
        <v>-72796</v>
      </c>
      <c r="G49" s="222">
        <v>-72816</v>
      </c>
      <c r="H49" s="222">
        <v>-72828</v>
      </c>
      <c r="L49" s="222">
        <f>515953-561953</f>
        <v>-46000</v>
      </c>
      <c r="P49" s="222">
        <v>-15000</v>
      </c>
      <c r="S49" s="40">
        <f>SUM(S14:S42)</f>
        <v>-580005</v>
      </c>
      <c r="T49" s="222">
        <f t="shared" ref="T49:U49" si="5">SUM(T14:T42)</f>
        <v>-1086361</v>
      </c>
      <c r="U49" s="222">
        <f t="shared" si="5"/>
        <v>233911</v>
      </c>
    </row>
    <row r="50" spans="1:21" x14ac:dyDescent="0.25">
      <c r="B50" s="40"/>
      <c r="D50" s="427">
        <f>-485089831+2487754</f>
        <v>-482602077</v>
      </c>
      <c r="E50" s="427"/>
    </row>
    <row r="51" spans="1:21" x14ac:dyDescent="0.25">
      <c r="C51" s="222">
        <f>C49-C44</f>
        <v>-124246</v>
      </c>
      <c r="D51" s="222">
        <f>D49-D44</f>
        <v>124905</v>
      </c>
      <c r="E51" s="222">
        <f>9+328</f>
        <v>337</v>
      </c>
    </row>
    <row r="52" spans="1:21" x14ac:dyDescent="0.25">
      <c r="C52" s="222">
        <f>C51/2</f>
        <v>-62123</v>
      </c>
      <c r="E52" s="291"/>
    </row>
    <row r="53" spans="1:21" x14ac:dyDescent="0.25">
      <c r="D53" s="222">
        <f>D52/2</f>
        <v>0</v>
      </c>
      <c r="E53" s="291"/>
    </row>
    <row r="54" spans="1:21" x14ac:dyDescent="0.25">
      <c r="E54" s="291"/>
    </row>
  </sheetData>
  <mergeCells count="31">
    <mergeCell ref="D50:E50"/>
    <mergeCell ref="S8:U8"/>
    <mergeCell ref="S9:U9"/>
    <mergeCell ref="O9:O10"/>
    <mergeCell ref="P9:P10"/>
    <mergeCell ref="H9:H10"/>
    <mergeCell ref="J9:J10"/>
    <mergeCell ref="K9:K10"/>
    <mergeCell ref="L9:L10"/>
    <mergeCell ref="N9:N10"/>
    <mergeCell ref="D9:D10"/>
    <mergeCell ref="N12:Q12"/>
    <mergeCell ref="B12:E12"/>
    <mergeCell ref="J12:M12"/>
    <mergeCell ref="F12:I12"/>
    <mergeCell ref="A2:Q2"/>
    <mergeCell ref="A4:Q4"/>
    <mergeCell ref="B9:B10"/>
    <mergeCell ref="B8:E8"/>
    <mergeCell ref="F8:I8"/>
    <mergeCell ref="N7:Q7"/>
    <mergeCell ref="A3:Q3"/>
    <mergeCell ref="N8:Q8"/>
    <mergeCell ref="J7:M7"/>
    <mergeCell ref="J8:M8"/>
    <mergeCell ref="A7:A10"/>
    <mergeCell ref="B7:E7"/>
    <mergeCell ref="F7:I7"/>
    <mergeCell ref="F9:F10"/>
    <mergeCell ref="G9:G10"/>
    <mergeCell ref="C9:C10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List2">
    <pageSetUpPr fitToPage="1"/>
  </sheetPr>
  <dimension ref="A1:T107"/>
  <sheetViews>
    <sheetView showZeros="0" tabSelected="1" view="pageBreakPreview" zoomScaleNormal="85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ColWidth="9.77734375" defaultRowHeight="15.75" x14ac:dyDescent="0.25"/>
  <cols>
    <col min="1" max="1" width="27.33203125" style="229" customWidth="1"/>
    <col min="2" max="4" width="11.77734375" style="230" customWidth="1"/>
    <col min="5" max="5" width="13.33203125" style="230" hidden="1" customWidth="1"/>
    <col min="6" max="6" width="6.33203125" style="230" hidden="1" customWidth="1"/>
    <col min="7" max="7" width="6.77734375" style="230" customWidth="1"/>
    <col min="8" max="10" width="11.77734375" style="230" customWidth="1"/>
    <col min="11" max="11" width="6.77734375" style="230" customWidth="1"/>
    <col min="12" max="14" width="11.77734375" style="230" customWidth="1"/>
    <col min="15" max="15" width="6.77734375" style="230" customWidth="1"/>
    <col min="16" max="18" width="11.77734375" style="230" customWidth="1"/>
    <col min="19" max="19" width="6.77734375" style="230" customWidth="1"/>
    <col min="20" max="20" width="7.77734375" style="230" customWidth="1"/>
    <col min="21" max="21" width="0" style="230" hidden="1" customWidth="1"/>
    <col min="22" max="24" width="9.77734375" style="230"/>
    <col min="25" max="25" width="10.77734375" style="230" customWidth="1"/>
    <col min="26" max="28" width="9.77734375" style="230"/>
    <col min="29" max="29" width="10.77734375" style="230" customWidth="1"/>
    <col min="30" max="32" width="9.77734375" style="230"/>
    <col min="33" max="33" width="10.77734375" style="230" customWidth="1"/>
    <col min="34" max="36" width="9.77734375" style="230"/>
    <col min="37" max="37" width="10.77734375" style="230" customWidth="1"/>
    <col min="38" max="16384" width="9.77734375" style="230"/>
  </cols>
  <sheetData>
    <row r="1" spans="1:20" ht="17.25" customHeight="1" x14ac:dyDescent="0.25"/>
    <row r="2" spans="1:20" s="16" customFormat="1" ht="24" customHeight="1" x14ac:dyDescent="0.35">
      <c r="A2" s="339" t="s">
        <v>244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15"/>
    </row>
    <row r="3" spans="1:20" s="16" customFormat="1" ht="15" customHeight="1" x14ac:dyDescent="0.35">
      <c r="A3" s="228"/>
      <c r="P3" s="16" t="s">
        <v>10</v>
      </c>
    </row>
    <row r="4" spans="1:20" s="16" customFormat="1" ht="21" customHeight="1" x14ac:dyDescent="0.35">
      <c r="A4" s="339" t="s">
        <v>17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</row>
    <row r="5" spans="1:20" ht="22.5" customHeight="1" x14ac:dyDescent="0.25">
      <c r="S5" s="10" t="s">
        <v>9</v>
      </c>
    </row>
    <row r="6" spans="1:20" ht="22.5" customHeight="1" thickBot="1" x14ac:dyDescent="0.3">
      <c r="S6" s="10" t="s">
        <v>1</v>
      </c>
    </row>
    <row r="7" spans="1:20" ht="21.75" customHeight="1" thickBot="1" x14ac:dyDescent="0.3">
      <c r="A7" s="336" t="s">
        <v>192</v>
      </c>
      <c r="B7" s="347" t="s">
        <v>14</v>
      </c>
      <c r="C7" s="348"/>
      <c r="D7" s="348"/>
      <c r="E7" s="348"/>
      <c r="F7" s="348"/>
      <c r="G7" s="349"/>
      <c r="H7" s="347" t="s">
        <v>16</v>
      </c>
      <c r="I7" s="348"/>
      <c r="J7" s="348"/>
      <c r="K7" s="349"/>
      <c r="L7" s="347" t="s">
        <v>18</v>
      </c>
      <c r="M7" s="348"/>
      <c r="N7" s="348"/>
      <c r="O7" s="349"/>
      <c r="P7" s="347" t="s">
        <v>118</v>
      </c>
      <c r="Q7" s="348"/>
      <c r="R7" s="348"/>
      <c r="S7" s="349"/>
    </row>
    <row r="8" spans="1:20" ht="18" customHeight="1" x14ac:dyDescent="0.25">
      <c r="A8" s="337"/>
      <c r="B8" s="350" t="s">
        <v>196</v>
      </c>
      <c r="C8" s="330" t="s">
        <v>197</v>
      </c>
      <c r="D8" s="330" t="s">
        <v>223</v>
      </c>
      <c r="E8" s="67" t="s">
        <v>0</v>
      </c>
      <c r="F8" s="68"/>
      <c r="G8" s="19" t="s">
        <v>0</v>
      </c>
      <c r="H8" s="350" t="s">
        <v>196</v>
      </c>
      <c r="I8" s="330" t="s">
        <v>197</v>
      </c>
      <c r="J8" s="330" t="s">
        <v>223</v>
      </c>
      <c r="K8" s="19" t="s">
        <v>0</v>
      </c>
      <c r="L8" s="350" t="s">
        <v>196</v>
      </c>
      <c r="M8" s="330" t="s">
        <v>197</v>
      </c>
      <c r="N8" s="330" t="s">
        <v>223</v>
      </c>
      <c r="O8" s="19" t="s">
        <v>0</v>
      </c>
      <c r="P8" s="350" t="s">
        <v>196</v>
      </c>
      <c r="Q8" s="330" t="s">
        <v>197</v>
      </c>
      <c r="R8" s="330" t="s">
        <v>223</v>
      </c>
      <c r="S8" s="19" t="s">
        <v>0</v>
      </c>
    </row>
    <row r="9" spans="1:20" ht="18" customHeight="1" thickBot="1" x14ac:dyDescent="0.3">
      <c r="A9" s="338"/>
      <c r="B9" s="333"/>
      <c r="C9" s="331"/>
      <c r="D9" s="331"/>
      <c r="E9" s="69" t="s">
        <v>11</v>
      </c>
      <c r="F9" s="70"/>
      <c r="G9" s="18" t="s">
        <v>11</v>
      </c>
      <c r="H9" s="333"/>
      <c r="I9" s="331"/>
      <c r="J9" s="331"/>
      <c r="K9" s="18" t="s">
        <v>11</v>
      </c>
      <c r="L9" s="333"/>
      <c r="M9" s="331"/>
      <c r="N9" s="331"/>
      <c r="O9" s="18" t="s">
        <v>11</v>
      </c>
      <c r="P9" s="333"/>
      <c r="Q9" s="331"/>
      <c r="R9" s="331"/>
      <c r="S9" s="18" t="s">
        <v>11</v>
      </c>
    </row>
    <row r="10" spans="1:20" ht="17.100000000000001" customHeight="1" thickBot="1" x14ac:dyDescent="0.3">
      <c r="A10" s="44"/>
      <c r="B10" s="32"/>
      <c r="C10" s="231"/>
      <c r="D10" s="231"/>
      <c r="E10" s="231"/>
      <c r="F10" s="231"/>
      <c r="G10" s="232"/>
      <c r="H10" s="32"/>
      <c r="I10" s="231"/>
      <c r="J10" s="231"/>
      <c r="K10" s="232"/>
      <c r="L10" s="32"/>
      <c r="M10" s="231"/>
      <c r="N10" s="231"/>
      <c r="O10" s="232"/>
      <c r="P10" s="32"/>
      <c r="Q10" s="231"/>
      <c r="R10" s="231"/>
      <c r="S10" s="232"/>
    </row>
    <row r="11" spans="1:20" ht="17.100000000000001" customHeight="1" x14ac:dyDescent="0.25">
      <c r="A11" s="28" t="s">
        <v>155</v>
      </c>
      <c r="B11" s="29">
        <f>'Daňové příjmy'!B12+'Daňové příjmy'!F12++'Daňové příjmy'!J12+'Daňové příjmy'!N12+'Ost.daně=Místní popl.'!B13</f>
        <v>57400</v>
      </c>
      <c r="C11" s="30">
        <f>'Daňové příjmy'!C12+'Daňové příjmy'!G12++'Daňové příjmy'!K12+'Daňové příjmy'!O12+'Ost.daně=Místní popl.'!C13</f>
        <v>64552</v>
      </c>
      <c r="D11" s="30">
        <f>'Daňové příjmy'!D12+'Daňové příjmy'!H12+'Daňové příjmy'!L12+'Daňové příjmy'!P12+'Ost.daně=Místní popl.'!D13</f>
        <v>63183</v>
      </c>
      <c r="E11" s="71">
        <v>-85288736.079999998</v>
      </c>
      <c r="F11" s="71">
        <f>-E11/1000-D11</f>
        <v>22105.736080000002</v>
      </c>
      <c r="G11" s="31">
        <f t="shared" ref="G11:G39" si="0">SUM(D11/C11*100)</f>
        <v>97.879229148593382</v>
      </c>
      <c r="H11" s="29">
        <f>'Nedaňové příjmy'!B14+'Nedaňové příjmy'!F14+'Nedaňové příjmy'!J14+'Nedaňové příjmy'!N14+'Nedaňové příjmy'!R14+'Nedaňové příjmy'!V14</f>
        <v>13369</v>
      </c>
      <c r="I11" s="30">
        <f>'Nedaňové příjmy'!C14+'Nedaňové příjmy'!G14+'Nedaňové příjmy'!K14+'Nedaňové příjmy'!O14+'Nedaňové příjmy'!S14+'Nedaňové příjmy'!W14</f>
        <v>17631</v>
      </c>
      <c r="J11" s="30">
        <f>'Nedaňové příjmy'!D14+'Nedaňové příjmy'!H14+'Nedaňové příjmy'!L14+'Nedaňové příjmy'!P14+'Nedaňové příjmy'!T14+'Nedaňové příjmy'!X14</f>
        <v>17831</v>
      </c>
      <c r="K11" s="31">
        <f>SUM(J11/I11*100)</f>
        <v>101.13436560603482</v>
      </c>
      <c r="L11" s="29">
        <f>'Kapitálové příjmy'!B12+'Kapitálové příjmy'!F12</f>
        <v>0</v>
      </c>
      <c r="M11" s="30">
        <f>'Kapitálové příjmy'!C12+'Kapitálové příjmy'!G12</f>
        <v>0</v>
      </c>
      <c r="N11" s="30">
        <f>'Kapitálové příjmy'!D12+'Kapitálové příjmy'!H12</f>
        <v>13</v>
      </c>
      <c r="O11" s="31"/>
      <c r="P11" s="29">
        <f>'Transfery neinvestiční 2.5'!B13+'Transfery neinvestiční 2.5'!F13+'Transfery neinvestiční 2.5'!J13+'Transfery neinvestiční 2.5'!N13+'Transfery neinvestiční 2.5'!R13+'Transfery nein.2.5a'!B15+'Transfery nein.2.5a'!R15+'Transfery nein.2.5a'!V15+'Transfery investiční'!AE15+'Transfery investiční'!E13+'Transfery investiční'!I13+'Transfery investiční'!M13+'Transfery investiční'!U13+'Transfery nein.2.5a'!AE15</f>
        <v>288079</v>
      </c>
      <c r="Q11" s="30">
        <f>'Transfery neinvestiční 2.5'!C13+'Transfery neinvestiční 2.5'!G13+'Transfery neinvestiční 2.5'!K13+'Transfery neinvestiční 2.5'!O13+'Transfery neinvestiční 2.5'!S13+'Transfery nein.2.5a'!C15+'Transfery nein.2.5a'!S15+'Transfery nein.2.5a'!W15+'Transfery investiční'!AF15+'Transfery investiční'!F13+'Transfery investiční'!J13+'Transfery investiční'!N13+'Transfery investiční'!V13+'Transfery nein.2.5a'!AF15</f>
        <v>365320</v>
      </c>
      <c r="R11" s="322">
        <f>'Transfery neinvestiční 2.5'!D13+'Transfery neinvestiční 2.5'!H13+'Transfery neinvestiční 2.5'!L13+'Transfery neinvestiční 2.5'!P13+'Transfery neinvestiční 2.5'!T13+'Transfery nein.2.5a'!D15+'Transfery nein.2.5a'!T15+'Transfery nein.2.5a'!X15+'Transfery investiční'!AG15+'Transfery investiční'!G13+'Transfery investiční'!K13+'Transfery investiční'!O13+'Transfery investiční'!W13+'Transfery nein.2.5a'!AG15</f>
        <v>328759</v>
      </c>
      <c r="S11" s="31">
        <f>SUM(R11/Q11*100)</f>
        <v>89.992061754078605</v>
      </c>
    </row>
    <row r="12" spans="1:20" ht="17.100000000000001" customHeight="1" x14ac:dyDescent="0.25">
      <c r="A12" s="20" t="s">
        <v>156</v>
      </c>
      <c r="B12" s="21">
        <f>'Daňové příjmy'!B13+'Daňové příjmy'!F13++'Daňové příjmy'!J13+'Daňové příjmy'!N13+'Ost.daně=Místní popl.'!B14</f>
        <v>3001</v>
      </c>
      <c r="C12" s="22">
        <f>'Daňové příjmy'!C13+'Daňové příjmy'!G13++'Daňové příjmy'!K13+'Daňové příjmy'!O13+'Ost.daně=Místní popl.'!C14</f>
        <v>3997</v>
      </c>
      <c r="D12" s="22">
        <f>'Daňové příjmy'!D13+'Daňové příjmy'!H13+'Daňové příjmy'!L13+'Daňové příjmy'!P13+'Ost.daně=Místní popl.'!D14</f>
        <v>4003</v>
      </c>
      <c r="E12" s="72">
        <v>-5982635</v>
      </c>
      <c r="F12" s="72">
        <f t="shared" ref="F12:F39" si="1">-E12/1000-D12</f>
        <v>1979.6350000000002</v>
      </c>
      <c r="G12" s="23">
        <f t="shared" si="0"/>
        <v>100.15011258443833</v>
      </c>
      <c r="H12" s="21">
        <f>'Nedaňové příjmy'!B15+'Nedaňové příjmy'!F15+'Nedaňové příjmy'!J15+'Nedaňové příjmy'!N15+'Nedaňové příjmy'!R15+'Nedaňové příjmy'!V15</f>
        <v>4451</v>
      </c>
      <c r="I12" s="22">
        <f>'Nedaňové příjmy'!C15+'Nedaňové příjmy'!G15+'Nedaňové příjmy'!K15+'Nedaňové příjmy'!O15+'Nedaňové příjmy'!S15+'Nedaňové příjmy'!W15</f>
        <v>7562</v>
      </c>
      <c r="J12" s="22">
        <f>'Nedaňové příjmy'!D15+'Nedaňové příjmy'!H15+'Nedaňové příjmy'!L15+'Nedaňové příjmy'!P15+'Nedaňové příjmy'!T15+'Nedaňové příjmy'!X15</f>
        <v>7746</v>
      </c>
      <c r="K12" s="23">
        <f t="shared" ref="K12:K39" si="2">SUM(J12/I12*100)</f>
        <v>102.43321872520497</v>
      </c>
      <c r="L12" s="21">
        <f>'Kapitálové příjmy'!B13+'Kapitálové příjmy'!F13</f>
        <v>0</v>
      </c>
      <c r="M12" s="22">
        <f>'Kapitálové příjmy'!C13+'Kapitálové příjmy'!G13</f>
        <v>0</v>
      </c>
      <c r="N12" s="22">
        <f>'Kapitálové příjmy'!D13+'Kapitálové příjmy'!H13</f>
        <v>0</v>
      </c>
      <c r="O12" s="23"/>
      <c r="P12" s="21">
        <f>'Transfery neinvestiční 2.5'!B14+'Transfery neinvestiční 2.5'!F14+'Transfery neinvestiční 2.5'!J14+'Transfery neinvestiční 2.5'!N14+'Transfery neinvestiční 2.5'!R14+'Transfery nein.2.5a'!B16+'Transfery nein.2.5a'!R16+'Transfery nein.2.5a'!V16+'Transfery investiční'!AE16+'Transfery investiční'!E14+'Transfery investiční'!I14+'Transfery investiční'!M14+'Transfery investiční'!U14+'Transfery nein.2.5a'!AE16</f>
        <v>41392</v>
      </c>
      <c r="Q12" s="22">
        <f>'Transfery neinvestiční 2.5'!C14+'Transfery neinvestiční 2.5'!G14+'Transfery neinvestiční 2.5'!K14+'Transfery neinvestiční 2.5'!O14+'Transfery neinvestiční 2.5'!S14+'Transfery nein.2.5a'!C16+'Transfery nein.2.5a'!S16+'Transfery nein.2.5a'!W16+'Transfery investiční'!AF16+'Transfery investiční'!F14+'Transfery investiční'!J14+'Transfery investiční'!N14+'Transfery investiční'!V14+'Transfery nein.2.5a'!AF16</f>
        <v>57550</v>
      </c>
      <c r="R12" s="323">
        <f>'Transfery neinvestiční 2.5'!D14+'Transfery neinvestiční 2.5'!H14+'Transfery neinvestiční 2.5'!L14+'Transfery neinvestiční 2.5'!P14+'Transfery neinvestiční 2.5'!T14+'Transfery nein.2.5a'!D16+'Transfery nein.2.5a'!T16+'Transfery nein.2.5a'!X16+'Transfery investiční'!AG16+'Transfery investiční'!G14+'Transfery investiční'!K14+'Transfery investiční'!O14+'Transfery investiční'!W14+'Transfery nein.2.5a'!AG16</f>
        <v>57550</v>
      </c>
      <c r="S12" s="23">
        <f t="shared" ref="S12:S39" si="3">SUM(R12/Q12*100)</f>
        <v>100</v>
      </c>
    </row>
    <row r="13" spans="1:20" ht="17.100000000000001" customHeight="1" x14ac:dyDescent="0.25">
      <c r="A13" s="20" t="s">
        <v>157</v>
      </c>
      <c r="B13" s="21">
        <f>'Daňové příjmy'!B14+'Daňové příjmy'!F14++'Daňové příjmy'!J14+'Daňové příjmy'!N14+'Ost.daně=Místní popl.'!B15</f>
        <v>7160</v>
      </c>
      <c r="C13" s="22">
        <f>'Daňové příjmy'!C14+'Daňové příjmy'!G14++'Daňové příjmy'!K14+'Daňové příjmy'!O14+'Ost.daně=Místní popl.'!C15</f>
        <v>6714</v>
      </c>
      <c r="D13" s="22">
        <f>'Daňové příjmy'!D14+'Daňové příjmy'!H14+'Daňové příjmy'!L14+'Daňové příjmy'!P14+'Ost.daně=Místní popl.'!D15</f>
        <v>6680</v>
      </c>
      <c r="E13" s="72">
        <v>-9125358.8599999994</v>
      </c>
      <c r="F13" s="72">
        <f t="shared" si="1"/>
        <v>2445.3588600000003</v>
      </c>
      <c r="G13" s="23">
        <f t="shared" si="0"/>
        <v>99.49359547214776</v>
      </c>
      <c r="H13" s="21">
        <f>'Nedaňové příjmy'!B16+'Nedaňové příjmy'!F16+'Nedaňové příjmy'!J16+'Nedaňové příjmy'!N16+'Nedaňové příjmy'!R16+'Nedaňové příjmy'!V16</f>
        <v>3419</v>
      </c>
      <c r="I13" s="22">
        <f>'Nedaňové příjmy'!C16+'Nedaňové příjmy'!G16+'Nedaňové příjmy'!K16+'Nedaňové příjmy'!O16+'Nedaňové příjmy'!S16+'Nedaňové příjmy'!W16</f>
        <v>3604</v>
      </c>
      <c r="J13" s="22">
        <f>'Nedaňové příjmy'!D16+'Nedaňové příjmy'!H16+'Nedaňové příjmy'!L16+'Nedaňové příjmy'!P16+'Nedaňové příjmy'!T16+'Nedaňové příjmy'!X16</f>
        <v>3732</v>
      </c>
      <c r="K13" s="23">
        <f t="shared" si="2"/>
        <v>103.55160932297447</v>
      </c>
      <c r="L13" s="21">
        <f>'Kapitálové příjmy'!B14+'Kapitálové příjmy'!F14</f>
        <v>0</v>
      </c>
      <c r="M13" s="22">
        <f>'Kapitálové příjmy'!C14+'Kapitálové příjmy'!G14</f>
        <v>0</v>
      </c>
      <c r="N13" s="22">
        <f>'Kapitálové příjmy'!D14+'Kapitálové příjmy'!H14</f>
        <v>0</v>
      </c>
      <c r="O13" s="23"/>
      <c r="P13" s="21">
        <f>'Transfery neinvestiční 2.5'!B15+'Transfery neinvestiční 2.5'!F15+'Transfery neinvestiční 2.5'!J15+'Transfery neinvestiční 2.5'!N15+'Transfery neinvestiční 2.5'!R15+'Transfery nein.2.5a'!B17+'Transfery nein.2.5a'!R17+'Transfery nein.2.5a'!V17+'Transfery investiční'!AE17+'Transfery investiční'!E15+'Transfery investiční'!I15+'Transfery investiční'!M15+'Transfery investiční'!U15+'Transfery nein.2.5a'!AE17</f>
        <v>38052</v>
      </c>
      <c r="Q13" s="22">
        <f>'Transfery neinvestiční 2.5'!C15+'Transfery neinvestiční 2.5'!G15+'Transfery neinvestiční 2.5'!K15+'Transfery neinvestiční 2.5'!O15+'Transfery neinvestiční 2.5'!S15+'Transfery nein.2.5a'!C17+'Transfery nein.2.5a'!S17+'Transfery nein.2.5a'!W17+'Transfery investiční'!AF17+'Transfery investiční'!F15+'Transfery investiční'!J15+'Transfery investiční'!N15+'Transfery investiční'!V15+'Transfery nein.2.5a'!AF17</f>
        <v>69800</v>
      </c>
      <c r="R13" s="323">
        <f>'Transfery neinvestiční 2.5'!D15+'Transfery neinvestiční 2.5'!H15+'Transfery neinvestiční 2.5'!L15+'Transfery neinvestiční 2.5'!P15+'Transfery neinvestiční 2.5'!T15+'Transfery nein.2.5a'!D17+'Transfery nein.2.5a'!T17+'Transfery nein.2.5a'!X17+'Transfery investiční'!AG17+'Transfery investiční'!G15+'Transfery investiční'!K15+'Transfery investiční'!O15+'Transfery investiční'!W15+'Transfery nein.2.5a'!AG17</f>
        <v>69799</v>
      </c>
      <c r="S13" s="23">
        <f t="shared" si="3"/>
        <v>99.99856733524355</v>
      </c>
    </row>
    <row r="14" spans="1:20" ht="17.100000000000001" customHeight="1" x14ac:dyDescent="0.25">
      <c r="A14" s="20" t="s">
        <v>158</v>
      </c>
      <c r="B14" s="21">
        <f>'Daňové příjmy'!B15+'Daňové příjmy'!F15++'Daňové příjmy'!J15+'Daňové příjmy'!N15+'Ost.daně=Místní popl.'!B16</f>
        <v>631</v>
      </c>
      <c r="C14" s="22">
        <f>'Daňové příjmy'!C15+'Daňové příjmy'!G15++'Daňové příjmy'!K15+'Daňové příjmy'!O15+'Ost.daně=Místní popl.'!C16</f>
        <v>3995</v>
      </c>
      <c r="D14" s="22">
        <f>'Daňové příjmy'!D15+'Daňové příjmy'!H15+'Daňové příjmy'!L15+'Daňové příjmy'!P15+'Ost.daně=Místní popl.'!D16</f>
        <v>3981</v>
      </c>
      <c r="E14" s="72">
        <v>-5627695</v>
      </c>
      <c r="F14" s="72">
        <f t="shared" si="1"/>
        <v>1646.6949999999997</v>
      </c>
      <c r="G14" s="23">
        <f t="shared" si="0"/>
        <v>99.64956195244055</v>
      </c>
      <c r="H14" s="21">
        <f>'Nedaňové příjmy'!B17+'Nedaňové příjmy'!F17+'Nedaňové příjmy'!J17+'Nedaňové příjmy'!N17+'Nedaňové příjmy'!R17+'Nedaňové příjmy'!V17</f>
        <v>9680</v>
      </c>
      <c r="I14" s="22">
        <f>'Nedaňové příjmy'!C17+'Nedaňové příjmy'!G17+'Nedaňové příjmy'!K17+'Nedaňové příjmy'!O17+'Nedaňové příjmy'!S17+'Nedaňové příjmy'!W17</f>
        <v>1763</v>
      </c>
      <c r="J14" s="22">
        <f>'Nedaňové příjmy'!D17+'Nedaňové příjmy'!H17+'Nedaňové příjmy'!L17+'Nedaňové příjmy'!P17+'Nedaňové příjmy'!T17+'Nedaňové příjmy'!X17</f>
        <v>1882</v>
      </c>
      <c r="K14" s="23">
        <f t="shared" si="2"/>
        <v>106.74985819625637</v>
      </c>
      <c r="L14" s="21">
        <f>'Kapitálové příjmy'!B15+'Kapitálové příjmy'!F15</f>
        <v>0</v>
      </c>
      <c r="M14" s="22">
        <f>'Kapitálové příjmy'!C15+'Kapitálové příjmy'!G15</f>
        <v>9300</v>
      </c>
      <c r="N14" s="22">
        <f>'Kapitálové příjmy'!D15+'Kapitálové příjmy'!H15</f>
        <v>9300</v>
      </c>
      <c r="O14" s="23">
        <f t="shared" ref="O14" si="4">SUM(N14/M14*100)</f>
        <v>100</v>
      </c>
      <c r="P14" s="21">
        <f>'Transfery neinvestiční 2.5'!B16+'Transfery neinvestiční 2.5'!F16+'Transfery neinvestiční 2.5'!J16+'Transfery neinvestiční 2.5'!N16+'Transfery neinvestiční 2.5'!R16+'Transfery nein.2.5a'!B18+'Transfery nein.2.5a'!R18+'Transfery nein.2.5a'!V18+'Transfery investiční'!AE18+'Transfery investiční'!E16+'Transfery investiční'!I16+'Transfery investiční'!M16+'Transfery investiční'!U16+'Transfery nein.2.5a'!AE18</f>
        <v>47918</v>
      </c>
      <c r="Q14" s="22">
        <f>'Transfery neinvestiční 2.5'!C16+'Transfery neinvestiční 2.5'!G16+'Transfery neinvestiční 2.5'!K16+'Transfery neinvestiční 2.5'!O16+'Transfery neinvestiční 2.5'!S16+'Transfery nein.2.5a'!C18+'Transfery nein.2.5a'!S18+'Transfery nein.2.5a'!W18+'Transfery investiční'!AF18+'Transfery investiční'!F16+'Transfery investiční'!J16+'Transfery investiční'!N16+'Transfery investiční'!V16+'Transfery nein.2.5a'!AF18</f>
        <v>69740</v>
      </c>
      <c r="R14" s="323">
        <f>'Transfery neinvestiční 2.5'!D16+'Transfery neinvestiční 2.5'!H16+'Transfery neinvestiční 2.5'!L16+'Transfery neinvestiční 2.5'!P16+'Transfery neinvestiční 2.5'!T16+'Transfery nein.2.5a'!D18+'Transfery nein.2.5a'!T18+'Transfery nein.2.5a'!X18+'Transfery investiční'!AG18+'Transfery investiční'!G16+'Transfery investiční'!K16+'Transfery investiční'!O16+'Transfery investiční'!W16+'Transfery nein.2.5a'!AG18</f>
        <v>69741</v>
      </c>
      <c r="S14" s="23">
        <f t="shared" si="3"/>
        <v>100.00143389733296</v>
      </c>
    </row>
    <row r="15" spans="1:20" ht="17.100000000000001" customHeight="1" x14ac:dyDescent="0.25">
      <c r="A15" s="20" t="s">
        <v>159</v>
      </c>
      <c r="B15" s="21">
        <f>'Daňové příjmy'!B16+'Daňové příjmy'!F16++'Daňové příjmy'!J16+'Daňové příjmy'!N16+'Ost.daně=Místní popl.'!B17</f>
        <v>1036</v>
      </c>
      <c r="C15" s="22">
        <f>'Daňové příjmy'!C16+'Daňové příjmy'!G16++'Daňové příjmy'!K16+'Daňové příjmy'!O16+'Ost.daně=Místní popl.'!C17</f>
        <v>7650</v>
      </c>
      <c r="D15" s="22">
        <f>'Daňové příjmy'!D16+'Daňové příjmy'!H16+'Daňové příjmy'!L16+'Daňové příjmy'!P16+'Ost.daně=Místní popl.'!D17</f>
        <v>7670</v>
      </c>
      <c r="E15" s="72">
        <v>-3603461.08</v>
      </c>
      <c r="F15" s="72">
        <f t="shared" si="1"/>
        <v>-4066.53892</v>
      </c>
      <c r="G15" s="23">
        <f t="shared" si="0"/>
        <v>100.26143790849673</v>
      </c>
      <c r="H15" s="21">
        <f>'Nedaňové příjmy'!B18+'Nedaňové příjmy'!F18+'Nedaňové příjmy'!J18+'Nedaňové příjmy'!N18+'Nedaňové příjmy'!R18+'Nedaňové příjmy'!V18</f>
        <v>3416</v>
      </c>
      <c r="I15" s="22">
        <f>'Nedaňové příjmy'!C18+'Nedaňové příjmy'!G18+'Nedaňové příjmy'!K18+'Nedaňové příjmy'!O18+'Nedaňové příjmy'!S18+'Nedaňové příjmy'!W18</f>
        <v>6446</v>
      </c>
      <c r="J15" s="22">
        <f>'Nedaňové příjmy'!D18+'Nedaňové příjmy'!H18+'Nedaňové příjmy'!L18+'Nedaňové příjmy'!P18+'Nedaňové příjmy'!T18+'Nedaňové příjmy'!X18</f>
        <v>6859</v>
      </c>
      <c r="K15" s="23">
        <f t="shared" si="2"/>
        <v>106.40707415451442</v>
      </c>
      <c r="L15" s="21">
        <f>'Kapitálové příjmy'!B16+'Kapitálové příjmy'!F16</f>
        <v>0</v>
      </c>
      <c r="M15" s="22">
        <f>'Kapitálové příjmy'!C16+'Kapitálové příjmy'!G16</f>
        <v>0</v>
      </c>
      <c r="N15" s="22">
        <f>'Kapitálové příjmy'!D16+'Kapitálové příjmy'!H16</f>
        <v>0</v>
      </c>
      <c r="O15" s="23"/>
      <c r="P15" s="21">
        <f>'Transfery neinvestiční 2.5'!B17+'Transfery neinvestiční 2.5'!F17+'Transfery neinvestiční 2.5'!J17+'Transfery neinvestiční 2.5'!N17+'Transfery neinvestiční 2.5'!R17+'Transfery nein.2.5a'!B19+'Transfery nein.2.5a'!R19+'Transfery nein.2.5a'!V19+'Transfery investiční'!AE19+'Transfery investiční'!E17+'Transfery investiční'!I17+'Transfery investiční'!M17+'Transfery investiční'!U17+'Transfery nein.2.5a'!AE19</f>
        <v>49438</v>
      </c>
      <c r="Q15" s="22">
        <f>'Transfery neinvestiční 2.5'!C17+'Transfery neinvestiční 2.5'!G17+'Transfery neinvestiční 2.5'!K17+'Transfery neinvestiční 2.5'!O17+'Transfery neinvestiční 2.5'!S17+'Transfery nein.2.5a'!C19+'Transfery nein.2.5a'!S19+'Transfery nein.2.5a'!W19+'Transfery investiční'!AF19+'Transfery investiční'!F17+'Transfery investiční'!J17+'Transfery investiční'!N17+'Transfery investiční'!V17+'Transfery nein.2.5a'!AF19</f>
        <v>116860</v>
      </c>
      <c r="R15" s="323">
        <f>'Transfery neinvestiční 2.5'!D17+'Transfery neinvestiční 2.5'!H17+'Transfery neinvestiční 2.5'!L17+'Transfery neinvestiční 2.5'!P17+'Transfery neinvestiční 2.5'!T17+'Transfery nein.2.5a'!D19+'Transfery nein.2.5a'!T19+'Transfery nein.2.5a'!X19+'Transfery investiční'!AG19+'Transfery investiční'!G17+'Transfery investiční'!K17+'Transfery investiční'!O17+'Transfery investiční'!W17+'Transfery nein.2.5a'!AG19</f>
        <v>116860</v>
      </c>
      <c r="S15" s="23">
        <f t="shared" si="3"/>
        <v>100</v>
      </c>
    </row>
    <row r="16" spans="1:20" ht="17.100000000000001" customHeight="1" x14ac:dyDescent="0.25">
      <c r="A16" s="20" t="s">
        <v>160</v>
      </c>
      <c r="B16" s="21">
        <f>'Daňové příjmy'!B17+'Daňové příjmy'!F17++'Daňové příjmy'!J17+'Daňové příjmy'!N17+'Ost.daně=Místní popl.'!B18</f>
        <v>802</v>
      </c>
      <c r="C16" s="22">
        <f>'Daňové příjmy'!C17+'Daňové příjmy'!G17++'Daňové příjmy'!K17+'Daňové příjmy'!O17+'Ost.daně=Místní popl.'!C18</f>
        <v>963</v>
      </c>
      <c r="D16" s="22">
        <f>'Daňové příjmy'!D17+'Daňové příjmy'!H17+'Daňové příjmy'!L17+'Daňové příjmy'!P17+'Ost.daně=Místní popl.'!D18</f>
        <v>971</v>
      </c>
      <c r="E16" s="72">
        <v>-1079676</v>
      </c>
      <c r="F16" s="72">
        <f t="shared" si="1"/>
        <v>108.67599999999993</v>
      </c>
      <c r="G16" s="23">
        <f t="shared" si="0"/>
        <v>100.83073727933541</v>
      </c>
      <c r="H16" s="21">
        <f>'Nedaňové příjmy'!B19+'Nedaňové příjmy'!F19+'Nedaňové příjmy'!J19+'Nedaňové příjmy'!N19+'Nedaňové příjmy'!R19+'Nedaňové příjmy'!V19</f>
        <v>3190</v>
      </c>
      <c r="I16" s="22">
        <f>'Nedaňové příjmy'!C19+'Nedaňové příjmy'!G19+'Nedaňové příjmy'!K19+'Nedaňové příjmy'!O19+'Nedaňové příjmy'!S19+'Nedaňové příjmy'!W19</f>
        <v>3301</v>
      </c>
      <c r="J16" s="22">
        <f>'Nedaňové příjmy'!D19+'Nedaňové příjmy'!H19+'Nedaňové příjmy'!L19+'Nedaňové příjmy'!P19+'Nedaňové příjmy'!T19+'Nedaňové příjmy'!X19</f>
        <v>3538</v>
      </c>
      <c r="K16" s="23">
        <f t="shared" si="2"/>
        <v>107.17964253256589</v>
      </c>
      <c r="L16" s="21">
        <f>'Kapitálové příjmy'!B17+'Kapitálové příjmy'!F17</f>
        <v>0</v>
      </c>
      <c r="M16" s="22">
        <f>'Kapitálové příjmy'!C17+'Kapitálové příjmy'!G17</f>
        <v>0</v>
      </c>
      <c r="N16" s="22">
        <f>'Kapitálové příjmy'!D17+'Kapitálové příjmy'!H17</f>
        <v>0</v>
      </c>
      <c r="O16" s="23"/>
      <c r="P16" s="21">
        <f>'Transfery neinvestiční 2.5'!B18+'Transfery neinvestiční 2.5'!F18+'Transfery neinvestiční 2.5'!J18+'Transfery neinvestiční 2.5'!N18+'Transfery neinvestiční 2.5'!R18+'Transfery nein.2.5a'!B20+'Transfery nein.2.5a'!R20+'Transfery nein.2.5a'!V20+'Transfery investiční'!AE20+'Transfery investiční'!E18+'Transfery investiční'!I18+'Transfery investiční'!M18+'Transfery investiční'!U18+'Transfery nein.2.5a'!AE20</f>
        <v>10410</v>
      </c>
      <c r="Q16" s="22">
        <f>'Transfery neinvestiční 2.5'!C18+'Transfery neinvestiční 2.5'!G18+'Transfery neinvestiční 2.5'!K18+'Transfery neinvestiční 2.5'!O18+'Transfery neinvestiční 2.5'!S18+'Transfery nein.2.5a'!C20+'Transfery nein.2.5a'!S20+'Transfery nein.2.5a'!W20+'Transfery investiční'!AF20+'Transfery investiční'!F18+'Transfery investiční'!J18+'Transfery investiční'!N18+'Transfery investiční'!V18+'Transfery nein.2.5a'!AF20</f>
        <v>12018</v>
      </c>
      <c r="R16" s="323">
        <f>'Transfery neinvestiční 2.5'!D18+'Transfery neinvestiční 2.5'!H18+'Transfery neinvestiční 2.5'!L18+'Transfery neinvestiční 2.5'!P18+'Transfery neinvestiční 2.5'!T18+'Transfery nein.2.5a'!D20+'Transfery nein.2.5a'!T20+'Transfery nein.2.5a'!X20+'Transfery investiční'!AG20+'Transfery investiční'!G18+'Transfery investiční'!K18+'Transfery investiční'!O18+'Transfery investiční'!W18+'Transfery nein.2.5a'!AG20</f>
        <v>12052</v>
      </c>
      <c r="S16" s="23">
        <f t="shared" si="3"/>
        <v>100.28290896987852</v>
      </c>
    </row>
    <row r="17" spans="1:19" ht="17.100000000000001" customHeight="1" x14ac:dyDescent="0.25">
      <c r="A17" s="20" t="s">
        <v>161</v>
      </c>
      <c r="B17" s="21">
        <f>'Daňové příjmy'!B18+'Daňové příjmy'!F18++'Daňové příjmy'!J18+'Daňové příjmy'!N18+'Ost.daně=Místní popl.'!B19</f>
        <v>12600</v>
      </c>
      <c r="C17" s="22">
        <f>'Daňové příjmy'!C18+'Daňové příjmy'!G18++'Daňové příjmy'!K18+'Daňové příjmy'!O18+'Ost.daně=Místní popl.'!C19</f>
        <v>13307</v>
      </c>
      <c r="D17" s="22">
        <f>'Daňové příjmy'!D18+'Daňové příjmy'!H18+'Daňové příjmy'!L18+'Daňové příjmy'!P18+'Ost.daně=Místní popl.'!D19</f>
        <v>12804</v>
      </c>
      <c r="E17" s="72">
        <v>-6678982.9000000004</v>
      </c>
      <c r="F17" s="72">
        <f t="shared" si="1"/>
        <v>-6125.0171</v>
      </c>
      <c r="G17" s="23">
        <f t="shared" si="0"/>
        <v>96.220034568272339</v>
      </c>
      <c r="H17" s="21">
        <f>'Nedaňové příjmy'!B20+'Nedaňové příjmy'!F20+'Nedaňové příjmy'!J20+'Nedaňové příjmy'!N20+'Nedaňové příjmy'!R20+'Nedaňové příjmy'!V20</f>
        <v>16011</v>
      </c>
      <c r="I17" s="22">
        <f>'Nedaňové příjmy'!C20+'Nedaňové příjmy'!G20+'Nedaňové příjmy'!K20+'Nedaňové příjmy'!O20+'Nedaňové příjmy'!S20+'Nedaňové příjmy'!W20</f>
        <v>12209</v>
      </c>
      <c r="J17" s="22">
        <f>'Nedaňové příjmy'!D20+'Nedaňové příjmy'!H20+'Nedaňové příjmy'!L20+'Nedaňové příjmy'!P20+'Nedaňové příjmy'!T20+'Nedaňové příjmy'!X20</f>
        <v>12485</v>
      </c>
      <c r="K17" s="23">
        <f t="shared" si="2"/>
        <v>102.26062740601196</v>
      </c>
      <c r="L17" s="21">
        <f>'Kapitálové příjmy'!B18+'Kapitálové příjmy'!F18</f>
        <v>0</v>
      </c>
      <c r="M17" s="22">
        <f>'Kapitálové příjmy'!C18+'Kapitálové příjmy'!G18</f>
        <v>0</v>
      </c>
      <c r="N17" s="22">
        <f>'Kapitálové příjmy'!D18+'Kapitálové příjmy'!H18</f>
        <v>0</v>
      </c>
      <c r="O17" s="23"/>
      <c r="P17" s="21">
        <f>'Transfery neinvestiční 2.5'!B19+'Transfery neinvestiční 2.5'!F19+'Transfery neinvestiční 2.5'!J19+'Transfery neinvestiční 2.5'!N19+'Transfery neinvestiční 2.5'!R19+'Transfery nein.2.5a'!B21+'Transfery nein.2.5a'!R21+'Transfery nein.2.5a'!V21+'Transfery investiční'!AE21+'Transfery investiční'!E19+'Transfery investiční'!I19+'Transfery investiční'!M19+'Transfery investiční'!U19+'Transfery nein.2.5a'!AE21</f>
        <v>90696</v>
      </c>
      <c r="Q17" s="22">
        <f>'Transfery neinvestiční 2.5'!C19+'Transfery neinvestiční 2.5'!G19+'Transfery neinvestiční 2.5'!K19+'Transfery neinvestiční 2.5'!O19+'Transfery neinvestiční 2.5'!S19+'Transfery nein.2.5a'!C21+'Transfery nein.2.5a'!S21+'Transfery nein.2.5a'!W21+'Transfery investiční'!AF21+'Transfery investiční'!F19+'Transfery investiční'!J19+'Transfery investiční'!N19+'Transfery investiční'!V19+'Transfery nein.2.5a'!AF21</f>
        <v>113930</v>
      </c>
      <c r="R17" s="323">
        <f>'Transfery neinvestiční 2.5'!D19+'Transfery neinvestiční 2.5'!H19+'Transfery neinvestiční 2.5'!L19+'Transfery neinvestiční 2.5'!P19+'Transfery neinvestiční 2.5'!T19+'Transfery nein.2.5a'!D21+'Transfery nein.2.5a'!T21+'Transfery nein.2.5a'!X21+'Transfery investiční'!AG21+'Transfery investiční'!G19+'Transfery investiční'!K19+'Transfery investiční'!O19+'Transfery investiční'!W19+'Transfery nein.2.5a'!AG21</f>
        <v>100378</v>
      </c>
      <c r="S17" s="23">
        <f t="shared" si="3"/>
        <v>88.104976740103567</v>
      </c>
    </row>
    <row r="18" spans="1:19" ht="17.100000000000001" customHeight="1" x14ac:dyDescent="0.25">
      <c r="A18" s="20" t="s">
        <v>162</v>
      </c>
      <c r="B18" s="21">
        <f>'Daňové příjmy'!B19+'Daňové příjmy'!F19++'Daňové příjmy'!J19+'Daňové příjmy'!N19+'Ost.daně=Místní popl.'!B20</f>
        <v>2570</v>
      </c>
      <c r="C18" s="22">
        <f>'Daňové příjmy'!C19+'Daňové příjmy'!G19++'Daňové příjmy'!K19+'Daňové příjmy'!O19+'Ost.daně=Místní popl.'!C20</f>
        <v>13213</v>
      </c>
      <c r="D18" s="22">
        <f>'Daňové příjmy'!D19+'Daňové příjmy'!H19+'Daňové příjmy'!L19+'Daňové příjmy'!P19+'Ost.daně=Místní popl.'!D20</f>
        <v>13399</v>
      </c>
      <c r="E18" s="72">
        <v>-10823674.939999999</v>
      </c>
      <c r="F18" s="72">
        <f t="shared" si="1"/>
        <v>-2575.325060000001</v>
      </c>
      <c r="G18" s="23">
        <f t="shared" si="0"/>
        <v>101.40770453341406</v>
      </c>
      <c r="H18" s="21">
        <f>'Nedaňové příjmy'!B21+'Nedaňové příjmy'!F21+'Nedaňové příjmy'!J21+'Nedaňové příjmy'!N21+'Nedaňové příjmy'!R21+'Nedaňové příjmy'!V21</f>
        <v>9967</v>
      </c>
      <c r="I18" s="22">
        <f>'Nedaňové příjmy'!C21+'Nedaňové příjmy'!G21+'Nedaňové příjmy'!K21+'Nedaňové příjmy'!O21+'Nedaňové příjmy'!S21+'Nedaňové příjmy'!W21</f>
        <v>9496</v>
      </c>
      <c r="J18" s="22">
        <f>'Nedaňové příjmy'!D21+'Nedaňové příjmy'!H21+'Nedaňové příjmy'!L21+'Nedaňové příjmy'!P21+'Nedaňové příjmy'!T21+'Nedaňové příjmy'!X21</f>
        <v>10579</v>
      </c>
      <c r="K18" s="23">
        <f t="shared" si="2"/>
        <v>111.40480202190398</v>
      </c>
      <c r="L18" s="21">
        <f>'Kapitálové příjmy'!B19+'Kapitálové příjmy'!F19</f>
        <v>0</v>
      </c>
      <c r="M18" s="22">
        <f>'Kapitálové příjmy'!C19+'Kapitálové příjmy'!G19</f>
        <v>0</v>
      </c>
      <c r="N18" s="22">
        <f>'Kapitálové příjmy'!D19+'Kapitálové příjmy'!H19</f>
        <v>0</v>
      </c>
      <c r="O18" s="23"/>
      <c r="P18" s="21">
        <f>'Transfery neinvestiční 2.5'!B20+'Transfery neinvestiční 2.5'!F20+'Transfery neinvestiční 2.5'!J20+'Transfery neinvestiční 2.5'!N20+'Transfery neinvestiční 2.5'!R20+'Transfery nein.2.5a'!B22+'Transfery nein.2.5a'!R22+'Transfery nein.2.5a'!V22+'Transfery investiční'!AE22+'Transfery investiční'!E20+'Transfery investiční'!I20+'Transfery investiční'!M20+'Transfery investiční'!U20+'Transfery nein.2.5a'!AE22</f>
        <v>118853</v>
      </c>
      <c r="Q18" s="22">
        <f>'Transfery neinvestiční 2.5'!C20+'Transfery neinvestiční 2.5'!G20+'Transfery neinvestiční 2.5'!K20+'Transfery neinvestiční 2.5'!O20+'Transfery neinvestiční 2.5'!S20+'Transfery nein.2.5a'!C22+'Transfery nein.2.5a'!S22+'Transfery nein.2.5a'!W22+'Transfery investiční'!AF22+'Transfery investiční'!F20+'Transfery investiční'!J20+'Transfery investiční'!N20+'Transfery investiční'!V20+'Transfery nein.2.5a'!AF22</f>
        <v>140169</v>
      </c>
      <c r="R18" s="323">
        <f>'Transfery neinvestiční 2.5'!D20+'Transfery neinvestiční 2.5'!H20+'Transfery neinvestiční 2.5'!L20+'Transfery neinvestiční 2.5'!P20+'Transfery neinvestiční 2.5'!T20+'Transfery nein.2.5a'!D22+'Transfery nein.2.5a'!T22+'Transfery nein.2.5a'!X22+'Transfery investiční'!AG22+'Transfery investiční'!G20+'Transfery investiční'!K20+'Transfery investiční'!O20+'Transfery investiční'!W20+'Transfery nein.2.5a'!AG22</f>
        <v>140169</v>
      </c>
      <c r="S18" s="23">
        <f t="shared" si="3"/>
        <v>100</v>
      </c>
    </row>
    <row r="19" spans="1:19" ht="17.100000000000001" customHeight="1" x14ac:dyDescent="0.25">
      <c r="A19" s="20" t="s">
        <v>163</v>
      </c>
      <c r="B19" s="21">
        <f>'Daňové příjmy'!B20+'Daňové příjmy'!F20++'Daňové příjmy'!J20+'Daňové příjmy'!N20+'Ost.daně=Místní popl.'!B21</f>
        <v>391</v>
      </c>
      <c r="C19" s="22">
        <f>'Daňové příjmy'!C20+'Daňové příjmy'!G20++'Daňové příjmy'!K20+'Daňové příjmy'!O20+'Ost.daně=Místní popl.'!C21</f>
        <v>793</v>
      </c>
      <c r="D19" s="22">
        <f>'Daňové příjmy'!D20+'Daňové příjmy'!H20+'Daňové příjmy'!L20+'Daňové příjmy'!P20+'Ost.daně=Místní popl.'!D21</f>
        <v>768</v>
      </c>
      <c r="E19" s="72">
        <v>-190102</v>
      </c>
      <c r="F19" s="72">
        <f t="shared" si="1"/>
        <v>-577.89800000000002</v>
      </c>
      <c r="G19" s="23">
        <f t="shared" si="0"/>
        <v>96.847414880201768</v>
      </c>
      <c r="H19" s="21">
        <f>'Nedaňové příjmy'!B22+'Nedaňové příjmy'!F22+'Nedaňové příjmy'!J22+'Nedaňové příjmy'!N22+'Nedaňové příjmy'!R22+'Nedaňové příjmy'!V22</f>
        <v>306</v>
      </c>
      <c r="I19" s="22">
        <f>'Nedaňové příjmy'!C22+'Nedaňové příjmy'!G22+'Nedaňové příjmy'!K22+'Nedaňové příjmy'!O22+'Nedaňové příjmy'!S22+'Nedaňové příjmy'!W22</f>
        <v>450</v>
      </c>
      <c r="J19" s="22">
        <f>'Nedaňové příjmy'!D22+'Nedaňové příjmy'!H22+'Nedaňové příjmy'!L22+'Nedaňové příjmy'!P22+'Nedaňové příjmy'!T22+'Nedaňové příjmy'!X22</f>
        <v>370</v>
      </c>
      <c r="K19" s="23">
        <f t="shared" si="2"/>
        <v>82.222222222222214</v>
      </c>
      <c r="L19" s="21">
        <f>'Kapitálové příjmy'!B20+'Kapitálové příjmy'!F20</f>
        <v>0</v>
      </c>
      <c r="M19" s="22">
        <f>'Kapitálové příjmy'!C20+'Kapitálové příjmy'!G20</f>
        <v>0</v>
      </c>
      <c r="N19" s="22">
        <f>'Kapitálové příjmy'!D20+'Kapitálové příjmy'!H20</f>
        <v>0</v>
      </c>
      <c r="O19" s="23"/>
      <c r="P19" s="21">
        <f>'Transfery neinvestiční 2.5'!B21+'Transfery neinvestiční 2.5'!F21+'Transfery neinvestiční 2.5'!J21+'Transfery neinvestiční 2.5'!N21+'Transfery neinvestiční 2.5'!R21+'Transfery nein.2.5a'!B23+'Transfery nein.2.5a'!R23+'Transfery nein.2.5a'!V23+'Transfery investiční'!AE23+'Transfery investiční'!E21+'Transfery investiční'!I21+'Transfery investiční'!M21+'Transfery investiční'!U21+'Transfery nein.2.5a'!AE23</f>
        <v>9180</v>
      </c>
      <c r="Q19" s="22">
        <f>'Transfery neinvestiční 2.5'!C21+'Transfery neinvestiční 2.5'!G21+'Transfery neinvestiční 2.5'!K21+'Transfery neinvestiční 2.5'!O21+'Transfery neinvestiční 2.5'!S21+'Transfery nein.2.5a'!C23+'Transfery nein.2.5a'!S23+'Transfery nein.2.5a'!W23+'Transfery investiční'!AF23+'Transfery investiční'!F21+'Transfery investiční'!J21+'Transfery investiční'!N21+'Transfery investiční'!V21+'Transfery nein.2.5a'!AF23</f>
        <v>10658</v>
      </c>
      <c r="R19" s="323">
        <f>'Transfery neinvestiční 2.5'!D21+'Transfery neinvestiční 2.5'!H21+'Transfery neinvestiční 2.5'!L21+'Transfery neinvestiční 2.5'!P21+'Transfery neinvestiční 2.5'!T21+'Transfery nein.2.5a'!D23+'Transfery nein.2.5a'!T23+'Transfery nein.2.5a'!X23+'Transfery investiční'!AG23+'Transfery investiční'!G21+'Transfery investiční'!K21+'Transfery investiční'!O21+'Transfery investiční'!W21+'Transfery nein.2.5a'!AG23</f>
        <v>10658</v>
      </c>
      <c r="S19" s="23">
        <f t="shared" si="3"/>
        <v>100</v>
      </c>
    </row>
    <row r="20" spans="1:19" ht="17.100000000000001" customHeight="1" x14ac:dyDescent="0.25">
      <c r="A20" s="20" t="s">
        <v>164</v>
      </c>
      <c r="B20" s="21">
        <f>'Daňové příjmy'!B21+'Daňové příjmy'!F21++'Daňové příjmy'!J21+'Daňové příjmy'!N21+'Ost.daně=Místní popl.'!B22</f>
        <v>1506</v>
      </c>
      <c r="C20" s="22">
        <f>'Daňové příjmy'!C21+'Daňové příjmy'!G21++'Daňové příjmy'!K21+'Daňové příjmy'!O21+'Ost.daně=Místní popl.'!C22</f>
        <v>1754</v>
      </c>
      <c r="D20" s="22">
        <f>'Daňové příjmy'!D21+'Daňové příjmy'!H21+'Daňové příjmy'!L21+'Daňové příjmy'!P21+'Ost.daně=Místní popl.'!D22</f>
        <v>1755</v>
      </c>
      <c r="E20" s="72">
        <v>-1842467</v>
      </c>
      <c r="F20" s="72">
        <f t="shared" si="1"/>
        <v>87.467000000000098</v>
      </c>
      <c r="G20" s="23">
        <f t="shared" si="0"/>
        <v>100.05701254275941</v>
      </c>
      <c r="H20" s="21">
        <f>'Nedaňové příjmy'!B23+'Nedaňové příjmy'!F23+'Nedaňové příjmy'!J23+'Nedaňové příjmy'!N23+'Nedaňové příjmy'!R23+'Nedaňové příjmy'!V23</f>
        <v>1669</v>
      </c>
      <c r="I20" s="22">
        <f>'Nedaňové příjmy'!C23+'Nedaňové příjmy'!G23+'Nedaňové příjmy'!K23+'Nedaňové příjmy'!O23+'Nedaňové příjmy'!S23+'Nedaňové příjmy'!W23</f>
        <v>2013</v>
      </c>
      <c r="J20" s="22">
        <f>'Nedaňové příjmy'!D23+'Nedaňové příjmy'!H23+'Nedaňové příjmy'!L23+'Nedaňové příjmy'!P23+'Nedaňové příjmy'!T23+'Nedaňové příjmy'!X23</f>
        <v>2234</v>
      </c>
      <c r="K20" s="23">
        <f t="shared" si="2"/>
        <v>110.97863884749131</v>
      </c>
      <c r="L20" s="21">
        <f>'Kapitálové příjmy'!B21+'Kapitálové příjmy'!F21</f>
        <v>0</v>
      </c>
      <c r="M20" s="22">
        <f>'Kapitálové příjmy'!C21+'Kapitálové příjmy'!G21</f>
        <v>0</v>
      </c>
      <c r="N20" s="22">
        <f>'Kapitálové příjmy'!D21+'Kapitálové příjmy'!H21</f>
        <v>0</v>
      </c>
      <c r="O20" s="23"/>
      <c r="P20" s="21">
        <f>'Transfery neinvestiční 2.5'!B22+'Transfery neinvestiční 2.5'!F22+'Transfery neinvestiční 2.5'!J22+'Transfery neinvestiční 2.5'!N22+'Transfery neinvestiční 2.5'!R22+'Transfery nein.2.5a'!B24+'Transfery nein.2.5a'!R24+'Transfery nein.2.5a'!V24+'Transfery investiční'!AE24+'Transfery investiční'!E22+'Transfery investiční'!I22+'Transfery investiční'!M22+'Transfery investiční'!U22+'Transfery nein.2.5a'!AE24</f>
        <v>25988</v>
      </c>
      <c r="Q20" s="22">
        <f>'Transfery neinvestiční 2.5'!C22+'Transfery neinvestiční 2.5'!G22+'Transfery neinvestiční 2.5'!K22+'Transfery neinvestiční 2.5'!O22+'Transfery neinvestiční 2.5'!S22+'Transfery nein.2.5a'!C24+'Transfery nein.2.5a'!S24+'Transfery nein.2.5a'!W24+'Transfery investiční'!AF24+'Transfery investiční'!F22+'Transfery investiční'!J22+'Transfery investiční'!N22+'Transfery investiční'!V22+'Transfery nein.2.5a'!AF24</f>
        <v>36907</v>
      </c>
      <c r="R20" s="323">
        <f>'Transfery neinvestiční 2.5'!D22+'Transfery neinvestiční 2.5'!H22+'Transfery neinvestiční 2.5'!L22+'Transfery neinvestiční 2.5'!P22+'Transfery neinvestiční 2.5'!T22+'Transfery nein.2.5a'!D24+'Transfery nein.2.5a'!T24+'Transfery nein.2.5a'!X24+'Transfery investiční'!AG24+'Transfery investiční'!G22+'Transfery investiční'!K22+'Transfery investiční'!O22+'Transfery investiční'!W22+'Transfery nein.2.5a'!AG24</f>
        <v>37406</v>
      </c>
      <c r="S20" s="23">
        <f t="shared" si="3"/>
        <v>101.35204703714741</v>
      </c>
    </row>
    <row r="21" spans="1:19" ht="17.100000000000001" customHeight="1" x14ac:dyDescent="0.25">
      <c r="A21" s="20" t="s">
        <v>165</v>
      </c>
      <c r="B21" s="21">
        <f>'Daňové příjmy'!B22+'Daňové příjmy'!F22++'Daňové příjmy'!J22+'Daňové příjmy'!N22+'Ost.daně=Místní popl.'!B23</f>
        <v>2104</v>
      </c>
      <c r="C21" s="22">
        <f>'Daňové příjmy'!C22+'Daňové příjmy'!G22++'Daňové příjmy'!K22+'Daňové příjmy'!O22+'Ost.daně=Místní popl.'!C23</f>
        <v>2388</v>
      </c>
      <c r="D21" s="22">
        <f>'Daňové příjmy'!D22+'Daňové příjmy'!H22+'Daňové příjmy'!L22+'Daňové příjmy'!P22+'Ost.daně=Místní popl.'!D23</f>
        <v>2370</v>
      </c>
      <c r="E21" s="72">
        <v>-2004898</v>
      </c>
      <c r="F21" s="72">
        <f t="shared" si="1"/>
        <v>-365.10200000000009</v>
      </c>
      <c r="G21" s="23">
        <f t="shared" si="0"/>
        <v>99.246231155778901</v>
      </c>
      <c r="H21" s="21">
        <f>'Nedaňové příjmy'!B24+'Nedaňové příjmy'!F24+'Nedaňové příjmy'!J24+'Nedaňové příjmy'!N24+'Nedaňové příjmy'!R24+'Nedaňové příjmy'!V24</f>
        <v>1867</v>
      </c>
      <c r="I21" s="22">
        <f>'Nedaňové příjmy'!C24+'Nedaňové příjmy'!G24+'Nedaňové příjmy'!K24+'Nedaňové příjmy'!O24+'Nedaňové příjmy'!S24+'Nedaňové příjmy'!W24</f>
        <v>1992</v>
      </c>
      <c r="J21" s="22">
        <f>'Nedaňové příjmy'!D24+'Nedaňové příjmy'!H24+'Nedaňové příjmy'!L24+'Nedaňové příjmy'!P24+'Nedaňové příjmy'!T24+'Nedaňové příjmy'!X24</f>
        <v>1825</v>
      </c>
      <c r="K21" s="23">
        <f t="shared" si="2"/>
        <v>91.616465863453811</v>
      </c>
      <c r="L21" s="21">
        <f>'Kapitálové příjmy'!B22+'Kapitálové příjmy'!F22</f>
        <v>0</v>
      </c>
      <c r="M21" s="22">
        <f>'Kapitálové příjmy'!C22+'Kapitálové příjmy'!G22</f>
        <v>0</v>
      </c>
      <c r="N21" s="22">
        <f>'Kapitálové příjmy'!D22+'Kapitálové příjmy'!H22</f>
        <v>0</v>
      </c>
      <c r="O21" s="23"/>
      <c r="P21" s="21">
        <f>'Transfery neinvestiční 2.5'!B23+'Transfery neinvestiční 2.5'!F23+'Transfery neinvestiční 2.5'!J23+'Transfery neinvestiční 2.5'!N23+'Transfery neinvestiční 2.5'!R23+'Transfery nein.2.5a'!B25+'Transfery nein.2.5a'!R25+'Transfery nein.2.5a'!V25+'Transfery investiční'!AE25+'Transfery investiční'!E23+'Transfery investiční'!I23+'Transfery investiční'!M23+'Transfery investiční'!U23+'Transfery nein.2.5a'!AE25</f>
        <v>17076</v>
      </c>
      <c r="Q21" s="22">
        <f>'Transfery neinvestiční 2.5'!C23+'Transfery neinvestiční 2.5'!G23+'Transfery neinvestiční 2.5'!K23+'Transfery neinvestiční 2.5'!O23+'Transfery neinvestiční 2.5'!S23+'Transfery nein.2.5a'!C25+'Transfery nein.2.5a'!S25+'Transfery nein.2.5a'!W25+'Transfery investiční'!AF25+'Transfery investiční'!F23+'Transfery investiční'!J23+'Transfery investiční'!N23+'Transfery investiční'!V23+'Transfery nein.2.5a'!AF25</f>
        <v>22397</v>
      </c>
      <c r="R21" s="323">
        <f>'Transfery neinvestiční 2.5'!D23+'Transfery neinvestiční 2.5'!H23+'Transfery neinvestiční 2.5'!L23+'Transfery neinvestiční 2.5'!P23+'Transfery neinvestiční 2.5'!T23+'Transfery nein.2.5a'!D25+'Transfery nein.2.5a'!T25+'Transfery nein.2.5a'!X25+'Transfery investiční'!AG25+'Transfery investiční'!G23+'Transfery investiční'!K23+'Transfery investiční'!O23+'Transfery investiční'!W23+'Transfery nein.2.5a'!AG25</f>
        <v>21895</v>
      </c>
      <c r="S21" s="23">
        <f t="shared" si="3"/>
        <v>97.758628387730496</v>
      </c>
    </row>
    <row r="22" spans="1:19" ht="17.100000000000001" customHeight="1" x14ac:dyDescent="0.25">
      <c r="A22" s="20" t="s">
        <v>166</v>
      </c>
      <c r="B22" s="21">
        <f>'Daňové příjmy'!B23+'Daňové příjmy'!F23++'Daňové příjmy'!J23+'Daňové příjmy'!N23+'Ost.daně=Místní popl.'!B24</f>
        <v>370</v>
      </c>
      <c r="C22" s="22">
        <f>'Daňové příjmy'!C23+'Daňové příjmy'!G23++'Daňové příjmy'!K23+'Daňové příjmy'!O23+'Ost.daně=Místní popl.'!C24</f>
        <v>959</v>
      </c>
      <c r="D22" s="22">
        <f>'Daňové příjmy'!D23+'Daňové příjmy'!H23+'Daňové příjmy'!L23+'Daňové příjmy'!P23+'Ost.daně=Místní popl.'!D24</f>
        <v>972</v>
      </c>
      <c r="E22" s="72">
        <v>-1060315.8</v>
      </c>
      <c r="F22" s="72">
        <f t="shared" si="1"/>
        <v>88.315800000000081</v>
      </c>
      <c r="G22" s="23">
        <f t="shared" si="0"/>
        <v>101.3555787278415</v>
      </c>
      <c r="H22" s="21">
        <f>'Nedaňové příjmy'!B25+'Nedaňové příjmy'!F25+'Nedaňové příjmy'!J25+'Nedaňové příjmy'!N25+'Nedaňové příjmy'!R25+'Nedaňové příjmy'!V25</f>
        <v>384</v>
      </c>
      <c r="I22" s="22">
        <f>'Nedaňové příjmy'!C25+'Nedaňové příjmy'!G25+'Nedaňové příjmy'!K25+'Nedaňové příjmy'!O25+'Nedaňové příjmy'!S25+'Nedaňové příjmy'!W25</f>
        <v>996</v>
      </c>
      <c r="J22" s="22">
        <f>'Nedaňové příjmy'!D25+'Nedaňové příjmy'!H25+'Nedaňové příjmy'!L25+'Nedaňové příjmy'!P25+'Nedaňové příjmy'!T25+'Nedaňové příjmy'!X25</f>
        <v>2245</v>
      </c>
      <c r="K22" s="23">
        <f t="shared" si="2"/>
        <v>225.40160642570282</v>
      </c>
      <c r="L22" s="21">
        <f>'Kapitálové příjmy'!B23+'Kapitálové příjmy'!F23</f>
        <v>0</v>
      </c>
      <c r="M22" s="22">
        <f>'Kapitálové příjmy'!C23+'Kapitálové příjmy'!G23</f>
        <v>0</v>
      </c>
      <c r="N22" s="22">
        <f>'Kapitálové příjmy'!D23+'Kapitálové příjmy'!H23</f>
        <v>0</v>
      </c>
      <c r="O22" s="23"/>
      <c r="P22" s="21">
        <f>'Transfery neinvestiční 2.5'!B24+'Transfery neinvestiční 2.5'!F24+'Transfery neinvestiční 2.5'!J24+'Transfery neinvestiční 2.5'!N24+'Transfery neinvestiční 2.5'!R24+'Transfery nein.2.5a'!B26+'Transfery nein.2.5a'!R26+'Transfery nein.2.5a'!V26+'Transfery investiční'!AE26+'Transfery investiční'!E24+'Transfery investiční'!I24+'Transfery investiční'!M24+'Transfery investiční'!U24+'Transfery nein.2.5a'!AE26</f>
        <v>17645</v>
      </c>
      <c r="Q22" s="22">
        <f>'Transfery neinvestiční 2.5'!C24+'Transfery neinvestiční 2.5'!G24+'Transfery neinvestiční 2.5'!K24+'Transfery neinvestiční 2.5'!O24+'Transfery neinvestiční 2.5'!S24+'Transfery nein.2.5a'!C26+'Transfery nein.2.5a'!S26+'Transfery nein.2.5a'!W26+'Transfery investiční'!AF26+'Transfery investiční'!F24+'Transfery investiční'!J24+'Transfery investiční'!N24+'Transfery investiční'!V24+'Transfery nein.2.5a'!AF26</f>
        <v>44200</v>
      </c>
      <c r="R22" s="323">
        <f>'Transfery neinvestiční 2.5'!D24+'Transfery neinvestiční 2.5'!H24+'Transfery neinvestiční 2.5'!L24+'Transfery neinvestiční 2.5'!P24+'Transfery neinvestiční 2.5'!T24+'Transfery nein.2.5a'!D26+'Transfery nein.2.5a'!T26+'Transfery nein.2.5a'!X26+'Transfery investiční'!AG26+'Transfery investiční'!G24+'Transfery investiční'!K24+'Transfery investiční'!O24+'Transfery investiční'!W24+'Transfery nein.2.5a'!AG26</f>
        <v>44199</v>
      </c>
      <c r="S22" s="23">
        <f t="shared" si="3"/>
        <v>99.997737556561077</v>
      </c>
    </row>
    <row r="23" spans="1:19" ht="17.100000000000001" customHeight="1" x14ac:dyDescent="0.25">
      <c r="A23" s="20" t="s">
        <v>167</v>
      </c>
      <c r="B23" s="21">
        <f>'Daňové příjmy'!B24+'Daňové příjmy'!F24++'Daňové příjmy'!J24+'Daňové příjmy'!N24+'Ost.daně=Místní popl.'!B25</f>
        <v>4348</v>
      </c>
      <c r="C23" s="22">
        <f>'Daňové příjmy'!C24+'Daňové příjmy'!G24++'Daňové příjmy'!K24+'Daňové příjmy'!O24+'Ost.daně=Místní popl.'!C25</f>
        <v>22034</v>
      </c>
      <c r="D23" s="22">
        <f>'Daňové příjmy'!D24+'Daňové příjmy'!H24+'Daňové příjmy'!L24+'Daňové příjmy'!P24+'Ost.daně=Místní popl.'!D25</f>
        <v>22394</v>
      </c>
      <c r="E23" s="72">
        <v>-12395865.939999999</v>
      </c>
      <c r="F23" s="72">
        <f t="shared" si="1"/>
        <v>-9998.1340600000003</v>
      </c>
      <c r="G23" s="23">
        <f t="shared" si="0"/>
        <v>101.63383861305255</v>
      </c>
      <c r="H23" s="21">
        <f>'Nedaňové příjmy'!B26+'Nedaňové příjmy'!F26+'Nedaňové příjmy'!J26+'Nedaňové příjmy'!N26+'Nedaňové příjmy'!R26+'Nedaňové příjmy'!V26</f>
        <v>10432</v>
      </c>
      <c r="I23" s="22">
        <f>'Nedaňové příjmy'!C26+'Nedaňové příjmy'!G26+'Nedaňové příjmy'!K26+'Nedaňové příjmy'!O26+'Nedaňové příjmy'!S26+'Nedaňové příjmy'!W26</f>
        <v>10164</v>
      </c>
      <c r="J23" s="22">
        <f>'Nedaňové příjmy'!D26+'Nedaňové příjmy'!H26+'Nedaňové příjmy'!L26+'Nedaňové příjmy'!P26+'Nedaňové příjmy'!T26+'Nedaňové příjmy'!X26</f>
        <v>9781</v>
      </c>
      <c r="K23" s="23">
        <f t="shared" si="2"/>
        <v>96.231798504525784</v>
      </c>
      <c r="L23" s="21">
        <f>'Kapitálové příjmy'!B24+'Kapitálové příjmy'!F24</f>
        <v>0</v>
      </c>
      <c r="M23" s="22">
        <f>'Kapitálové příjmy'!C24+'Kapitálové příjmy'!G24</f>
        <v>0</v>
      </c>
      <c r="N23" s="22">
        <f>'Kapitálové příjmy'!D24+'Kapitálové příjmy'!H24</f>
        <v>0</v>
      </c>
      <c r="O23" s="23"/>
      <c r="P23" s="21">
        <f>'Transfery neinvestiční 2.5'!B25+'Transfery neinvestiční 2.5'!F25+'Transfery neinvestiční 2.5'!J25+'Transfery neinvestiční 2.5'!N25+'Transfery neinvestiční 2.5'!R25+'Transfery nein.2.5a'!B27+'Transfery nein.2.5a'!R27+'Transfery nein.2.5a'!V27+'Transfery investiční'!AE27+'Transfery investiční'!E25+'Transfery investiční'!I25+'Transfery investiční'!M25+'Transfery investiční'!U25+'Transfery nein.2.5a'!AE27</f>
        <v>203154</v>
      </c>
      <c r="Q23" s="22">
        <f>'Transfery neinvestiční 2.5'!C25+'Transfery neinvestiční 2.5'!G25+'Transfery neinvestiční 2.5'!K25+'Transfery neinvestiční 2.5'!O25+'Transfery neinvestiční 2.5'!S25+'Transfery nein.2.5a'!C27+'Transfery nein.2.5a'!S27+'Transfery nein.2.5a'!W27+'Transfery investiční'!AF27+'Transfery investiční'!F25+'Transfery investiční'!J25+'Transfery investiční'!N25+'Transfery investiční'!V25+'Transfery nein.2.5a'!AF27</f>
        <v>358600</v>
      </c>
      <c r="R23" s="323">
        <f>'Transfery neinvestiční 2.5'!D25+'Transfery neinvestiční 2.5'!H25+'Transfery neinvestiční 2.5'!L25+'Transfery neinvestiční 2.5'!P25+'Transfery neinvestiční 2.5'!T25+'Transfery nein.2.5a'!D27+'Transfery nein.2.5a'!T27+'Transfery nein.2.5a'!X27+'Transfery investiční'!AG27+'Transfery investiční'!G25+'Transfery investiční'!K25+'Transfery investiční'!O25+'Transfery investiční'!W25+'Transfery nein.2.5a'!AG27</f>
        <v>357721</v>
      </c>
      <c r="S23" s="23">
        <f t="shared" si="3"/>
        <v>99.754880089235925</v>
      </c>
    </row>
    <row r="24" spans="1:19" ht="17.100000000000001" customHeight="1" x14ac:dyDescent="0.25">
      <c r="A24" s="20" t="s">
        <v>168</v>
      </c>
      <c r="B24" s="21">
        <f>'Daňové příjmy'!B25+'Daňové příjmy'!F25++'Daňové příjmy'!J25+'Daňové příjmy'!N25+'Ost.daně=Místní popl.'!B26</f>
        <v>930</v>
      </c>
      <c r="C24" s="22">
        <f>'Daňové příjmy'!C25+'Daňové příjmy'!G25++'Daňové příjmy'!K25+'Daňové příjmy'!O25+'Ost.daně=Místní popl.'!C26</f>
        <v>1037</v>
      </c>
      <c r="D24" s="22">
        <f>'Daňové příjmy'!D25+'Daňové příjmy'!H25+'Daňové příjmy'!L25+'Daňové příjmy'!P25+'Ost.daně=Místní popl.'!D26</f>
        <v>1485</v>
      </c>
      <c r="E24" s="72">
        <v>-1252383.3999999999</v>
      </c>
      <c r="F24" s="72">
        <f t="shared" si="1"/>
        <v>-232.61660000000006</v>
      </c>
      <c r="G24" s="23">
        <f t="shared" si="0"/>
        <v>143.20154291224688</v>
      </c>
      <c r="H24" s="21">
        <f>'Nedaňové příjmy'!B27+'Nedaňové příjmy'!F27+'Nedaňové příjmy'!J27+'Nedaňové příjmy'!N27+'Nedaňové příjmy'!R27+'Nedaňové příjmy'!V27</f>
        <v>632</v>
      </c>
      <c r="I24" s="22">
        <f>'Nedaňové příjmy'!C27+'Nedaňové příjmy'!G27+'Nedaňové příjmy'!K27+'Nedaňové příjmy'!O27+'Nedaňové příjmy'!S27+'Nedaňové příjmy'!W27</f>
        <v>632</v>
      </c>
      <c r="J24" s="22">
        <f>'Nedaňové příjmy'!D27+'Nedaňové příjmy'!H27+'Nedaňové příjmy'!L27+'Nedaňové příjmy'!P27+'Nedaňové příjmy'!T27+'Nedaňové příjmy'!X27</f>
        <v>770</v>
      </c>
      <c r="K24" s="23">
        <f t="shared" si="2"/>
        <v>121.83544303797468</v>
      </c>
      <c r="L24" s="21">
        <f>'Kapitálové příjmy'!B25+'Kapitálové příjmy'!F25</f>
        <v>0</v>
      </c>
      <c r="M24" s="22">
        <f>'Kapitálové příjmy'!C25+'Kapitálové příjmy'!G25</f>
        <v>0</v>
      </c>
      <c r="N24" s="22">
        <f>'Kapitálové příjmy'!D25+'Kapitálové příjmy'!H25</f>
        <v>0</v>
      </c>
      <c r="O24" s="23"/>
      <c r="P24" s="21">
        <f>'Transfery neinvestiční 2.5'!B26+'Transfery neinvestiční 2.5'!F26+'Transfery neinvestiční 2.5'!J26+'Transfery neinvestiční 2.5'!N26+'Transfery neinvestiční 2.5'!R26+'Transfery nein.2.5a'!B28+'Transfery nein.2.5a'!R28+'Transfery nein.2.5a'!V28+'Transfery investiční'!AE28+'Transfery investiční'!E26+'Transfery investiční'!I26+'Transfery investiční'!M26+'Transfery investiční'!U26+'Transfery nein.2.5a'!AE28</f>
        <v>24382</v>
      </c>
      <c r="Q24" s="22">
        <f>'Transfery neinvestiční 2.5'!C26+'Transfery neinvestiční 2.5'!G26+'Transfery neinvestiční 2.5'!K26+'Transfery neinvestiční 2.5'!O26+'Transfery neinvestiční 2.5'!S26+'Transfery nein.2.5a'!C28+'Transfery nein.2.5a'!S28+'Transfery nein.2.5a'!W28+'Transfery investiční'!AF28+'Transfery investiční'!F26+'Transfery investiční'!J26+'Transfery investiční'!N26+'Transfery investiční'!V26+'Transfery nein.2.5a'!AF28</f>
        <v>59193</v>
      </c>
      <c r="R24" s="323">
        <f>'Transfery neinvestiční 2.5'!D26+'Transfery neinvestiční 2.5'!H26+'Transfery neinvestiční 2.5'!L26+'Transfery neinvestiční 2.5'!P26+'Transfery neinvestiční 2.5'!T26+'Transfery nein.2.5a'!D28+'Transfery nein.2.5a'!T28+'Transfery nein.2.5a'!X28+'Transfery investiční'!AG28+'Transfery investiční'!G26+'Transfery investiční'!K26+'Transfery investiční'!O26+'Transfery investiční'!W26+'Transfery nein.2.5a'!AG28</f>
        <v>57463</v>
      </c>
      <c r="S24" s="23">
        <f t="shared" si="3"/>
        <v>97.077357119929715</v>
      </c>
    </row>
    <row r="25" spans="1:19" ht="17.100000000000001" customHeight="1" x14ac:dyDescent="0.25">
      <c r="A25" s="20" t="s">
        <v>169</v>
      </c>
      <c r="B25" s="21">
        <f>'Daňové příjmy'!B26+'Daňové příjmy'!F26++'Daňové příjmy'!J26+'Daňové příjmy'!N26+'Ost.daně=Místní popl.'!B27</f>
        <v>18674</v>
      </c>
      <c r="C25" s="22">
        <f>'Daňové příjmy'!C26+'Daňové příjmy'!G26++'Daňové příjmy'!K26+'Daňové příjmy'!O26+'Ost.daně=Místní popl.'!C27</f>
        <v>19104</v>
      </c>
      <c r="D25" s="22">
        <f>'Daňové příjmy'!D26+'Daňové příjmy'!H26+'Daňové příjmy'!L26+'Daňové příjmy'!P26+'Ost.daně=Místní popl.'!D27</f>
        <v>18830</v>
      </c>
      <c r="E25" s="72">
        <v>-18265461.43</v>
      </c>
      <c r="F25" s="72">
        <f t="shared" si="1"/>
        <v>-564.53857000000062</v>
      </c>
      <c r="G25" s="23">
        <f t="shared" si="0"/>
        <v>98.565745393634842</v>
      </c>
      <c r="H25" s="21">
        <f>'Nedaňové příjmy'!B28+'Nedaňové příjmy'!F28+'Nedaňové příjmy'!J28+'Nedaňové příjmy'!N28+'Nedaňové příjmy'!R28+'Nedaňové příjmy'!V28</f>
        <v>7823</v>
      </c>
      <c r="I25" s="22">
        <f>'Nedaňové příjmy'!C28+'Nedaňové příjmy'!G28+'Nedaňové příjmy'!K28+'Nedaňové příjmy'!O28+'Nedaňové příjmy'!S28+'Nedaňové příjmy'!W28</f>
        <v>12373</v>
      </c>
      <c r="J25" s="22">
        <f>'Nedaňové příjmy'!D28+'Nedaňové příjmy'!H28+'Nedaňové příjmy'!L28+'Nedaňové příjmy'!P28+'Nedaňové příjmy'!T28+'Nedaňové příjmy'!X28</f>
        <v>12533</v>
      </c>
      <c r="K25" s="23">
        <f t="shared" si="2"/>
        <v>101.29313828497534</v>
      </c>
      <c r="L25" s="21">
        <f>'Kapitálové příjmy'!B26+'Kapitálové příjmy'!F26</f>
        <v>0</v>
      </c>
      <c r="M25" s="22">
        <f>'Kapitálové příjmy'!C26+'Kapitálové příjmy'!G26</f>
        <v>90</v>
      </c>
      <c r="N25" s="22">
        <f>'Kapitálové příjmy'!D26+'Kapitálové příjmy'!H26</f>
        <v>90</v>
      </c>
      <c r="O25" s="23">
        <f t="shared" ref="O25" si="5">SUM(N25/M25*100)</f>
        <v>100</v>
      </c>
      <c r="P25" s="21">
        <f>'Transfery neinvestiční 2.5'!B27+'Transfery neinvestiční 2.5'!F27+'Transfery neinvestiční 2.5'!J27+'Transfery neinvestiční 2.5'!N27+'Transfery neinvestiční 2.5'!R27+'Transfery nein.2.5a'!B29+'Transfery nein.2.5a'!R29+'Transfery nein.2.5a'!V29+'Transfery investiční'!AE29+'Transfery investiční'!E27+'Transfery investiční'!I27+'Transfery investiční'!M27+'Transfery investiční'!U27+'Transfery nein.2.5a'!AE29</f>
        <v>140255</v>
      </c>
      <c r="Q25" s="22">
        <f>'Transfery neinvestiční 2.5'!C27+'Transfery neinvestiční 2.5'!G27+'Transfery neinvestiční 2.5'!K27+'Transfery neinvestiční 2.5'!O27+'Transfery neinvestiční 2.5'!S27+'Transfery nein.2.5a'!C29+'Transfery nein.2.5a'!S29+'Transfery nein.2.5a'!W29+'Transfery investiční'!AF29+'Transfery investiční'!F27+'Transfery investiční'!J27+'Transfery investiční'!N27+'Transfery investiční'!V27+'Transfery nein.2.5a'!AF29</f>
        <v>169781</v>
      </c>
      <c r="R25" s="323">
        <f>'Transfery neinvestiční 2.5'!D27+'Transfery neinvestiční 2.5'!H27+'Transfery neinvestiční 2.5'!L27+'Transfery neinvestiční 2.5'!P27+'Transfery neinvestiční 2.5'!T27+'Transfery nein.2.5a'!D29+'Transfery nein.2.5a'!T29+'Transfery nein.2.5a'!X29+'Transfery investiční'!AG29+'Transfery investiční'!G27+'Transfery investiční'!K27+'Transfery investiční'!O27+'Transfery investiční'!W27+'Transfery nein.2.5a'!AG29</f>
        <v>169780</v>
      </c>
      <c r="S25" s="23">
        <f t="shared" si="3"/>
        <v>99.999411005942946</v>
      </c>
    </row>
    <row r="26" spans="1:19" ht="17.100000000000001" customHeight="1" x14ac:dyDescent="0.25">
      <c r="A26" s="20" t="s">
        <v>170</v>
      </c>
      <c r="B26" s="21">
        <f>'Daňové příjmy'!B27+'Daňové příjmy'!F27++'Daňové příjmy'!J27+'Daňové příjmy'!N27+'Ost.daně=Místní popl.'!B28</f>
        <v>1480</v>
      </c>
      <c r="C26" s="22">
        <f>'Daňové příjmy'!C27+'Daňové příjmy'!G27++'Daňové příjmy'!K27+'Daňové příjmy'!O27+'Ost.daně=Místní popl.'!C28</f>
        <v>5371</v>
      </c>
      <c r="D26" s="22">
        <f>'Daňové příjmy'!D27+'Daňové příjmy'!H27+'Daňové příjmy'!L27+'Daňové příjmy'!P27+'Ost.daně=Místní popl.'!D28</f>
        <v>5322</v>
      </c>
      <c r="E26" s="72">
        <v>-7784245.1600000001</v>
      </c>
      <c r="F26" s="72">
        <f t="shared" si="1"/>
        <v>2462.2451600000004</v>
      </c>
      <c r="G26" s="23">
        <f t="shared" si="0"/>
        <v>99.087693167008013</v>
      </c>
      <c r="H26" s="21">
        <f>'Nedaňové příjmy'!B29+'Nedaňové příjmy'!F29+'Nedaňové příjmy'!J29+'Nedaňové příjmy'!N29+'Nedaňové příjmy'!R29+'Nedaňové příjmy'!V29</f>
        <v>3196</v>
      </c>
      <c r="I26" s="22">
        <f>'Nedaňové příjmy'!C29+'Nedaňové příjmy'!G29+'Nedaňové příjmy'!K29+'Nedaňové příjmy'!O29+'Nedaňové příjmy'!S29+'Nedaňové příjmy'!W29</f>
        <v>3554</v>
      </c>
      <c r="J26" s="22">
        <f>'Nedaňové příjmy'!D29+'Nedaňové příjmy'!H29+'Nedaňové příjmy'!L29+'Nedaňové příjmy'!P29+'Nedaňové příjmy'!T29+'Nedaňové příjmy'!X29</f>
        <v>3394</v>
      </c>
      <c r="K26" s="23">
        <f t="shared" si="2"/>
        <v>95.498030388294879</v>
      </c>
      <c r="L26" s="21">
        <f>'Kapitálové příjmy'!B27+'Kapitálové příjmy'!F27</f>
        <v>0</v>
      </c>
      <c r="M26" s="22">
        <f>'Kapitálové příjmy'!C27+'Kapitálové příjmy'!G27</f>
        <v>0</v>
      </c>
      <c r="N26" s="22">
        <f>'Kapitálové příjmy'!D27+'Kapitálové příjmy'!H27</f>
        <v>0</v>
      </c>
      <c r="O26" s="23"/>
      <c r="P26" s="21">
        <f>'Transfery neinvestiční 2.5'!B28+'Transfery neinvestiční 2.5'!F28+'Transfery neinvestiční 2.5'!J28+'Transfery neinvestiční 2.5'!N28+'Transfery neinvestiční 2.5'!R28+'Transfery nein.2.5a'!B30+'Transfery nein.2.5a'!R30+'Transfery nein.2.5a'!V30+'Transfery investiční'!AE30+'Transfery investiční'!E28+'Transfery investiční'!I28+'Transfery investiční'!M28+'Transfery investiční'!U28+'Transfery nein.2.5a'!AE30</f>
        <v>37714</v>
      </c>
      <c r="Q26" s="22">
        <f>'Transfery neinvestiční 2.5'!C28+'Transfery neinvestiční 2.5'!G28+'Transfery neinvestiční 2.5'!K28+'Transfery neinvestiční 2.5'!O28+'Transfery neinvestiční 2.5'!S28+'Transfery nein.2.5a'!C30+'Transfery nein.2.5a'!S30+'Transfery nein.2.5a'!W30+'Transfery investiční'!AF30+'Transfery investiční'!F28+'Transfery investiční'!J28+'Transfery investiční'!N28+'Transfery investiční'!V28+'Transfery nein.2.5a'!AF30</f>
        <v>53339</v>
      </c>
      <c r="R26" s="323">
        <f>'Transfery neinvestiční 2.5'!D28+'Transfery neinvestiční 2.5'!H28+'Transfery neinvestiční 2.5'!L28+'Transfery neinvestiční 2.5'!P28+'Transfery neinvestiční 2.5'!T28+'Transfery nein.2.5a'!D30+'Transfery nein.2.5a'!T30+'Transfery nein.2.5a'!X30+'Transfery investiční'!AG30+'Transfery investiční'!G28+'Transfery investiční'!K28+'Transfery investiční'!O28+'Transfery investiční'!W28+'Transfery nein.2.5a'!AG30</f>
        <v>60730</v>
      </c>
      <c r="S26" s="23">
        <f t="shared" si="3"/>
        <v>113.85665273064738</v>
      </c>
    </row>
    <row r="27" spans="1:19" ht="17.100000000000001" customHeight="1" x14ac:dyDescent="0.25">
      <c r="A27" s="20" t="s">
        <v>171</v>
      </c>
      <c r="B27" s="21">
        <f>'Daňové příjmy'!B28+'Daňové příjmy'!F28++'Daňové příjmy'!J28+'Daňové příjmy'!N28+'Ost.daně=Místní popl.'!B29</f>
        <v>2170</v>
      </c>
      <c r="C27" s="22">
        <f>'Daňové příjmy'!C28+'Daňové příjmy'!G28++'Daňové příjmy'!K28+'Daňové příjmy'!O28+'Ost.daně=Místní popl.'!C29</f>
        <v>9003</v>
      </c>
      <c r="D27" s="22">
        <f>'Daňové příjmy'!D28+'Daňové příjmy'!H28+'Daňové příjmy'!L28+'Daňové příjmy'!P28+'Ost.daně=Místní popl.'!D29</f>
        <v>9414</v>
      </c>
      <c r="E27" s="72">
        <v>-6678131.8700000001</v>
      </c>
      <c r="F27" s="72">
        <f t="shared" si="1"/>
        <v>-2735.8681299999998</v>
      </c>
      <c r="G27" s="23">
        <f t="shared" si="0"/>
        <v>104.56514495168277</v>
      </c>
      <c r="H27" s="21">
        <f>'Nedaňové příjmy'!B30+'Nedaňové příjmy'!F30+'Nedaňové příjmy'!J30+'Nedaňové příjmy'!N30+'Nedaňové příjmy'!R30+'Nedaňové příjmy'!V30</f>
        <v>8910</v>
      </c>
      <c r="I27" s="22">
        <f>'Nedaňové příjmy'!C30+'Nedaňové příjmy'!G30+'Nedaňové příjmy'!K30+'Nedaňové příjmy'!O30+'Nedaňové příjmy'!S30+'Nedaňové příjmy'!W30</f>
        <v>13043</v>
      </c>
      <c r="J27" s="22">
        <f>'Nedaňové příjmy'!D30+'Nedaňové příjmy'!H30+'Nedaňové příjmy'!L30+'Nedaňové příjmy'!P30+'Nedaňové příjmy'!T30+'Nedaňové příjmy'!X30</f>
        <v>14290</v>
      </c>
      <c r="K27" s="23">
        <f t="shared" si="2"/>
        <v>109.5606838917427</v>
      </c>
      <c r="L27" s="21">
        <f>'Kapitálové příjmy'!B28+'Kapitálové příjmy'!F28</f>
        <v>0</v>
      </c>
      <c r="M27" s="22">
        <f>'Kapitálové příjmy'!C28+'Kapitálové příjmy'!G28</f>
        <v>0</v>
      </c>
      <c r="N27" s="22">
        <f>'Kapitálové příjmy'!D28+'Kapitálové příjmy'!H28</f>
        <v>0</v>
      </c>
      <c r="O27" s="23"/>
      <c r="P27" s="21">
        <f>'Transfery neinvestiční 2.5'!B29+'Transfery neinvestiční 2.5'!F29+'Transfery neinvestiční 2.5'!J29+'Transfery neinvestiční 2.5'!N29+'Transfery neinvestiční 2.5'!R29+'Transfery nein.2.5a'!B31+'Transfery nein.2.5a'!R31+'Transfery nein.2.5a'!V31+'Transfery investiční'!AE31+'Transfery investiční'!E29+'Transfery investiční'!I29+'Transfery investiční'!M29+'Transfery investiční'!U29+'Transfery nein.2.5a'!AE31</f>
        <v>51998</v>
      </c>
      <c r="Q27" s="22">
        <f>'Transfery neinvestiční 2.5'!C29+'Transfery neinvestiční 2.5'!G29+'Transfery neinvestiční 2.5'!K29+'Transfery neinvestiční 2.5'!O29+'Transfery neinvestiční 2.5'!S29+'Transfery nein.2.5a'!C31+'Transfery nein.2.5a'!S31+'Transfery nein.2.5a'!W31+'Transfery investiční'!AF31+'Transfery investiční'!F29+'Transfery investiční'!J29+'Transfery investiční'!N29+'Transfery investiční'!V29+'Transfery nein.2.5a'!AF31</f>
        <v>76801</v>
      </c>
      <c r="R27" s="323">
        <f>'Transfery neinvestiční 2.5'!D29+'Transfery neinvestiční 2.5'!H29+'Transfery neinvestiční 2.5'!L29+'Transfery neinvestiční 2.5'!P29+'Transfery neinvestiční 2.5'!T29+'Transfery nein.2.5a'!D31+'Transfery nein.2.5a'!T31+'Transfery nein.2.5a'!X31+'Transfery investiční'!AG31+'Transfery investiční'!G29+'Transfery investiční'!K29+'Transfery investiční'!O29+'Transfery investiční'!W29+'Transfery nein.2.5a'!AG31</f>
        <v>76801</v>
      </c>
      <c r="S27" s="23">
        <f t="shared" si="3"/>
        <v>100</v>
      </c>
    </row>
    <row r="28" spans="1:19" ht="17.100000000000001" customHeight="1" x14ac:dyDescent="0.25">
      <c r="A28" s="20" t="s">
        <v>172</v>
      </c>
      <c r="B28" s="21">
        <f>'Daňové příjmy'!B29+'Daňové příjmy'!F29++'Daňové příjmy'!J29+'Daňové příjmy'!N29+'Ost.daně=Místní popl.'!B30</f>
        <v>1062</v>
      </c>
      <c r="C28" s="22">
        <f>'Daňové příjmy'!C29+'Daňové příjmy'!G29++'Daňové příjmy'!K29+'Daňové příjmy'!O29+'Ost.daně=Místní popl.'!C30</f>
        <v>6593</v>
      </c>
      <c r="D28" s="22">
        <f>'Daňové příjmy'!D29+'Daňové příjmy'!H29+'Daňové příjmy'!L29+'Daňové příjmy'!P29+'Ost.daně=Místní popl.'!D30</f>
        <v>6635</v>
      </c>
      <c r="E28" s="72">
        <v>-8545227.5</v>
      </c>
      <c r="F28" s="72">
        <f t="shared" si="1"/>
        <v>1910.2275000000009</v>
      </c>
      <c r="G28" s="23">
        <f t="shared" si="0"/>
        <v>100.63703928408918</v>
      </c>
      <c r="H28" s="21">
        <f>'Nedaňové příjmy'!B31+'Nedaňové příjmy'!F31+'Nedaňové příjmy'!J31+'Nedaňové příjmy'!N31+'Nedaňové příjmy'!R31+'Nedaňové příjmy'!V31</f>
        <v>7045</v>
      </c>
      <c r="I28" s="22">
        <f>'Nedaňové příjmy'!C31+'Nedaňové příjmy'!G31+'Nedaňové příjmy'!K31+'Nedaňové příjmy'!O31+'Nedaňové příjmy'!S31+'Nedaňové příjmy'!W31</f>
        <v>8941</v>
      </c>
      <c r="J28" s="22">
        <f>'Nedaňové příjmy'!D31+'Nedaňové příjmy'!H31+'Nedaňové příjmy'!L31+'Nedaňové příjmy'!P31+'Nedaňové příjmy'!T31+'Nedaňové příjmy'!X31</f>
        <v>8980</v>
      </c>
      <c r="K28" s="23">
        <f t="shared" si="2"/>
        <v>100.43619281959512</v>
      </c>
      <c r="L28" s="21">
        <f>'Kapitálové příjmy'!B29+'Kapitálové příjmy'!F29</f>
        <v>0</v>
      </c>
      <c r="M28" s="22">
        <f>'Kapitálové příjmy'!C29+'Kapitálové příjmy'!G29</f>
        <v>0</v>
      </c>
      <c r="N28" s="22">
        <f>'Kapitálové příjmy'!D29+'Kapitálové příjmy'!H29</f>
        <v>0</v>
      </c>
      <c r="O28" s="23"/>
      <c r="P28" s="21">
        <f>'Transfery neinvestiční 2.5'!B30+'Transfery neinvestiční 2.5'!F30+'Transfery neinvestiční 2.5'!J30+'Transfery neinvestiční 2.5'!N30+'Transfery neinvestiční 2.5'!R30+'Transfery nein.2.5a'!B32+'Transfery nein.2.5a'!R32+'Transfery nein.2.5a'!V32+'Transfery investiční'!AE32+'Transfery investiční'!E30+'Transfery investiční'!I30+'Transfery investiční'!M30+'Transfery investiční'!U30+'Transfery nein.2.5a'!AE32</f>
        <v>45032</v>
      </c>
      <c r="Q28" s="22">
        <f>'Transfery neinvestiční 2.5'!C30+'Transfery neinvestiční 2.5'!G30+'Transfery neinvestiční 2.5'!K30+'Transfery neinvestiční 2.5'!O30+'Transfery neinvestiční 2.5'!S30+'Transfery nein.2.5a'!C32+'Transfery nein.2.5a'!S32+'Transfery nein.2.5a'!W32+'Transfery investiční'!AF32+'Transfery investiční'!F30+'Transfery investiční'!J30+'Transfery investiční'!N30+'Transfery investiční'!V30+'Transfery nein.2.5a'!AF32</f>
        <v>60342</v>
      </c>
      <c r="R28" s="323">
        <f>'Transfery neinvestiční 2.5'!D30+'Transfery neinvestiční 2.5'!H30+'Transfery neinvestiční 2.5'!L30+'Transfery neinvestiční 2.5'!P30+'Transfery neinvestiční 2.5'!T30+'Transfery nein.2.5a'!D32+'Transfery nein.2.5a'!T32+'Transfery nein.2.5a'!X32+'Transfery investiční'!AG32+'Transfery investiční'!G30+'Transfery investiční'!K30+'Transfery investiční'!O30+'Transfery investiční'!W30+'Transfery nein.2.5a'!AG32</f>
        <v>59657</v>
      </c>
      <c r="S28" s="23">
        <f t="shared" si="3"/>
        <v>98.864803950813695</v>
      </c>
    </row>
    <row r="29" spans="1:19" ht="17.100000000000001" customHeight="1" x14ac:dyDescent="0.25">
      <c r="A29" s="20" t="s">
        <v>173</v>
      </c>
      <c r="B29" s="21">
        <f>'Daňové příjmy'!B30+'Daňové příjmy'!F30++'Daňové příjmy'!J30+'Daňové příjmy'!N30+'Ost.daně=Místní popl.'!B31</f>
        <v>14935</v>
      </c>
      <c r="C29" s="22">
        <f>'Daňové příjmy'!C30+'Daňové příjmy'!G30++'Daňové příjmy'!K30+'Daňové příjmy'!O30+'Ost.daně=Místní popl.'!C31</f>
        <v>20057</v>
      </c>
      <c r="D29" s="22">
        <f>'Daňové příjmy'!D30+'Daňové příjmy'!H30+'Daňové příjmy'!L30+'Daňové příjmy'!P30+'Ost.daně=Místní popl.'!D31</f>
        <v>20089</v>
      </c>
      <c r="E29" s="72">
        <v>-14112277.6</v>
      </c>
      <c r="F29" s="72">
        <f t="shared" si="1"/>
        <v>-5976.7224000000006</v>
      </c>
      <c r="G29" s="23">
        <f t="shared" si="0"/>
        <v>100.15954529590667</v>
      </c>
      <c r="H29" s="21">
        <f>'Nedaňové příjmy'!B32+'Nedaňové příjmy'!F32+'Nedaňové příjmy'!J32+'Nedaňové příjmy'!N32+'Nedaňové příjmy'!R32+'Nedaňové příjmy'!V32</f>
        <v>11477</v>
      </c>
      <c r="I29" s="22">
        <f>'Nedaňové příjmy'!C32+'Nedaňové příjmy'!G32+'Nedaňové příjmy'!K32+'Nedaňové příjmy'!O32+'Nedaňové příjmy'!S32+'Nedaňové příjmy'!W32</f>
        <v>12363</v>
      </c>
      <c r="J29" s="22">
        <f>'Nedaňové příjmy'!D32+'Nedaňové příjmy'!H32+'Nedaňové příjmy'!L32+'Nedaňové příjmy'!P32+'Nedaňové příjmy'!T32+'Nedaňové příjmy'!X32</f>
        <v>12500</v>
      </c>
      <c r="K29" s="23">
        <f t="shared" si="2"/>
        <v>101.10814527218312</v>
      </c>
      <c r="L29" s="21">
        <f>'Kapitálové příjmy'!B30+'Kapitálové příjmy'!F30</f>
        <v>0</v>
      </c>
      <c r="M29" s="22">
        <f>'Kapitálové příjmy'!C30+'Kapitálové příjmy'!G30</f>
        <v>0</v>
      </c>
      <c r="N29" s="22">
        <f>'Kapitálové příjmy'!D30+'Kapitálové příjmy'!H30</f>
        <v>0</v>
      </c>
      <c r="O29" s="23"/>
      <c r="P29" s="21">
        <f>'Transfery neinvestiční 2.5'!B31+'Transfery neinvestiční 2.5'!F31+'Transfery neinvestiční 2.5'!J31+'Transfery neinvestiční 2.5'!N31+'Transfery neinvestiční 2.5'!R31+'Transfery nein.2.5a'!B33+'Transfery nein.2.5a'!R33+'Transfery nein.2.5a'!V33+'Transfery investiční'!AE33+'Transfery investiční'!E31+'Transfery investiční'!I31+'Transfery investiční'!M31+'Transfery investiční'!U31+'Transfery nein.2.5a'!AE33</f>
        <v>125158</v>
      </c>
      <c r="Q29" s="22">
        <f>'Transfery neinvestiční 2.5'!C31+'Transfery neinvestiční 2.5'!G31+'Transfery neinvestiční 2.5'!K31+'Transfery neinvestiční 2.5'!O31+'Transfery neinvestiční 2.5'!S31+'Transfery nein.2.5a'!C33+'Transfery nein.2.5a'!S33+'Transfery nein.2.5a'!W33+'Transfery investiční'!AF33+'Transfery investiční'!F31+'Transfery investiční'!J31+'Transfery investiční'!N31+'Transfery investiční'!V31+'Transfery nein.2.5a'!AF33</f>
        <v>190202</v>
      </c>
      <c r="R29" s="323">
        <f>'Transfery neinvestiční 2.5'!D31+'Transfery neinvestiční 2.5'!H31+'Transfery neinvestiční 2.5'!L31+'Transfery neinvestiční 2.5'!P31+'Transfery neinvestiční 2.5'!T31+'Transfery nein.2.5a'!D33+'Transfery nein.2.5a'!T33+'Transfery nein.2.5a'!X33+'Transfery investiční'!AG33+'Transfery investiční'!G31+'Transfery investiční'!K31+'Transfery investiční'!O31+'Transfery investiční'!W31+'Transfery nein.2.5a'!AG33</f>
        <v>190202</v>
      </c>
      <c r="S29" s="23">
        <f t="shared" si="3"/>
        <v>100</v>
      </c>
    </row>
    <row r="30" spans="1:19" ht="17.100000000000001" customHeight="1" x14ac:dyDescent="0.25">
      <c r="A30" s="20" t="s">
        <v>174</v>
      </c>
      <c r="B30" s="21">
        <f>'Daňové příjmy'!B31+'Daňové příjmy'!F31++'Daňové příjmy'!J31+'Daňové příjmy'!N31+'Ost.daně=Místní popl.'!B32</f>
        <v>4851</v>
      </c>
      <c r="C30" s="22">
        <f>'Daňové příjmy'!C31+'Daňové příjmy'!G31++'Daňové příjmy'!K31+'Daňové příjmy'!O31+'Ost.daně=Místní popl.'!C32</f>
        <v>5109</v>
      </c>
      <c r="D30" s="22">
        <f>'Daňové příjmy'!D31+'Daňové příjmy'!H31+'Daňové příjmy'!L31+'Daňové příjmy'!P31+'Ost.daně=Místní popl.'!D32</f>
        <v>5106</v>
      </c>
      <c r="E30" s="72">
        <v>-5303691.51</v>
      </c>
      <c r="F30" s="72">
        <f t="shared" si="1"/>
        <v>197.69150999999965</v>
      </c>
      <c r="G30" s="23">
        <f t="shared" si="0"/>
        <v>99.941280093951846</v>
      </c>
      <c r="H30" s="21">
        <f>'Nedaňové příjmy'!B33+'Nedaňové příjmy'!F33+'Nedaňové příjmy'!J33+'Nedaňové příjmy'!N33+'Nedaňové příjmy'!R33+'Nedaňové příjmy'!V33</f>
        <v>2337</v>
      </c>
      <c r="I30" s="22">
        <f>'Nedaňové příjmy'!C33+'Nedaňové příjmy'!G33+'Nedaňové příjmy'!K33+'Nedaňové příjmy'!O33+'Nedaňové příjmy'!S33+'Nedaňové příjmy'!W33</f>
        <v>2542</v>
      </c>
      <c r="J30" s="22">
        <f>'Nedaňové příjmy'!D33+'Nedaňové příjmy'!H33+'Nedaňové příjmy'!L33+'Nedaňové příjmy'!P33+'Nedaňové příjmy'!T33+'Nedaňové příjmy'!X33</f>
        <v>2754</v>
      </c>
      <c r="K30" s="23">
        <f t="shared" si="2"/>
        <v>108.33988985051141</v>
      </c>
      <c r="L30" s="21">
        <f>'Kapitálové příjmy'!B31+'Kapitálové příjmy'!F31</f>
        <v>0</v>
      </c>
      <c r="M30" s="22">
        <f>'Kapitálové příjmy'!C31+'Kapitálové příjmy'!G31</f>
        <v>0</v>
      </c>
      <c r="N30" s="22">
        <f>'Kapitálové příjmy'!D31+'Kapitálové příjmy'!H31</f>
        <v>0</v>
      </c>
      <c r="O30" s="23"/>
      <c r="P30" s="21">
        <f>'Transfery neinvestiční 2.5'!B32+'Transfery neinvestiční 2.5'!F32+'Transfery neinvestiční 2.5'!J32+'Transfery neinvestiční 2.5'!N32+'Transfery neinvestiční 2.5'!R32+'Transfery nein.2.5a'!B34+'Transfery nein.2.5a'!R34+'Transfery nein.2.5a'!V34+'Transfery investiční'!AE34+'Transfery investiční'!E32+'Transfery investiční'!I32+'Transfery investiční'!M32+'Transfery investiční'!U32+'Transfery nein.2.5a'!AE34</f>
        <v>44379</v>
      </c>
      <c r="Q30" s="22">
        <f>'Transfery neinvestiční 2.5'!C32+'Transfery neinvestiční 2.5'!G32+'Transfery neinvestiční 2.5'!K32+'Transfery neinvestiční 2.5'!O32+'Transfery neinvestiční 2.5'!S32+'Transfery nein.2.5a'!C34+'Transfery nein.2.5a'!S34+'Transfery nein.2.5a'!W34+'Transfery investiční'!AF34+'Transfery investiční'!F32+'Transfery investiční'!J32+'Transfery investiční'!N32+'Transfery investiční'!V32+'Transfery nein.2.5a'!AF34</f>
        <v>62528</v>
      </c>
      <c r="R30" s="323">
        <f>'Transfery neinvestiční 2.5'!D32+'Transfery neinvestiční 2.5'!H32+'Transfery neinvestiční 2.5'!L32+'Transfery neinvestiční 2.5'!P32+'Transfery neinvestiční 2.5'!T32+'Transfery nein.2.5a'!D34+'Transfery nein.2.5a'!T34+'Transfery nein.2.5a'!X34+'Transfery investiční'!AG34+'Transfery investiční'!G32+'Transfery investiční'!K32+'Transfery investiční'!O32+'Transfery investiční'!W32+'Transfery nein.2.5a'!AG34</f>
        <v>62538</v>
      </c>
      <c r="S30" s="23">
        <f t="shared" si="3"/>
        <v>100.01599283520983</v>
      </c>
    </row>
    <row r="31" spans="1:19" ht="17.100000000000001" customHeight="1" x14ac:dyDescent="0.25">
      <c r="A31" s="20" t="s">
        <v>175</v>
      </c>
      <c r="B31" s="21">
        <f>'Daňové příjmy'!B32+'Daňové příjmy'!F32++'Daňové příjmy'!J32+'Daňové příjmy'!N32+'Ost.daně=Místní popl.'!B33</f>
        <v>719</v>
      </c>
      <c r="C31" s="22">
        <f>'Daňové příjmy'!C32+'Daňové příjmy'!G32++'Daňové příjmy'!K32+'Daňové příjmy'!O32+'Ost.daně=Místní popl.'!C33</f>
        <v>1186</v>
      </c>
      <c r="D31" s="22">
        <f>'Daňové příjmy'!D32+'Daňové příjmy'!H32+'Daňové příjmy'!L32+'Daňové příjmy'!P32+'Ost.daně=Místní popl.'!D33</f>
        <v>1548</v>
      </c>
      <c r="E31" s="72">
        <v>-1289579.5</v>
      </c>
      <c r="F31" s="72">
        <f t="shared" si="1"/>
        <v>-258.42049999999995</v>
      </c>
      <c r="G31" s="23">
        <f t="shared" si="0"/>
        <v>130.52276559865092</v>
      </c>
      <c r="H31" s="21">
        <f>'Nedaňové příjmy'!B34+'Nedaňové příjmy'!F34+'Nedaňové příjmy'!J34+'Nedaňové příjmy'!N34+'Nedaňové příjmy'!R34+'Nedaňové příjmy'!V34</f>
        <v>2342</v>
      </c>
      <c r="I31" s="22">
        <f>'Nedaňové příjmy'!C34+'Nedaňové příjmy'!G34+'Nedaňové příjmy'!K34+'Nedaňové příjmy'!O34+'Nedaňové příjmy'!S34+'Nedaňové příjmy'!W34</f>
        <v>2548</v>
      </c>
      <c r="J31" s="22">
        <f>'Nedaňové příjmy'!D34+'Nedaňové příjmy'!H34+'Nedaňové příjmy'!L34+'Nedaňové příjmy'!P34+'Nedaňové příjmy'!T34+'Nedaňové příjmy'!X34</f>
        <v>2613</v>
      </c>
      <c r="K31" s="23">
        <f t="shared" si="2"/>
        <v>102.55102040816327</v>
      </c>
      <c r="L31" s="21">
        <f>'Kapitálové příjmy'!B32+'Kapitálové příjmy'!F32</f>
        <v>0</v>
      </c>
      <c r="M31" s="22">
        <f>'Kapitálové příjmy'!C32+'Kapitálové příjmy'!G32</f>
        <v>0</v>
      </c>
      <c r="N31" s="22">
        <f>'Kapitálové příjmy'!D32+'Kapitálové příjmy'!H32</f>
        <v>0</v>
      </c>
      <c r="O31" s="23"/>
      <c r="P31" s="21">
        <f>'Transfery neinvestiční 2.5'!B33+'Transfery neinvestiční 2.5'!F33+'Transfery neinvestiční 2.5'!J33+'Transfery neinvestiční 2.5'!N33+'Transfery neinvestiční 2.5'!R33+'Transfery nein.2.5a'!B35+'Transfery nein.2.5a'!R35+'Transfery nein.2.5a'!V35+'Transfery investiční'!AE35+'Transfery investiční'!E33+'Transfery investiční'!I33+'Transfery investiční'!M33+'Transfery investiční'!U33+'Transfery nein.2.5a'!AE35</f>
        <v>26847</v>
      </c>
      <c r="Q31" s="22">
        <f>'Transfery neinvestiční 2.5'!C33+'Transfery neinvestiční 2.5'!G33+'Transfery neinvestiční 2.5'!K33+'Transfery neinvestiční 2.5'!O33+'Transfery neinvestiční 2.5'!S33+'Transfery nein.2.5a'!C35+'Transfery nein.2.5a'!S35+'Transfery nein.2.5a'!W35+'Transfery investiční'!AF35+'Transfery investiční'!F33+'Transfery investiční'!J33+'Transfery investiční'!N33+'Transfery investiční'!V33+'Transfery nein.2.5a'!AF35</f>
        <v>33802</v>
      </c>
      <c r="R31" s="323">
        <f>'Transfery neinvestiční 2.5'!D33+'Transfery neinvestiční 2.5'!H33+'Transfery neinvestiční 2.5'!L33+'Transfery neinvestiční 2.5'!P33+'Transfery neinvestiční 2.5'!T33+'Transfery nein.2.5a'!D35+'Transfery nein.2.5a'!T35+'Transfery nein.2.5a'!X35+'Transfery investiční'!AG35+'Transfery investiční'!G33+'Transfery investiční'!K33+'Transfery investiční'!O33+'Transfery investiční'!W33+'Transfery nein.2.5a'!AG35</f>
        <v>33802</v>
      </c>
      <c r="S31" s="23">
        <f t="shared" si="3"/>
        <v>100</v>
      </c>
    </row>
    <row r="32" spans="1:19" ht="17.100000000000001" customHeight="1" x14ac:dyDescent="0.25">
      <c r="A32" s="20" t="s">
        <v>176</v>
      </c>
      <c r="B32" s="21">
        <f>'Daňové příjmy'!B33+'Daňové příjmy'!F33++'Daňové příjmy'!J33+'Daňové příjmy'!N33+'Ost.daně=Místní popl.'!B34</f>
        <v>371</v>
      </c>
      <c r="C32" s="22">
        <f>'Daňové příjmy'!C33+'Daňové příjmy'!G33++'Daňové příjmy'!K33+'Daňové příjmy'!O33+'Ost.daně=Místní popl.'!C34</f>
        <v>717</v>
      </c>
      <c r="D32" s="22">
        <f>'Daňové příjmy'!D33+'Daňové příjmy'!H33+'Daňové příjmy'!L33+'Daňové příjmy'!P33+'Ost.daně=Místní popl.'!D34</f>
        <v>703</v>
      </c>
      <c r="E32" s="72">
        <v>-936716</v>
      </c>
      <c r="F32" s="72">
        <f t="shared" si="1"/>
        <v>233.71600000000001</v>
      </c>
      <c r="G32" s="23">
        <f t="shared" si="0"/>
        <v>98.047419804741978</v>
      </c>
      <c r="H32" s="21">
        <f>'Nedaňové příjmy'!B35+'Nedaňové příjmy'!F35+'Nedaňové příjmy'!J35+'Nedaňové příjmy'!N35+'Nedaňové příjmy'!R35+'Nedaňové příjmy'!V35</f>
        <v>1269</v>
      </c>
      <c r="I32" s="22">
        <f>'Nedaňové příjmy'!C35+'Nedaňové příjmy'!G35+'Nedaňové příjmy'!K35+'Nedaňové příjmy'!O35+'Nedaňové příjmy'!S35+'Nedaňové příjmy'!W35</f>
        <v>2071</v>
      </c>
      <c r="J32" s="22">
        <f>'Nedaňové příjmy'!D35+'Nedaňové příjmy'!H35+'Nedaňové příjmy'!L35+'Nedaňové příjmy'!P35+'Nedaňové příjmy'!T35+'Nedaňové příjmy'!X35</f>
        <v>1747</v>
      </c>
      <c r="K32" s="23">
        <f t="shared" si="2"/>
        <v>84.355383872525351</v>
      </c>
      <c r="L32" s="21">
        <f>'Kapitálové příjmy'!B33+'Kapitálové příjmy'!F33</f>
        <v>0</v>
      </c>
      <c r="M32" s="22">
        <f>'Kapitálové příjmy'!C33+'Kapitálové příjmy'!G33</f>
        <v>0</v>
      </c>
      <c r="N32" s="22">
        <f>'Kapitálové příjmy'!D33+'Kapitálové příjmy'!H33</f>
        <v>0</v>
      </c>
      <c r="O32" s="23"/>
      <c r="P32" s="21">
        <f>'Transfery neinvestiční 2.5'!B34+'Transfery neinvestiční 2.5'!F34+'Transfery neinvestiční 2.5'!J34+'Transfery neinvestiční 2.5'!N34+'Transfery neinvestiční 2.5'!R34+'Transfery nein.2.5a'!B36+'Transfery nein.2.5a'!R36+'Transfery nein.2.5a'!V36+'Transfery investiční'!AE36+'Transfery investiční'!E34+'Transfery investiční'!I34+'Transfery investiční'!M34+'Transfery investiční'!U34+'Transfery nein.2.5a'!AE36</f>
        <v>16345</v>
      </c>
      <c r="Q32" s="22">
        <f>'Transfery neinvestiční 2.5'!C34+'Transfery neinvestiční 2.5'!G34+'Transfery neinvestiční 2.5'!K34+'Transfery neinvestiční 2.5'!O34+'Transfery neinvestiční 2.5'!S34+'Transfery nein.2.5a'!C36+'Transfery nein.2.5a'!S36+'Transfery nein.2.5a'!W36+'Transfery investiční'!AF36+'Transfery investiční'!F34+'Transfery investiční'!J34+'Transfery investiční'!N34+'Transfery investiční'!V34+'Transfery nein.2.5a'!AF36</f>
        <v>26907</v>
      </c>
      <c r="R32" s="323">
        <f>'Transfery neinvestiční 2.5'!D34+'Transfery neinvestiční 2.5'!H34+'Transfery neinvestiční 2.5'!L34+'Transfery neinvestiční 2.5'!P34+'Transfery neinvestiční 2.5'!T34+'Transfery nein.2.5a'!D36+'Transfery nein.2.5a'!T36+'Transfery nein.2.5a'!X36+'Transfery investiční'!AG36+'Transfery investiční'!G34+'Transfery investiční'!K34+'Transfery investiční'!O34+'Transfery investiční'!W34+'Transfery nein.2.5a'!AG36</f>
        <v>26907</v>
      </c>
      <c r="S32" s="23">
        <f t="shared" si="3"/>
        <v>100</v>
      </c>
    </row>
    <row r="33" spans="1:19" ht="17.100000000000001" customHeight="1" x14ac:dyDescent="0.25">
      <c r="A33" s="20" t="s">
        <v>177</v>
      </c>
      <c r="B33" s="21">
        <f>'Daňové příjmy'!B34+'Daňové příjmy'!F34++'Daňové příjmy'!J34+'Daňové příjmy'!N34+'Ost.daně=Místní popl.'!B35</f>
        <v>14937</v>
      </c>
      <c r="C33" s="22">
        <f>'Daňové příjmy'!C34+'Daňové příjmy'!G34++'Daňové příjmy'!K34+'Daňové příjmy'!O34+'Ost.daně=Místní popl.'!C35</f>
        <v>17733</v>
      </c>
      <c r="D33" s="22">
        <f>'Daňové příjmy'!D34+'Daňové příjmy'!H34+'Daňové příjmy'!L34+'Daňové příjmy'!P34+'Ost.daně=Místní popl.'!D35</f>
        <v>17731</v>
      </c>
      <c r="E33" s="72">
        <v>-25626998.170000002</v>
      </c>
      <c r="F33" s="72">
        <f t="shared" si="1"/>
        <v>7895.9981700000026</v>
      </c>
      <c r="G33" s="23">
        <f t="shared" si="0"/>
        <v>99.988721592511141</v>
      </c>
      <c r="H33" s="21">
        <f>'Nedaňové příjmy'!B36+'Nedaňové příjmy'!F36+'Nedaňové příjmy'!J36+'Nedaňové příjmy'!N36+'Nedaňové příjmy'!R36+'Nedaňové příjmy'!V36</f>
        <v>13148</v>
      </c>
      <c r="I33" s="22">
        <f>'Nedaňové příjmy'!C36+'Nedaňové příjmy'!G36+'Nedaňové příjmy'!K36+'Nedaňové příjmy'!O36+'Nedaňové příjmy'!S36+'Nedaňové příjmy'!W36</f>
        <v>14976</v>
      </c>
      <c r="J33" s="22">
        <f>'Nedaňové příjmy'!D36+'Nedaňové příjmy'!H36+'Nedaňové příjmy'!L36+'Nedaňové příjmy'!P36+'Nedaňové příjmy'!T36+'Nedaňové příjmy'!X36</f>
        <v>14993</v>
      </c>
      <c r="K33" s="23">
        <f t="shared" si="2"/>
        <v>100.11351495726495</v>
      </c>
      <c r="L33" s="21">
        <f>'Kapitálové příjmy'!B34+'Kapitálové příjmy'!F34</f>
        <v>0</v>
      </c>
      <c r="M33" s="22">
        <f>'Kapitálové příjmy'!C34+'Kapitálové příjmy'!G34</f>
        <v>195</v>
      </c>
      <c r="N33" s="22">
        <f>'Kapitálové příjmy'!D34+'Kapitálové příjmy'!H34</f>
        <v>195</v>
      </c>
      <c r="O33" s="23">
        <f t="shared" ref="O33" si="6">SUM(N33/M33*100)</f>
        <v>100</v>
      </c>
      <c r="P33" s="21">
        <f>'Transfery neinvestiční 2.5'!B35+'Transfery neinvestiční 2.5'!F35+'Transfery neinvestiční 2.5'!J35+'Transfery neinvestiční 2.5'!N35+'Transfery neinvestiční 2.5'!R35+'Transfery nein.2.5a'!B37+'Transfery nein.2.5a'!R37+'Transfery nein.2.5a'!V37+'Transfery investiční'!AE37+'Transfery investiční'!E35+'Transfery investiční'!I35+'Transfery investiční'!M35+'Transfery investiční'!U35+'Transfery nein.2.5a'!AE37</f>
        <v>119684</v>
      </c>
      <c r="Q33" s="22">
        <f>'Transfery neinvestiční 2.5'!C35+'Transfery neinvestiční 2.5'!G35+'Transfery neinvestiční 2.5'!K35+'Transfery neinvestiční 2.5'!O35+'Transfery neinvestiční 2.5'!S35+'Transfery nein.2.5a'!C37+'Transfery nein.2.5a'!S37+'Transfery nein.2.5a'!W37+'Transfery investiční'!AF37+'Transfery investiční'!F35+'Transfery investiční'!J35+'Transfery investiční'!N35+'Transfery investiční'!V35+'Transfery nein.2.5a'!AF37</f>
        <v>155813</v>
      </c>
      <c r="R33" s="323">
        <f>'Transfery neinvestiční 2.5'!D35+'Transfery neinvestiční 2.5'!H35+'Transfery neinvestiční 2.5'!L35+'Transfery neinvestiční 2.5'!P35+'Transfery neinvestiční 2.5'!T35+'Transfery nein.2.5a'!D37+'Transfery nein.2.5a'!T37+'Transfery nein.2.5a'!X37+'Transfery investiční'!AG37+'Transfery investiční'!G35+'Transfery investiční'!K35+'Transfery investiční'!O35+'Transfery investiční'!W35+'Transfery nein.2.5a'!AG37</f>
        <v>155815</v>
      </c>
      <c r="S33" s="23">
        <f t="shared" si="3"/>
        <v>100.00128358994435</v>
      </c>
    </row>
    <row r="34" spans="1:19" ht="17.100000000000001" customHeight="1" x14ac:dyDescent="0.25">
      <c r="A34" s="20" t="s">
        <v>178</v>
      </c>
      <c r="B34" s="21">
        <f>'Daňové příjmy'!B35+'Daňové příjmy'!F35++'Daňové příjmy'!J35+'Daňové příjmy'!N35+'Ost.daně=Místní popl.'!B36</f>
        <v>799</v>
      </c>
      <c r="C34" s="22">
        <f>'Daňové příjmy'!C35+'Daňové příjmy'!G35++'Daňové příjmy'!K35+'Daňové příjmy'!O35+'Ost.daně=Místní popl.'!C36</f>
        <v>2621</v>
      </c>
      <c r="D34" s="22">
        <f>'Daňové příjmy'!D35+'Daňové příjmy'!H35+'Daňové příjmy'!L35+'Daňové příjmy'!P35+'Ost.daně=Místní popl.'!D36</f>
        <v>2577</v>
      </c>
      <c r="E34" s="72">
        <v>-2107846</v>
      </c>
      <c r="F34" s="72">
        <f t="shared" si="1"/>
        <v>-469.154</v>
      </c>
      <c r="G34" s="23">
        <f t="shared" si="0"/>
        <v>98.321251430751616</v>
      </c>
      <c r="H34" s="21">
        <f>'Nedaňové příjmy'!B37+'Nedaňové příjmy'!F37+'Nedaňové příjmy'!J37+'Nedaňové příjmy'!N37+'Nedaňové příjmy'!R37+'Nedaňové příjmy'!V37</f>
        <v>715</v>
      </c>
      <c r="I34" s="22">
        <f>'Nedaňové příjmy'!C37+'Nedaňové příjmy'!G37+'Nedaňové příjmy'!K37+'Nedaňové příjmy'!O37+'Nedaňové příjmy'!S37+'Nedaňové příjmy'!W37</f>
        <v>1777</v>
      </c>
      <c r="J34" s="22">
        <f>'Nedaňové příjmy'!D37+'Nedaňové příjmy'!H37+'Nedaňové příjmy'!L37+'Nedaňové příjmy'!P37+'Nedaňové příjmy'!T37+'Nedaňové příjmy'!X37</f>
        <v>1753</v>
      </c>
      <c r="K34" s="23">
        <f t="shared" si="2"/>
        <v>98.649409116488457</v>
      </c>
      <c r="L34" s="21">
        <f>'Kapitálové příjmy'!B35+'Kapitálové příjmy'!F35</f>
        <v>0</v>
      </c>
      <c r="M34" s="22">
        <f>'Kapitálové příjmy'!C35+'Kapitálové příjmy'!G35</f>
        <v>0</v>
      </c>
      <c r="N34" s="22">
        <f>'Kapitálové příjmy'!D35+'Kapitálové příjmy'!H35</f>
        <v>0</v>
      </c>
      <c r="O34" s="23"/>
      <c r="P34" s="21">
        <f>'Transfery neinvestiční 2.5'!B36+'Transfery neinvestiční 2.5'!F36+'Transfery neinvestiční 2.5'!J36+'Transfery neinvestiční 2.5'!N36+'Transfery neinvestiční 2.5'!R36+'Transfery nein.2.5a'!B38+'Transfery nein.2.5a'!R38+'Transfery nein.2.5a'!V38+'Transfery investiční'!AE38+'Transfery investiční'!E36+'Transfery investiční'!I36+'Transfery investiční'!M36+'Transfery investiční'!U36+'Transfery nein.2.5a'!AE38</f>
        <v>17950</v>
      </c>
      <c r="Q34" s="22">
        <f>'Transfery neinvestiční 2.5'!C36+'Transfery neinvestiční 2.5'!G36+'Transfery neinvestiční 2.5'!K36+'Transfery neinvestiční 2.5'!O36+'Transfery neinvestiční 2.5'!S36+'Transfery nein.2.5a'!C38+'Transfery nein.2.5a'!S38+'Transfery nein.2.5a'!W38+'Transfery investiční'!AF38+'Transfery investiční'!F36+'Transfery investiční'!J36+'Transfery investiční'!N36+'Transfery investiční'!V36+'Transfery nein.2.5a'!AF38</f>
        <v>34683</v>
      </c>
      <c r="R34" s="323">
        <f>'Transfery neinvestiční 2.5'!D36+'Transfery neinvestiční 2.5'!H36+'Transfery neinvestiční 2.5'!L36+'Transfery neinvestiční 2.5'!P36+'Transfery neinvestiční 2.5'!T36+'Transfery nein.2.5a'!D38+'Transfery nein.2.5a'!T38+'Transfery nein.2.5a'!X38+'Transfery investiční'!AG38+'Transfery investiční'!G36+'Transfery investiční'!K36+'Transfery investiční'!O36+'Transfery investiční'!W36+'Transfery nein.2.5a'!AG38</f>
        <v>34803</v>
      </c>
      <c r="S34" s="23">
        <f t="shared" si="3"/>
        <v>100.34599083124299</v>
      </c>
    </row>
    <row r="35" spans="1:19" ht="17.100000000000001" customHeight="1" x14ac:dyDescent="0.25">
      <c r="A35" s="20" t="s">
        <v>179</v>
      </c>
      <c r="B35" s="21">
        <f>'Daňové příjmy'!B36+'Daňové příjmy'!F36++'Daňové příjmy'!J36+'Daňové příjmy'!N36+'Ost.daně=Místní popl.'!B37</f>
        <v>4374</v>
      </c>
      <c r="C35" s="22">
        <f>'Daňové příjmy'!C36+'Daňové příjmy'!G36++'Daňové příjmy'!K36+'Daňové příjmy'!O36+'Ost.daně=Místní popl.'!C37</f>
        <v>4135</v>
      </c>
      <c r="D35" s="22">
        <f>'Daňové příjmy'!D36+'Daňové příjmy'!H36+'Daňové příjmy'!L36+'Daňové příjmy'!P36+'Ost.daně=Místní popl.'!D37</f>
        <v>4357</v>
      </c>
      <c r="E35" s="72">
        <v>-6661431</v>
      </c>
      <c r="F35" s="72">
        <f t="shared" si="1"/>
        <v>2304.4309999999996</v>
      </c>
      <c r="G35" s="23">
        <f t="shared" si="0"/>
        <v>105.36880290205562</v>
      </c>
      <c r="H35" s="21">
        <f>'Nedaňové příjmy'!B38+'Nedaňové příjmy'!F38+'Nedaňové příjmy'!J38+'Nedaňové příjmy'!N38+'Nedaňové příjmy'!R38+'Nedaňové příjmy'!V38</f>
        <v>6173</v>
      </c>
      <c r="I35" s="22">
        <f>'Nedaňové příjmy'!C38+'Nedaňové příjmy'!G38+'Nedaňové příjmy'!K38+'Nedaňové příjmy'!O38+'Nedaňové příjmy'!S38+'Nedaňové příjmy'!W38</f>
        <v>6183</v>
      </c>
      <c r="J35" s="22">
        <f>'Nedaňové příjmy'!D38+'Nedaňové příjmy'!H38+'Nedaňové příjmy'!L38+'Nedaňové příjmy'!P38+'Nedaňové příjmy'!T38+'Nedaňové příjmy'!X38</f>
        <v>5470</v>
      </c>
      <c r="K35" s="23">
        <f t="shared" si="2"/>
        <v>88.468381044800253</v>
      </c>
      <c r="L35" s="21">
        <f>'Kapitálové příjmy'!B36+'Kapitálové příjmy'!F36</f>
        <v>5</v>
      </c>
      <c r="M35" s="22">
        <f>'Kapitálové příjmy'!C36+'Kapitálové příjmy'!G36</f>
        <v>5</v>
      </c>
      <c r="N35" s="22">
        <f>'Kapitálové příjmy'!D36+'Kapitálové příjmy'!H36</f>
        <v>9</v>
      </c>
      <c r="O35" s="23">
        <f>SUM(N35/M35*100)</f>
        <v>180</v>
      </c>
      <c r="P35" s="21">
        <f>'Transfery neinvestiční 2.5'!B37+'Transfery neinvestiční 2.5'!F37+'Transfery neinvestiční 2.5'!J37+'Transfery neinvestiční 2.5'!N37+'Transfery neinvestiční 2.5'!R37+'Transfery nein.2.5a'!B39+'Transfery nein.2.5a'!R39+'Transfery nein.2.5a'!V39+'Transfery investiční'!AE39+'Transfery investiční'!E37+'Transfery investiční'!I37+'Transfery investiční'!M37+'Transfery investiční'!U37+'Transfery nein.2.5a'!AE39</f>
        <v>47972</v>
      </c>
      <c r="Q35" s="22">
        <f>'Transfery neinvestiční 2.5'!C37+'Transfery neinvestiční 2.5'!G37+'Transfery neinvestiční 2.5'!K37+'Transfery neinvestiční 2.5'!O37+'Transfery neinvestiční 2.5'!S37+'Transfery nein.2.5a'!C39+'Transfery nein.2.5a'!S39+'Transfery nein.2.5a'!W39+'Transfery investiční'!AF39+'Transfery investiční'!F37+'Transfery investiční'!J37+'Transfery investiční'!N37+'Transfery investiční'!V37+'Transfery nein.2.5a'!AF39</f>
        <v>64395</v>
      </c>
      <c r="R35" s="323">
        <f>'Transfery neinvestiční 2.5'!D37+'Transfery neinvestiční 2.5'!H37+'Transfery neinvestiční 2.5'!L37+'Transfery neinvestiční 2.5'!P37+'Transfery neinvestiční 2.5'!T37+'Transfery nein.2.5a'!D39+'Transfery nein.2.5a'!T39+'Transfery nein.2.5a'!X39+'Transfery investiční'!AG39+'Transfery investiční'!G37+'Transfery investiční'!K37+'Transfery investiční'!O37+'Transfery investiční'!W37+'Transfery nein.2.5a'!AG39</f>
        <v>64395</v>
      </c>
      <c r="S35" s="23">
        <f t="shared" si="3"/>
        <v>100</v>
      </c>
    </row>
    <row r="36" spans="1:19" ht="17.100000000000001" customHeight="1" x14ac:dyDescent="0.25">
      <c r="A36" s="20" t="s">
        <v>180</v>
      </c>
      <c r="B36" s="21">
        <f>'Daňové příjmy'!B37+'Daňové příjmy'!F37++'Daňové příjmy'!J37+'Daňové příjmy'!N37+'Ost.daně=Místní popl.'!B38</f>
        <v>252</v>
      </c>
      <c r="C36" s="22">
        <f>'Daňové příjmy'!C37+'Daňové příjmy'!G37++'Daňové příjmy'!K37+'Daňové příjmy'!O37+'Ost.daně=Místní popl.'!C38</f>
        <v>684</v>
      </c>
      <c r="D36" s="22">
        <f>'Daňové příjmy'!D37+'Daňové příjmy'!H37+'Daňové příjmy'!L37+'Daňové příjmy'!P37+'Ost.daně=Místní popl.'!D38</f>
        <v>649</v>
      </c>
      <c r="E36" s="72">
        <v>-216515</v>
      </c>
      <c r="F36" s="72">
        <f t="shared" si="1"/>
        <v>-432.48500000000001</v>
      </c>
      <c r="G36" s="23">
        <f t="shared" si="0"/>
        <v>94.883040935672511</v>
      </c>
      <c r="H36" s="21">
        <f>'Nedaňové příjmy'!B39+'Nedaňové příjmy'!F39+'Nedaňové příjmy'!J39+'Nedaňové příjmy'!N39+'Nedaňové příjmy'!R39+'Nedaňové příjmy'!V39</f>
        <v>337</v>
      </c>
      <c r="I36" s="22">
        <f>'Nedaňové příjmy'!C39+'Nedaňové příjmy'!G39+'Nedaňové příjmy'!K39+'Nedaňové příjmy'!O39+'Nedaňové příjmy'!S39+'Nedaňové příjmy'!W39</f>
        <v>610</v>
      </c>
      <c r="J36" s="22">
        <f>'Nedaňové příjmy'!D39+'Nedaňové příjmy'!H39+'Nedaňové příjmy'!L39+'Nedaňové příjmy'!P39+'Nedaňové příjmy'!T39+'Nedaňové příjmy'!X39</f>
        <v>579</v>
      </c>
      <c r="K36" s="23">
        <f t="shared" si="2"/>
        <v>94.918032786885249</v>
      </c>
      <c r="L36" s="21">
        <f>'Kapitálové příjmy'!B37+'Kapitálové příjmy'!F37</f>
        <v>0</v>
      </c>
      <c r="M36" s="22">
        <f>'Kapitálové příjmy'!C37+'Kapitálové příjmy'!G37</f>
        <v>0</v>
      </c>
      <c r="N36" s="22">
        <f>'Kapitálové příjmy'!D37+'Kapitálové příjmy'!H37</f>
        <v>0</v>
      </c>
      <c r="O36" s="23"/>
      <c r="P36" s="21">
        <f>'Transfery neinvestiční 2.5'!B38+'Transfery neinvestiční 2.5'!F38+'Transfery neinvestiční 2.5'!J38+'Transfery neinvestiční 2.5'!N38+'Transfery neinvestiční 2.5'!R38+'Transfery nein.2.5a'!B40+'Transfery nein.2.5a'!R40+'Transfery nein.2.5a'!V40+'Transfery investiční'!AE40+'Transfery investiční'!E38+'Transfery investiční'!I38+'Transfery investiční'!M38+'Transfery investiční'!U38+'Transfery nein.2.5a'!AE40</f>
        <v>5166</v>
      </c>
      <c r="Q36" s="22">
        <f>'Transfery neinvestiční 2.5'!C38+'Transfery neinvestiční 2.5'!G38+'Transfery neinvestiční 2.5'!K38+'Transfery neinvestiční 2.5'!O38+'Transfery neinvestiční 2.5'!S38+'Transfery nein.2.5a'!C40+'Transfery nein.2.5a'!S40+'Transfery nein.2.5a'!W40+'Transfery investiční'!AF40+'Transfery investiční'!F38+'Transfery investiční'!J38+'Transfery investiční'!N38+'Transfery investiční'!V38+'Transfery nein.2.5a'!AF40</f>
        <v>5788</v>
      </c>
      <c r="R36" s="323">
        <f>'Transfery neinvestiční 2.5'!D38+'Transfery neinvestiční 2.5'!H38+'Transfery neinvestiční 2.5'!L38+'Transfery neinvestiční 2.5'!P38+'Transfery neinvestiční 2.5'!T38+'Transfery nein.2.5a'!D40+'Transfery nein.2.5a'!T40+'Transfery nein.2.5a'!X40+'Transfery investiční'!AG40+'Transfery investiční'!G38+'Transfery investiční'!K38+'Transfery investiční'!O38+'Transfery investiční'!W38+'Transfery nein.2.5a'!AG40</f>
        <v>5761</v>
      </c>
      <c r="S36" s="23">
        <f t="shared" si="3"/>
        <v>99.533517622667588</v>
      </c>
    </row>
    <row r="37" spans="1:19" ht="17.100000000000001" customHeight="1" x14ac:dyDescent="0.25">
      <c r="A37" s="20" t="s">
        <v>181</v>
      </c>
      <c r="B37" s="21">
        <f>'Daňové příjmy'!B38+'Daňové příjmy'!F38++'Daňové příjmy'!J38+'Daňové příjmy'!N38+'Ost.daně=Místní popl.'!B39</f>
        <v>33</v>
      </c>
      <c r="C37" s="22">
        <f>'Daňové příjmy'!C38+'Daňové příjmy'!G38++'Daňové příjmy'!K38+'Daňové příjmy'!O38+'Ost.daně=Místní popl.'!C39</f>
        <v>129</v>
      </c>
      <c r="D37" s="22">
        <f>'Daňové příjmy'!D38+'Daňové příjmy'!H38+'Daňové příjmy'!L38+'Daňové příjmy'!P38+'Ost.daně=Místní popl.'!D39</f>
        <v>129</v>
      </c>
      <c r="E37" s="72">
        <v>-106123</v>
      </c>
      <c r="F37" s="72">
        <f t="shared" si="1"/>
        <v>-22.876999999999995</v>
      </c>
      <c r="G37" s="23">
        <f t="shared" si="0"/>
        <v>100</v>
      </c>
      <c r="H37" s="21">
        <f>'Nedaňové příjmy'!B40+'Nedaňové příjmy'!F40+'Nedaňové příjmy'!J40+'Nedaňové příjmy'!N40+'Nedaňové příjmy'!R40+'Nedaňové příjmy'!V40</f>
        <v>393</v>
      </c>
      <c r="I37" s="22">
        <f>'Nedaňové příjmy'!C40+'Nedaňové příjmy'!G40+'Nedaňové příjmy'!K40+'Nedaňové příjmy'!O40+'Nedaňové příjmy'!S40+'Nedaňové příjmy'!W40</f>
        <v>523</v>
      </c>
      <c r="J37" s="22">
        <f>'Nedaňové příjmy'!D40+'Nedaňové příjmy'!H40+'Nedaňové příjmy'!L40+'Nedaňové příjmy'!P40+'Nedaňové příjmy'!T40+'Nedaňové příjmy'!X40</f>
        <v>498</v>
      </c>
      <c r="K37" s="23">
        <f t="shared" si="2"/>
        <v>95.219885277246647</v>
      </c>
      <c r="L37" s="21">
        <f>'Kapitálové příjmy'!B38+'Kapitálové příjmy'!F38</f>
        <v>0</v>
      </c>
      <c r="M37" s="22">
        <f>'Kapitálové příjmy'!C38+'Kapitálové příjmy'!G38</f>
        <v>0</v>
      </c>
      <c r="N37" s="22">
        <f>'Kapitálové příjmy'!D38+'Kapitálové příjmy'!H38</f>
        <v>0</v>
      </c>
      <c r="O37" s="23"/>
      <c r="P37" s="21">
        <f>'Transfery neinvestiční 2.5'!B39+'Transfery neinvestiční 2.5'!F39+'Transfery neinvestiční 2.5'!J39+'Transfery neinvestiční 2.5'!N39+'Transfery neinvestiční 2.5'!R39+'Transfery nein.2.5a'!B41+'Transfery nein.2.5a'!R41+'Transfery nein.2.5a'!V41+'Transfery investiční'!AE41+'Transfery investiční'!E39+'Transfery investiční'!I39+'Transfery investiční'!M39+'Transfery investiční'!U39+'Transfery nein.2.5a'!AE41</f>
        <v>5849</v>
      </c>
      <c r="Q37" s="22">
        <f>'Transfery neinvestiční 2.5'!C39+'Transfery neinvestiční 2.5'!G39+'Transfery neinvestiční 2.5'!K39+'Transfery neinvestiční 2.5'!O39+'Transfery neinvestiční 2.5'!S39+'Transfery nein.2.5a'!C41+'Transfery nein.2.5a'!S41+'Transfery nein.2.5a'!W41+'Transfery investiční'!AF41+'Transfery investiční'!F39+'Transfery investiční'!J39+'Transfery investiční'!N39+'Transfery investiční'!V39+'Transfery nein.2.5a'!AF41</f>
        <v>21411</v>
      </c>
      <c r="R37" s="323">
        <f>'Transfery neinvestiční 2.5'!D39+'Transfery neinvestiční 2.5'!H39+'Transfery neinvestiční 2.5'!L39+'Transfery neinvestiční 2.5'!P39+'Transfery neinvestiční 2.5'!T39+'Transfery nein.2.5a'!D41+'Transfery nein.2.5a'!T41+'Transfery nein.2.5a'!X41+'Transfery investiční'!AG41+'Transfery investiční'!G39+'Transfery investiční'!K39+'Transfery investiční'!O39+'Transfery investiční'!W39+'Transfery nein.2.5a'!AG41</f>
        <v>21411</v>
      </c>
      <c r="S37" s="23">
        <f t="shared" si="3"/>
        <v>100</v>
      </c>
    </row>
    <row r="38" spans="1:19" ht="17.100000000000001" customHeight="1" x14ac:dyDescent="0.25">
      <c r="A38" s="20" t="s">
        <v>182</v>
      </c>
      <c r="B38" s="21">
        <f>'Daňové příjmy'!B39+'Daňové příjmy'!F39++'Daňové příjmy'!J39+'Daňové příjmy'!N39+'Ost.daně=Místní popl.'!B40</f>
        <v>342</v>
      </c>
      <c r="C38" s="22">
        <f>'Daňové příjmy'!C39+'Daňové příjmy'!G39++'Daňové příjmy'!K39+'Daňové příjmy'!O39+'Ost.daně=Místní popl.'!C40</f>
        <v>647</v>
      </c>
      <c r="D38" s="22">
        <f>'Daňové příjmy'!D39+'Daňové příjmy'!H39+'Daňové příjmy'!L39+'Daňové příjmy'!P39+'Ost.daně=Místní popl.'!D40</f>
        <v>646</v>
      </c>
      <c r="E38" s="72">
        <v>-38127</v>
      </c>
      <c r="F38" s="72">
        <f t="shared" si="1"/>
        <v>-607.87300000000005</v>
      </c>
      <c r="G38" s="23">
        <f t="shared" si="0"/>
        <v>99.84544049459042</v>
      </c>
      <c r="H38" s="21">
        <f>'Nedaňové příjmy'!B41+'Nedaňové příjmy'!F41+'Nedaňové příjmy'!J41+'Nedaňové příjmy'!N41+'Nedaňové příjmy'!R41+'Nedaňové příjmy'!V41</f>
        <v>34</v>
      </c>
      <c r="I38" s="22">
        <f>'Nedaňové příjmy'!C41+'Nedaňové příjmy'!G41+'Nedaňové příjmy'!K41+'Nedaňové příjmy'!O41+'Nedaňové příjmy'!S41+'Nedaňové příjmy'!W41</f>
        <v>177</v>
      </c>
      <c r="J38" s="22">
        <f>'Nedaňové příjmy'!D41+'Nedaňové příjmy'!H41+'Nedaňové příjmy'!L41+'Nedaňové příjmy'!P41+'Nedaňové příjmy'!T41+'Nedaňové příjmy'!X41</f>
        <v>168</v>
      </c>
      <c r="K38" s="23">
        <f t="shared" si="2"/>
        <v>94.915254237288138</v>
      </c>
      <c r="L38" s="21">
        <f>'Kapitálové příjmy'!B39+'Kapitálové příjmy'!F39</f>
        <v>0</v>
      </c>
      <c r="M38" s="22">
        <f>'Kapitálové příjmy'!C39+'Kapitálové příjmy'!G39</f>
        <v>0</v>
      </c>
      <c r="N38" s="22">
        <f>'Kapitálové příjmy'!D39+'Kapitálové příjmy'!H39</f>
        <v>0</v>
      </c>
      <c r="O38" s="23"/>
      <c r="P38" s="21">
        <f>'Transfery neinvestiční 2.5'!B40+'Transfery neinvestiční 2.5'!F40+'Transfery neinvestiční 2.5'!J40+'Transfery neinvestiční 2.5'!N40+'Transfery neinvestiční 2.5'!R40+'Transfery nein.2.5a'!B42+'Transfery nein.2.5a'!R42+'Transfery nein.2.5a'!V42+'Transfery investiční'!AE42+'Transfery investiční'!E40+'Transfery investiční'!I40+'Transfery investiční'!M40+'Transfery investiční'!U40+'Transfery nein.2.5a'!AE42</f>
        <v>3254</v>
      </c>
      <c r="Q38" s="22">
        <f>'Transfery neinvestiční 2.5'!C40+'Transfery neinvestiční 2.5'!G40+'Transfery neinvestiční 2.5'!K40+'Transfery neinvestiční 2.5'!O40+'Transfery neinvestiční 2.5'!S40+'Transfery nein.2.5a'!C42+'Transfery nein.2.5a'!S42+'Transfery nein.2.5a'!W42+'Transfery investiční'!AF42+'Transfery investiční'!F40+'Transfery investiční'!J40+'Transfery investiční'!N40+'Transfery investiční'!V40+'Transfery nein.2.5a'!AF42</f>
        <v>7853</v>
      </c>
      <c r="R38" s="323">
        <f>'Transfery neinvestiční 2.5'!D40+'Transfery neinvestiční 2.5'!H40+'Transfery neinvestiční 2.5'!L40+'Transfery neinvestiční 2.5'!P40+'Transfery neinvestiční 2.5'!T40+'Transfery nein.2.5a'!D42+'Transfery nein.2.5a'!T42+'Transfery nein.2.5a'!X42+'Transfery investiční'!AG42+'Transfery investiční'!G40+'Transfery investiční'!K40+'Transfery investiční'!O40+'Transfery investiční'!W40+'Transfery nein.2.5a'!AG42</f>
        <v>7840</v>
      </c>
      <c r="S38" s="23">
        <f t="shared" si="3"/>
        <v>99.834458168852663</v>
      </c>
    </row>
    <row r="39" spans="1:19" ht="17.100000000000001" customHeight="1" thickBot="1" x14ac:dyDescent="0.3">
      <c r="A39" s="24" t="s">
        <v>183</v>
      </c>
      <c r="B39" s="25">
        <f>'Daňové příjmy'!B40+'Daňové příjmy'!F40++'Daňové příjmy'!J40+'Daňové příjmy'!N40+'Ost.daně=Místní popl.'!B41</f>
        <v>40</v>
      </c>
      <c r="C39" s="26">
        <f>'Daňové příjmy'!C40+'Daňové příjmy'!G40++'Daňové příjmy'!K40+'Daňové příjmy'!O40+'Ost.daně=Místní popl.'!C41</f>
        <v>70</v>
      </c>
      <c r="D39" s="26">
        <f>'Daňové příjmy'!D40+'Daňové příjmy'!H40+'Daňové příjmy'!L40+'Daňové příjmy'!P40+'Ost.daně=Místní popl.'!D41</f>
        <v>69</v>
      </c>
      <c r="E39" s="73">
        <v>-100710</v>
      </c>
      <c r="F39" s="73">
        <f t="shared" si="1"/>
        <v>31.709999999999994</v>
      </c>
      <c r="G39" s="27">
        <f t="shared" si="0"/>
        <v>98.571428571428584</v>
      </c>
      <c r="H39" s="25">
        <f>'Nedaňové příjmy'!B42+'Nedaňové příjmy'!F42+'Nedaňové příjmy'!J42+'Nedaňové příjmy'!N42+'Nedaňové příjmy'!R42+'Nedaňové příjmy'!V42</f>
        <v>113</v>
      </c>
      <c r="I39" s="26">
        <f>'Nedaňové příjmy'!C42+'Nedaňové příjmy'!G42+'Nedaňové příjmy'!K42+'Nedaňové příjmy'!O42+'Nedaňové příjmy'!S42+'Nedaňové příjmy'!W42</f>
        <v>148</v>
      </c>
      <c r="J39" s="26">
        <f>'Nedaňové příjmy'!D42+'Nedaňové příjmy'!H42+'Nedaňové příjmy'!L42+'Nedaňové příjmy'!P42+'Nedaňové příjmy'!T42+'Nedaňové příjmy'!X42</f>
        <v>138</v>
      </c>
      <c r="K39" s="27">
        <f t="shared" si="2"/>
        <v>93.243243243243242</v>
      </c>
      <c r="L39" s="25">
        <f>'Kapitálové příjmy'!B40+'Kapitálové příjmy'!F40</f>
        <v>0</v>
      </c>
      <c r="M39" s="26">
        <f>'Kapitálové příjmy'!C40+'Kapitálové příjmy'!G40</f>
        <v>0</v>
      </c>
      <c r="N39" s="26">
        <f>'Kapitálové příjmy'!D40+'Kapitálové příjmy'!H40</f>
        <v>0</v>
      </c>
      <c r="O39" s="27"/>
      <c r="P39" s="25">
        <f>'Transfery neinvestiční 2.5'!B41+'Transfery neinvestiční 2.5'!F41+'Transfery neinvestiční 2.5'!J41+'Transfery neinvestiční 2.5'!N41+'Transfery neinvestiční 2.5'!R41+'Transfery nein.2.5a'!B43+'Transfery nein.2.5a'!R43+'Transfery nein.2.5a'!V43+'Transfery investiční'!AE43+'Transfery investiční'!E41+'Transfery investiční'!I41+'Transfery investiční'!M41+'Transfery investiční'!U41+'Transfery nein.2.5a'!AE43</f>
        <v>2487</v>
      </c>
      <c r="Q39" s="26">
        <f>'Transfery neinvestiční 2.5'!C41+'Transfery neinvestiční 2.5'!G41+'Transfery neinvestiční 2.5'!K41+'Transfery neinvestiční 2.5'!O41+'Transfery neinvestiční 2.5'!S41+'Transfery nein.2.5a'!C43+'Transfery nein.2.5a'!S43+'Transfery nein.2.5a'!W43+'Transfery investiční'!AF43+'Transfery investiční'!F41+'Transfery investiční'!J41+'Transfery investiční'!N41+'Transfery investiční'!V41+'Transfery nein.2.5a'!AF43</f>
        <v>2678</v>
      </c>
      <c r="R39" s="324">
        <f>'Transfery neinvestiční 2.5'!D41+'Transfery neinvestiční 2.5'!H41+'Transfery neinvestiční 2.5'!L41+'Transfery neinvestiční 2.5'!P41+'Transfery neinvestiční 2.5'!T41+'Transfery nein.2.5a'!D43+'Transfery nein.2.5a'!T43+'Transfery nein.2.5a'!X43+'Transfery investiční'!AG43+'Transfery investiční'!G41+'Transfery investiční'!K41+'Transfery investiční'!O41+'Transfery investiční'!W41+'Transfery nein.2.5a'!AG43</f>
        <v>2678</v>
      </c>
      <c r="S39" s="27">
        <f t="shared" si="3"/>
        <v>100</v>
      </c>
    </row>
    <row r="40" spans="1:19" ht="15" customHeight="1" thickBot="1" x14ac:dyDescent="0.3">
      <c r="A40" s="44"/>
      <c r="B40" s="50"/>
      <c r="C40" s="51"/>
      <c r="D40" s="51"/>
      <c r="E40" s="231"/>
      <c r="F40" s="231"/>
      <c r="G40" s="35"/>
      <c r="H40" s="50"/>
      <c r="I40" s="51"/>
      <c r="J40" s="51"/>
      <c r="K40" s="35"/>
      <c r="L40" s="50"/>
      <c r="M40" s="51"/>
      <c r="N40" s="51"/>
      <c r="O40" s="35"/>
      <c r="P40" s="50"/>
      <c r="Q40" s="51"/>
      <c r="R40" s="51"/>
      <c r="S40" s="35"/>
    </row>
    <row r="41" spans="1:19" s="229" customFormat="1" ht="20.25" customHeight="1" thickBot="1" x14ac:dyDescent="0.3">
      <c r="A41" s="45" t="s">
        <v>198</v>
      </c>
      <c r="B41" s="36">
        <f>SUM(B11:B39)</f>
        <v>159888</v>
      </c>
      <c r="C41" s="42">
        <f>SUM(C11:C39)</f>
        <v>236515</v>
      </c>
      <c r="D41" s="42">
        <f>SUM(D11:D39)</f>
        <v>236240</v>
      </c>
      <c r="E41" s="74">
        <f>SUM(E11:E39)</f>
        <v>-244729332.74000001</v>
      </c>
      <c r="F41" s="74"/>
      <c r="G41" s="43">
        <f>SUM(D41/C41*100)</f>
        <v>99.883728304758677</v>
      </c>
      <c r="H41" s="36">
        <f>SUM(H11:H39)</f>
        <v>144105</v>
      </c>
      <c r="I41" s="42">
        <f>SUM(I11:I39)</f>
        <v>160088</v>
      </c>
      <c r="J41" s="42">
        <f>SUM(J11:J39)</f>
        <v>164287</v>
      </c>
      <c r="K41" s="43">
        <f>SUM(J41/I41*100)</f>
        <v>102.62293238718705</v>
      </c>
      <c r="L41" s="36">
        <f>SUM(L11:L39)</f>
        <v>5</v>
      </c>
      <c r="M41" s="42">
        <f>SUM(M11:M39)</f>
        <v>9590</v>
      </c>
      <c r="N41" s="42">
        <f>SUM(N11:N39)</f>
        <v>9607</v>
      </c>
      <c r="O41" s="43">
        <f>SUM(N41/M41*100)</f>
        <v>100.17726798748696</v>
      </c>
      <c r="P41" s="36">
        <f>SUM(P11:P39)</f>
        <v>1672353</v>
      </c>
      <c r="Q41" s="42">
        <f>SUM(Q11:Q39)</f>
        <v>2443665</v>
      </c>
      <c r="R41" s="42">
        <f>SUM(R11:R39)</f>
        <v>2397770</v>
      </c>
      <c r="S41" s="43">
        <f>SUM(R41/Q41*100)</f>
        <v>98.121878408046925</v>
      </c>
    </row>
    <row r="43" spans="1:19" x14ac:dyDescent="0.25">
      <c r="Q43" s="40"/>
    </row>
    <row r="45" spans="1:19" ht="15.95" customHeight="1" x14ac:dyDescent="0.25">
      <c r="A45" s="229">
        <v>2014</v>
      </c>
      <c r="B45" s="40">
        <v>159069</v>
      </c>
      <c r="C45" s="40">
        <v>310315</v>
      </c>
      <c r="D45" s="40">
        <v>311215</v>
      </c>
      <c r="E45" s="40"/>
      <c r="F45" s="40"/>
      <c r="G45" s="40"/>
      <c r="H45" s="40">
        <v>139882</v>
      </c>
      <c r="I45" s="40">
        <v>281629</v>
      </c>
      <c r="J45" s="40">
        <v>276543</v>
      </c>
      <c r="K45" s="40"/>
      <c r="L45" s="40">
        <v>10</v>
      </c>
      <c r="M45" s="40">
        <v>235</v>
      </c>
      <c r="N45" s="40">
        <v>291</v>
      </c>
      <c r="O45" s="40"/>
      <c r="P45" s="40">
        <v>1637043</v>
      </c>
      <c r="Q45" s="40">
        <v>2357762</v>
      </c>
      <c r="R45" s="40">
        <v>2338948</v>
      </c>
    </row>
    <row r="46" spans="1:19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9" ht="15.95" customHeight="1" x14ac:dyDescent="0.25">
      <c r="A47" s="229">
        <v>2013</v>
      </c>
      <c r="B47" s="40">
        <v>161405</v>
      </c>
      <c r="C47" s="40">
        <v>255411</v>
      </c>
      <c r="D47" s="40">
        <v>252506</v>
      </c>
      <c r="E47" s="40"/>
      <c r="F47" s="40"/>
      <c r="G47" s="40"/>
      <c r="H47" s="40">
        <v>151139</v>
      </c>
      <c r="I47" s="40">
        <v>376176</v>
      </c>
      <c r="J47" s="40">
        <v>372146</v>
      </c>
      <c r="K47" s="40"/>
      <c r="L47" s="40">
        <v>10</v>
      </c>
      <c r="M47" s="40">
        <v>400</v>
      </c>
      <c r="N47" s="40">
        <v>656</v>
      </c>
      <c r="O47" s="40"/>
      <c r="P47" s="40">
        <v>1649179</v>
      </c>
      <c r="Q47" s="40">
        <v>2117691</v>
      </c>
      <c r="R47" s="40">
        <v>2011054</v>
      </c>
    </row>
    <row r="49" spans="4:18" x14ac:dyDescent="0.25">
      <c r="D49" s="230">
        <f>(D47-D45)/D45*100</f>
        <v>-18.86445062095336</v>
      </c>
      <c r="J49" s="230">
        <f>(J47-J45)/J45*100</f>
        <v>34.570753915304309</v>
      </c>
      <c r="N49" s="230">
        <f>(N47-N45)/N45*100</f>
        <v>125.42955326460481</v>
      </c>
      <c r="R49" s="230">
        <f>(R47-R45)/R45*100</f>
        <v>-14.018866601566174</v>
      </c>
    </row>
    <row r="50" spans="4:18" ht="15.95" customHeight="1" x14ac:dyDescent="0.25"/>
    <row r="51" spans="4:18" ht="15.95" customHeight="1" x14ac:dyDescent="0.25">
      <c r="D51" s="40">
        <f>D47-D45</f>
        <v>-58709</v>
      </c>
      <c r="E51" s="230">
        <f t="shared" ref="E51:O51" si="7">-E47+E45</f>
        <v>0</v>
      </c>
      <c r="F51" s="230">
        <f t="shared" si="7"/>
        <v>0</v>
      </c>
      <c r="G51" s="230">
        <f t="shared" si="7"/>
        <v>0</v>
      </c>
      <c r="J51" s="40">
        <f>J47-J45</f>
        <v>95603</v>
      </c>
      <c r="K51" s="230">
        <f t="shared" si="7"/>
        <v>0</v>
      </c>
      <c r="N51" s="40">
        <f>N47-N45</f>
        <v>365</v>
      </c>
      <c r="O51" s="230">
        <f t="shared" si="7"/>
        <v>0</v>
      </c>
      <c r="R51" s="40">
        <f>R47-R45</f>
        <v>-327894</v>
      </c>
    </row>
    <row r="52" spans="4:18" ht="15.95" customHeight="1" x14ac:dyDescent="0.25"/>
    <row r="53" spans="4:18" ht="15.95" customHeight="1" x14ac:dyDescent="0.25"/>
    <row r="54" spans="4:18" ht="15.95" customHeight="1" x14ac:dyDescent="0.25"/>
    <row r="55" spans="4:18" ht="18" customHeight="1" x14ac:dyDescent="0.25">
      <c r="D55" s="230">
        <f>D47/D45*100</f>
        <v>81.135549379046651</v>
      </c>
    </row>
    <row r="56" spans="4:18" ht="18" customHeight="1" x14ac:dyDescent="0.25">
      <c r="D56" s="230">
        <f>D41/'Příjmy a Výdaje '!D41*100</f>
        <v>8.4133930504746601</v>
      </c>
      <c r="J56" s="230">
        <f>J41/'Příjmy a Výdaje '!D41*100</f>
        <v>5.8508766681481985</v>
      </c>
      <c r="N56" s="230">
        <f>N41/'Příjmy a Výdaje '!D41*100</f>
        <v>0.34214132676900638</v>
      </c>
      <c r="R56" s="230">
        <f>R41/'Příjmy a Výdaje '!D41*100</f>
        <v>85.393588954608134</v>
      </c>
    </row>
    <row r="57" spans="4:18" ht="13.9" customHeight="1" x14ac:dyDescent="0.25"/>
    <row r="58" spans="4:18" x14ac:dyDescent="0.25">
      <c r="J58" s="40">
        <f>J47-J45</f>
        <v>95603</v>
      </c>
    </row>
    <row r="59" spans="4:18" ht="18" customHeight="1" x14ac:dyDescent="0.25">
      <c r="J59" s="230">
        <f>-J58/J45*100</f>
        <v>-34.570753915304309</v>
      </c>
    </row>
    <row r="60" spans="4:18" ht="13.9" customHeight="1" x14ac:dyDescent="0.25"/>
    <row r="61" spans="4:18" ht="13.9" customHeight="1" x14ac:dyDescent="0.25">
      <c r="J61" s="230">
        <f>J47/J45*100</f>
        <v>134.57075391530429</v>
      </c>
    </row>
    <row r="62" spans="4:18" ht="13.9" customHeight="1" x14ac:dyDescent="0.25"/>
    <row r="63" spans="4:18" ht="13.9" customHeight="1" x14ac:dyDescent="0.25"/>
    <row r="64" spans="4:18" ht="13.9" customHeight="1" x14ac:dyDescent="0.25"/>
    <row r="65" spans="1:8" ht="13.9" customHeight="1" x14ac:dyDescent="0.25">
      <c r="A65" s="229" t="s">
        <v>208</v>
      </c>
      <c r="B65" s="40">
        <f>B41+H41+L41</f>
        <v>303998</v>
      </c>
      <c r="C65" s="40">
        <f t="shared" ref="C65:D65" si="8">C41+I41+M41</f>
        <v>406193</v>
      </c>
      <c r="D65" s="40">
        <f t="shared" si="8"/>
        <v>410134</v>
      </c>
      <c r="H65" s="230">
        <f>D65/'Příjmy a Výdaje '!D41*100</f>
        <v>14.606411045391866</v>
      </c>
    </row>
    <row r="66" spans="1:8" ht="13.9" customHeight="1" x14ac:dyDescent="0.25"/>
    <row r="67" spans="1:8" ht="13.9" customHeight="1" x14ac:dyDescent="0.25">
      <c r="A67" s="229" t="s">
        <v>209</v>
      </c>
      <c r="B67" s="40">
        <f>B45+H45+L45</f>
        <v>298961</v>
      </c>
      <c r="C67" s="40">
        <f t="shared" ref="C67:F67" si="9">C45+I45+M45</f>
        <v>592179</v>
      </c>
      <c r="D67" s="40">
        <f t="shared" si="9"/>
        <v>588049</v>
      </c>
      <c r="E67" s="40">
        <f t="shared" si="9"/>
        <v>0</v>
      </c>
      <c r="F67" s="40">
        <f t="shared" si="9"/>
        <v>1637053</v>
      </c>
      <c r="H67" s="40">
        <f>D67-D65</f>
        <v>177915</v>
      </c>
    </row>
    <row r="68" spans="1:8" ht="13.9" customHeight="1" x14ac:dyDescent="0.25"/>
    <row r="69" spans="1:8" ht="13.9" customHeight="1" x14ac:dyDescent="0.25">
      <c r="H69" s="230">
        <f>H67/D67*100</f>
        <v>30.255131800241138</v>
      </c>
    </row>
    <row r="70" spans="1:8" ht="13.9" customHeight="1" x14ac:dyDescent="0.25">
      <c r="H70" s="230">
        <f>D65/D67*100</f>
        <v>69.744868199758855</v>
      </c>
    </row>
    <row r="71" spans="1:8" ht="13.9" customHeight="1" x14ac:dyDescent="0.25"/>
    <row r="72" spans="1:8" ht="13.9" customHeight="1" x14ac:dyDescent="0.25"/>
    <row r="73" spans="1:8" ht="13.9" customHeight="1" x14ac:dyDescent="0.25"/>
    <row r="74" spans="1:8" ht="13.9" customHeight="1" x14ac:dyDescent="0.25"/>
    <row r="75" spans="1:8" ht="13.9" customHeight="1" x14ac:dyDescent="0.25"/>
    <row r="76" spans="1:8" ht="13.9" customHeight="1" x14ac:dyDescent="0.25"/>
    <row r="77" spans="1:8" ht="13.9" customHeight="1" x14ac:dyDescent="0.25"/>
    <row r="78" spans="1:8" ht="13.9" customHeight="1" x14ac:dyDescent="0.25"/>
    <row r="79" spans="1:8" ht="13.9" customHeight="1" x14ac:dyDescent="0.25"/>
    <row r="80" spans="1:8" ht="13.9" customHeight="1" x14ac:dyDescent="0.25"/>
    <row r="81" ht="13.9" customHeight="1" x14ac:dyDescent="0.25"/>
    <row r="82" ht="13.9" customHeight="1" x14ac:dyDescent="0.25"/>
    <row r="83" ht="13.9" customHeight="1" x14ac:dyDescent="0.25"/>
    <row r="84" ht="13.9" customHeight="1" x14ac:dyDescent="0.25"/>
    <row r="85" ht="13.9" customHeight="1" x14ac:dyDescent="0.25"/>
    <row r="86" ht="13.9" customHeight="1" x14ac:dyDescent="0.25"/>
    <row r="87" ht="13.9" customHeight="1" x14ac:dyDescent="0.25"/>
    <row r="88" ht="13.9" customHeight="1" x14ac:dyDescent="0.25"/>
    <row r="89" ht="13.9" customHeight="1" x14ac:dyDescent="0.25"/>
    <row r="90" ht="13.9" customHeight="1" x14ac:dyDescent="0.25"/>
    <row r="91" ht="13.9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</sheetData>
  <mergeCells count="19">
    <mergeCell ref="P8:P9"/>
    <mergeCell ref="Q8:Q9"/>
    <mergeCell ref="R8:R9"/>
    <mergeCell ref="A2:S2"/>
    <mergeCell ref="A4:S4"/>
    <mergeCell ref="B7:G7"/>
    <mergeCell ref="H7:K7"/>
    <mergeCell ref="L7:O7"/>
    <mergeCell ref="P7:S7"/>
    <mergeCell ref="A7:A9"/>
    <mergeCell ref="B8:B9"/>
    <mergeCell ref="C8:C9"/>
    <mergeCell ref="D8:D9"/>
    <mergeCell ref="H8:H9"/>
    <mergeCell ref="I8:I9"/>
    <mergeCell ref="J8:J9"/>
    <mergeCell ref="L8:L9"/>
    <mergeCell ref="M8:M9"/>
    <mergeCell ref="N8:N9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List3">
    <pageSetUpPr fitToPage="1"/>
  </sheetPr>
  <dimension ref="A1:Z103"/>
  <sheetViews>
    <sheetView showZeros="0" view="pageBreakPreview" zoomScaleNormal="7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5.75" x14ac:dyDescent="0.25"/>
  <cols>
    <col min="1" max="1" width="31.44140625" style="12" customWidth="1"/>
    <col min="2" max="4" width="11.88671875" style="13" customWidth="1"/>
    <col min="5" max="5" width="6.77734375" style="13" customWidth="1"/>
    <col min="6" max="8" width="11.6640625" style="13" hidden="1" customWidth="1"/>
    <col min="9" max="9" width="6.77734375" style="13" hidden="1" customWidth="1"/>
    <col min="10" max="12" width="11.88671875" style="13" customWidth="1"/>
    <col min="13" max="13" width="6.77734375" style="13" customWidth="1"/>
    <col min="14" max="16" width="11.88671875" style="13" customWidth="1"/>
    <col min="17" max="17" width="6.77734375" style="13" customWidth="1"/>
    <col min="18" max="18" width="9.33203125" style="13" customWidth="1"/>
    <col min="19" max="19" width="5.33203125" style="33" customWidth="1"/>
    <col min="20" max="20" width="11.33203125" style="13" bestFit="1" customWidth="1"/>
    <col min="21" max="22" width="9.77734375" style="13"/>
    <col min="23" max="23" width="1" style="13" customWidth="1"/>
    <col min="24" max="24" width="11.33203125" style="13" bestFit="1" customWidth="1"/>
    <col min="25" max="25" width="11.33203125" style="13" customWidth="1"/>
    <col min="26" max="26" width="9.77734375" style="13" customWidth="1"/>
    <col min="27" max="27" width="6.5546875" style="13" customWidth="1"/>
    <col min="28" max="31" width="7.77734375" style="13" customWidth="1"/>
    <col min="32" max="34" width="8.77734375" style="13" customWidth="1"/>
    <col min="35" max="38" width="7.77734375" style="13" customWidth="1"/>
    <col min="39" max="39" width="6.77734375" style="13" customWidth="1"/>
    <col min="40" max="42" width="8.77734375" style="13" customWidth="1"/>
    <col min="43" max="46" width="7.77734375" style="13" customWidth="1"/>
    <col min="47" max="47" width="6.77734375" style="13" customWidth="1"/>
    <col min="48" max="52" width="7.77734375" style="13" customWidth="1"/>
    <col min="53" max="53" width="5.77734375" style="13" customWidth="1"/>
    <col min="54" max="54" width="9.77734375" style="13"/>
    <col min="55" max="55" width="6.77734375" style="13" customWidth="1"/>
    <col min="56" max="58" width="9.77734375" style="13"/>
    <col min="59" max="59" width="4.77734375" style="13" customWidth="1"/>
    <col min="60" max="60" width="0" style="13" hidden="1" customWidth="1"/>
    <col min="61" max="16384" width="8.88671875" style="13"/>
  </cols>
  <sheetData>
    <row r="1" spans="1:26" s="12" customFormat="1" ht="17.25" customHeight="1" x14ac:dyDescent="0.25">
      <c r="S1" s="53"/>
    </row>
    <row r="2" spans="1:26" s="14" customFormat="1" ht="24" customHeight="1" x14ac:dyDescent="0.35">
      <c r="A2" s="335" t="s">
        <v>244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S2" s="54"/>
    </row>
    <row r="3" spans="1:26" s="14" customFormat="1" ht="15" customHeight="1" x14ac:dyDescent="0.35">
      <c r="S3" s="54"/>
    </row>
    <row r="4" spans="1:26" s="14" customFormat="1" ht="21" customHeight="1" x14ac:dyDescent="0.35">
      <c r="A4" s="335" t="s">
        <v>26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S4" s="54"/>
    </row>
    <row r="5" spans="1:26" s="12" customFormat="1" ht="22.5" customHeight="1" x14ac:dyDescent="0.25">
      <c r="Q5" s="10" t="s">
        <v>27</v>
      </c>
      <c r="S5" s="53"/>
    </row>
    <row r="6" spans="1:26" ht="22.5" customHeight="1" thickBot="1" x14ac:dyDescent="0.3">
      <c r="Q6" s="10" t="s">
        <v>1</v>
      </c>
    </row>
    <row r="7" spans="1:26" ht="22.5" customHeight="1" thickBot="1" x14ac:dyDescent="0.3">
      <c r="A7" s="336" t="s">
        <v>192</v>
      </c>
      <c r="B7" s="347" t="s">
        <v>28</v>
      </c>
      <c r="C7" s="348"/>
      <c r="D7" s="348"/>
      <c r="E7" s="349"/>
      <c r="F7" s="347" t="s">
        <v>29</v>
      </c>
      <c r="G7" s="348"/>
      <c r="H7" s="348"/>
      <c r="I7" s="349"/>
      <c r="J7" s="347" t="s">
        <v>30</v>
      </c>
      <c r="K7" s="348"/>
      <c r="L7" s="348"/>
      <c r="M7" s="349"/>
      <c r="N7" s="347" t="s">
        <v>31</v>
      </c>
      <c r="O7" s="348"/>
      <c r="P7" s="348"/>
      <c r="Q7" s="349"/>
    </row>
    <row r="8" spans="1:26" ht="18" customHeight="1" x14ac:dyDescent="0.25">
      <c r="A8" s="337"/>
      <c r="B8" s="350" t="s">
        <v>196</v>
      </c>
      <c r="C8" s="330" t="s">
        <v>197</v>
      </c>
      <c r="D8" s="330" t="s">
        <v>223</v>
      </c>
      <c r="E8" s="19" t="s">
        <v>0</v>
      </c>
      <c r="F8" s="350" t="s">
        <v>196</v>
      </c>
      <c r="G8" s="330" t="s">
        <v>197</v>
      </c>
      <c r="H8" s="330" t="s">
        <v>223</v>
      </c>
      <c r="I8" s="19" t="s">
        <v>0</v>
      </c>
      <c r="J8" s="350" t="s">
        <v>196</v>
      </c>
      <c r="K8" s="330" t="s">
        <v>197</v>
      </c>
      <c r="L8" s="330" t="s">
        <v>223</v>
      </c>
      <c r="M8" s="19" t="s">
        <v>0</v>
      </c>
      <c r="N8" s="350" t="s">
        <v>196</v>
      </c>
      <c r="O8" s="330" t="s">
        <v>197</v>
      </c>
      <c r="P8" s="330" t="s">
        <v>223</v>
      </c>
      <c r="Q8" s="19" t="s">
        <v>0</v>
      </c>
    </row>
    <row r="9" spans="1:26" ht="18" customHeight="1" thickBot="1" x14ac:dyDescent="0.3">
      <c r="A9" s="338"/>
      <c r="B9" s="333"/>
      <c r="C9" s="331"/>
      <c r="D9" s="331"/>
      <c r="E9" s="18" t="s">
        <v>11</v>
      </c>
      <c r="F9" s="333"/>
      <c r="G9" s="331"/>
      <c r="H9" s="331"/>
      <c r="I9" s="18" t="s">
        <v>11</v>
      </c>
      <c r="J9" s="333"/>
      <c r="K9" s="331"/>
      <c r="L9" s="331"/>
      <c r="M9" s="18" t="s">
        <v>11</v>
      </c>
      <c r="N9" s="333"/>
      <c r="O9" s="331"/>
      <c r="P9" s="331"/>
      <c r="Q9" s="18" t="s">
        <v>11</v>
      </c>
    </row>
    <row r="10" spans="1:26" ht="15.75" customHeight="1" x14ac:dyDescent="0.25">
      <c r="A10" s="44"/>
      <c r="B10" s="351" t="s">
        <v>36</v>
      </c>
      <c r="C10" s="352"/>
      <c r="D10" s="352"/>
      <c r="E10" s="353"/>
      <c r="F10" s="351" t="s">
        <v>37</v>
      </c>
      <c r="G10" s="352"/>
      <c r="H10" s="352"/>
      <c r="I10" s="353"/>
      <c r="J10" s="351" t="s">
        <v>38</v>
      </c>
      <c r="K10" s="352"/>
      <c r="L10" s="352"/>
      <c r="M10" s="353"/>
      <c r="N10" s="351" t="s">
        <v>39</v>
      </c>
      <c r="O10" s="352"/>
      <c r="P10" s="352"/>
      <c r="Q10" s="353"/>
    </row>
    <row r="11" spans="1:26" ht="17.100000000000001" customHeight="1" thickBot="1" x14ac:dyDescent="0.3">
      <c r="A11" s="44"/>
      <c r="B11" s="32"/>
      <c r="C11" s="33"/>
      <c r="D11" s="33"/>
      <c r="E11" s="34"/>
      <c r="F11" s="32"/>
      <c r="G11" s="33"/>
      <c r="H11" s="33"/>
      <c r="I11" s="34"/>
      <c r="J11" s="32"/>
      <c r="K11" s="33"/>
      <c r="L11" s="33"/>
      <c r="M11" s="34"/>
      <c r="N11" s="32"/>
      <c r="O11" s="33"/>
      <c r="P11" s="33"/>
      <c r="Q11" s="34"/>
      <c r="T11" s="52" t="s">
        <v>12</v>
      </c>
      <c r="U11" s="13" t="s">
        <v>13</v>
      </c>
      <c r="V11" s="13" t="s">
        <v>122</v>
      </c>
      <c r="X11" s="13" t="s">
        <v>12</v>
      </c>
      <c r="Y11" s="13" t="s">
        <v>13</v>
      </c>
      <c r="Z11" s="13" t="s">
        <v>122</v>
      </c>
    </row>
    <row r="12" spans="1:26" ht="15.75" customHeight="1" x14ac:dyDescent="0.25">
      <c r="A12" s="28" t="s">
        <v>155</v>
      </c>
      <c r="B12" s="29">
        <v>14000</v>
      </c>
      <c r="C12" s="30">
        <v>19771</v>
      </c>
      <c r="D12" s="30">
        <v>19771</v>
      </c>
      <c r="E12" s="31">
        <f t="shared" ref="E12:E40" si="0">SUM(D12/C12*100)</f>
        <v>100</v>
      </c>
      <c r="F12" s="29"/>
      <c r="G12" s="30"/>
      <c r="H12" s="30"/>
      <c r="I12" s="31"/>
      <c r="J12" s="29"/>
      <c r="K12" s="30"/>
      <c r="L12" s="30"/>
      <c r="M12" s="31"/>
      <c r="N12" s="29">
        <v>4000</v>
      </c>
      <c r="O12" s="30">
        <v>4000</v>
      </c>
      <c r="P12" s="30">
        <v>4128</v>
      </c>
      <c r="Q12" s="31">
        <f t="shared" ref="Q12:Q38" si="1">SUM(P12/O12*100)</f>
        <v>103.2</v>
      </c>
      <c r="S12" s="55">
        <f>P12-O12</f>
        <v>128</v>
      </c>
      <c r="T12" s="13">
        <v>2000</v>
      </c>
      <c r="U12" s="13">
        <v>1384</v>
      </c>
      <c r="V12" s="13">
        <v>1384</v>
      </c>
      <c r="X12" s="13">
        <f>B12-T12</f>
        <v>12000</v>
      </c>
      <c r="Y12" s="13">
        <f t="shared" ref="Y12:Z27" si="2">C12-U12</f>
        <v>18387</v>
      </c>
      <c r="Z12" s="13">
        <f t="shared" si="2"/>
        <v>18387</v>
      </c>
    </row>
    <row r="13" spans="1:26" ht="17.100000000000001" customHeight="1" x14ac:dyDescent="0.25">
      <c r="A13" s="20" t="s">
        <v>156</v>
      </c>
      <c r="B13" s="21">
        <v>850</v>
      </c>
      <c r="C13" s="22">
        <v>1325</v>
      </c>
      <c r="D13" s="22">
        <v>1325</v>
      </c>
      <c r="E13" s="23">
        <f t="shared" si="0"/>
        <v>100</v>
      </c>
      <c r="F13" s="21"/>
      <c r="G13" s="22"/>
      <c r="H13" s="22"/>
      <c r="I13" s="23"/>
      <c r="J13" s="21"/>
      <c r="K13" s="22"/>
      <c r="L13" s="22"/>
      <c r="M13" s="23"/>
      <c r="N13" s="21">
        <v>450</v>
      </c>
      <c r="O13" s="22">
        <v>550</v>
      </c>
      <c r="P13" s="22">
        <v>572</v>
      </c>
      <c r="Q13" s="23">
        <f t="shared" si="1"/>
        <v>104</v>
      </c>
      <c r="S13" s="55">
        <f t="shared" ref="S13:S40" si="3">P13-O13</f>
        <v>22</v>
      </c>
      <c r="T13" s="13">
        <v>1000</v>
      </c>
      <c r="U13" s="13">
        <v>1075</v>
      </c>
      <c r="V13" s="13">
        <v>1075</v>
      </c>
      <c r="X13" s="13">
        <f t="shared" ref="X13:Z41" si="4">B13-T13</f>
        <v>-150</v>
      </c>
      <c r="Y13" s="13">
        <f t="shared" si="2"/>
        <v>250</v>
      </c>
      <c r="Z13" s="13">
        <f t="shared" si="2"/>
        <v>250</v>
      </c>
    </row>
    <row r="14" spans="1:26" ht="17.100000000000001" customHeight="1" x14ac:dyDescent="0.25">
      <c r="A14" s="20" t="s">
        <v>157</v>
      </c>
      <c r="B14" s="21">
        <v>6000</v>
      </c>
      <c r="C14" s="22">
        <v>5346</v>
      </c>
      <c r="D14" s="22">
        <v>5346</v>
      </c>
      <c r="E14" s="23">
        <f t="shared" si="0"/>
        <v>100</v>
      </c>
      <c r="F14" s="21"/>
      <c r="G14" s="22"/>
      <c r="H14" s="22"/>
      <c r="I14" s="23"/>
      <c r="J14" s="21"/>
      <c r="K14" s="22"/>
      <c r="L14" s="22"/>
      <c r="M14" s="23"/>
      <c r="N14" s="21">
        <v>250</v>
      </c>
      <c r="O14" s="22">
        <v>400</v>
      </c>
      <c r="P14" s="22">
        <v>412</v>
      </c>
      <c r="Q14" s="23">
        <f t="shared" si="1"/>
        <v>103</v>
      </c>
      <c r="S14" s="55">
        <f t="shared" si="3"/>
        <v>12</v>
      </c>
      <c r="T14" s="13">
        <v>1000</v>
      </c>
      <c r="U14" s="13">
        <v>561</v>
      </c>
      <c r="V14" s="13">
        <v>561</v>
      </c>
      <c r="X14" s="13">
        <f t="shared" si="4"/>
        <v>5000</v>
      </c>
      <c r="Y14" s="13">
        <f t="shared" si="2"/>
        <v>4785</v>
      </c>
      <c r="Z14" s="13">
        <f t="shared" si="2"/>
        <v>4785</v>
      </c>
    </row>
    <row r="15" spans="1:26" ht="17.100000000000001" customHeight="1" x14ac:dyDescent="0.25">
      <c r="A15" s="20" t="s">
        <v>158</v>
      </c>
      <c r="B15" s="21"/>
      <c r="C15" s="22">
        <v>3310</v>
      </c>
      <c r="D15" s="22">
        <v>3310</v>
      </c>
      <c r="E15" s="23">
        <f t="shared" si="0"/>
        <v>100</v>
      </c>
      <c r="F15" s="21"/>
      <c r="G15" s="22"/>
      <c r="H15" s="22"/>
      <c r="I15" s="23"/>
      <c r="J15" s="21"/>
      <c r="K15" s="22"/>
      <c r="L15" s="22"/>
      <c r="M15" s="23"/>
      <c r="N15" s="21">
        <v>120</v>
      </c>
      <c r="O15" s="22">
        <v>170</v>
      </c>
      <c r="P15" s="22">
        <v>182</v>
      </c>
      <c r="Q15" s="23">
        <f t="shared" si="1"/>
        <v>107.05882352941177</v>
      </c>
      <c r="S15" s="55">
        <f t="shared" si="3"/>
        <v>12</v>
      </c>
      <c r="U15" s="13">
        <v>842</v>
      </c>
      <c r="V15" s="13">
        <v>842</v>
      </c>
      <c r="X15" s="13">
        <f t="shared" si="4"/>
        <v>0</v>
      </c>
      <c r="Y15" s="13">
        <f t="shared" si="2"/>
        <v>2468</v>
      </c>
      <c r="Z15" s="13">
        <f t="shared" si="2"/>
        <v>2468</v>
      </c>
    </row>
    <row r="16" spans="1:26" ht="17.100000000000001" customHeight="1" x14ac:dyDescent="0.25">
      <c r="A16" s="20" t="s">
        <v>159</v>
      </c>
      <c r="B16" s="21"/>
      <c r="C16" s="22">
        <v>6614</v>
      </c>
      <c r="D16" s="22">
        <v>6614</v>
      </c>
      <c r="E16" s="23">
        <f t="shared" si="0"/>
        <v>100</v>
      </c>
      <c r="F16" s="21"/>
      <c r="G16" s="22"/>
      <c r="H16" s="22"/>
      <c r="I16" s="23"/>
      <c r="J16" s="21"/>
      <c r="K16" s="22"/>
      <c r="L16" s="22"/>
      <c r="M16" s="23"/>
      <c r="N16" s="21">
        <v>220</v>
      </c>
      <c r="O16" s="22">
        <v>220</v>
      </c>
      <c r="P16" s="22">
        <v>317</v>
      </c>
      <c r="Q16" s="23">
        <f t="shared" si="1"/>
        <v>144.09090909090909</v>
      </c>
      <c r="S16" s="55">
        <f t="shared" si="3"/>
        <v>97</v>
      </c>
      <c r="U16" s="13">
        <v>802</v>
      </c>
      <c r="V16" s="13">
        <v>802</v>
      </c>
      <c r="X16" s="13">
        <f t="shared" si="4"/>
        <v>0</v>
      </c>
      <c r="Y16" s="13">
        <f t="shared" si="2"/>
        <v>5812</v>
      </c>
      <c r="Z16" s="13">
        <f t="shared" si="2"/>
        <v>5812</v>
      </c>
    </row>
    <row r="17" spans="1:26" ht="17.100000000000001" customHeight="1" x14ac:dyDescent="0.25">
      <c r="A17" s="20" t="s">
        <v>160</v>
      </c>
      <c r="B17" s="21">
        <v>628</v>
      </c>
      <c r="C17" s="22">
        <v>687</v>
      </c>
      <c r="D17" s="22">
        <v>687</v>
      </c>
      <c r="E17" s="23">
        <f t="shared" si="0"/>
        <v>100</v>
      </c>
      <c r="F17" s="21"/>
      <c r="G17" s="22"/>
      <c r="H17" s="22"/>
      <c r="I17" s="23"/>
      <c r="J17" s="21"/>
      <c r="K17" s="22"/>
      <c r="L17" s="22"/>
      <c r="M17" s="23"/>
      <c r="N17" s="21">
        <v>70</v>
      </c>
      <c r="O17" s="22">
        <v>172</v>
      </c>
      <c r="P17" s="22">
        <v>185</v>
      </c>
      <c r="Q17" s="23">
        <f t="shared" si="1"/>
        <v>107.55813953488371</v>
      </c>
      <c r="S17" s="55">
        <f t="shared" si="3"/>
        <v>13</v>
      </c>
      <c r="T17" s="13">
        <v>700</v>
      </c>
      <c r="U17" s="13">
        <v>623</v>
      </c>
      <c r="V17" s="13">
        <v>623</v>
      </c>
      <c r="X17" s="13">
        <f t="shared" si="4"/>
        <v>-72</v>
      </c>
      <c r="Y17" s="13">
        <f t="shared" si="2"/>
        <v>64</v>
      </c>
      <c r="Z17" s="13">
        <f t="shared" si="2"/>
        <v>64</v>
      </c>
    </row>
    <row r="18" spans="1:26" ht="17.100000000000001" customHeight="1" x14ac:dyDescent="0.25">
      <c r="A18" s="20" t="s">
        <v>161</v>
      </c>
      <c r="B18" s="21">
        <v>9700</v>
      </c>
      <c r="C18" s="22">
        <v>10307</v>
      </c>
      <c r="D18" s="22">
        <v>10307</v>
      </c>
      <c r="E18" s="23">
        <f t="shared" si="0"/>
        <v>100</v>
      </c>
      <c r="F18" s="21"/>
      <c r="G18" s="22"/>
      <c r="H18" s="22"/>
      <c r="I18" s="23"/>
      <c r="J18" s="21"/>
      <c r="K18" s="22"/>
      <c r="L18" s="22"/>
      <c r="M18" s="23"/>
      <c r="N18" s="21">
        <v>400</v>
      </c>
      <c r="O18" s="22">
        <v>500</v>
      </c>
      <c r="P18" s="22">
        <v>615</v>
      </c>
      <c r="Q18" s="23">
        <f t="shared" si="1"/>
        <v>123</v>
      </c>
      <c r="S18" s="55">
        <f t="shared" si="3"/>
        <v>115</v>
      </c>
      <c r="T18" s="13">
        <v>80</v>
      </c>
      <c r="U18" s="13">
        <v>204</v>
      </c>
      <c r="V18" s="13">
        <f>204-1</f>
        <v>203</v>
      </c>
      <c r="X18" s="13">
        <f t="shared" si="4"/>
        <v>9620</v>
      </c>
      <c r="Y18" s="13">
        <f t="shared" si="2"/>
        <v>10103</v>
      </c>
      <c r="Z18" s="13">
        <f t="shared" si="2"/>
        <v>10104</v>
      </c>
    </row>
    <row r="19" spans="1:26" ht="17.100000000000001" customHeight="1" x14ac:dyDescent="0.25">
      <c r="A19" s="20" t="s">
        <v>162</v>
      </c>
      <c r="B19" s="21"/>
      <c r="C19" s="22">
        <v>10493</v>
      </c>
      <c r="D19" s="22">
        <v>10493</v>
      </c>
      <c r="E19" s="23">
        <f t="shared" si="0"/>
        <v>100</v>
      </c>
      <c r="F19" s="21"/>
      <c r="G19" s="22"/>
      <c r="H19" s="22">
        <f>1-1</f>
        <v>0</v>
      </c>
      <c r="I19" s="23"/>
      <c r="J19" s="21"/>
      <c r="K19" s="22"/>
      <c r="L19" s="22"/>
      <c r="M19" s="23"/>
      <c r="N19" s="21">
        <v>450</v>
      </c>
      <c r="O19" s="22">
        <v>550</v>
      </c>
      <c r="P19" s="22">
        <v>692</v>
      </c>
      <c r="Q19" s="23">
        <f t="shared" si="1"/>
        <v>125.81818181818183</v>
      </c>
      <c r="S19" s="55">
        <f t="shared" si="3"/>
        <v>142</v>
      </c>
      <c r="U19" s="13">
        <v>379</v>
      </c>
      <c r="V19" s="13">
        <v>379</v>
      </c>
      <c r="X19" s="13">
        <f t="shared" si="4"/>
        <v>0</v>
      </c>
      <c r="Y19" s="13">
        <f t="shared" si="2"/>
        <v>10114</v>
      </c>
      <c r="Z19" s="13">
        <f t="shared" si="2"/>
        <v>10114</v>
      </c>
    </row>
    <row r="20" spans="1:26" ht="17.100000000000001" customHeight="1" x14ac:dyDescent="0.25">
      <c r="A20" s="20" t="s">
        <v>163</v>
      </c>
      <c r="B20" s="21">
        <v>65</v>
      </c>
      <c r="C20" s="22">
        <v>43</v>
      </c>
      <c r="D20" s="22">
        <v>43</v>
      </c>
      <c r="E20" s="23">
        <f t="shared" si="0"/>
        <v>100</v>
      </c>
      <c r="F20" s="21"/>
      <c r="G20" s="22"/>
      <c r="H20" s="22"/>
      <c r="I20" s="23"/>
      <c r="J20" s="21"/>
      <c r="K20" s="22"/>
      <c r="L20" s="22"/>
      <c r="M20" s="23"/>
      <c r="N20" s="21">
        <v>168</v>
      </c>
      <c r="O20" s="22">
        <v>275</v>
      </c>
      <c r="P20" s="22">
        <v>275</v>
      </c>
      <c r="Q20" s="23">
        <f t="shared" si="1"/>
        <v>100</v>
      </c>
      <c r="S20" s="55">
        <f t="shared" si="3"/>
        <v>0</v>
      </c>
      <c r="U20" s="13">
        <v>45</v>
      </c>
      <c r="V20" s="13">
        <f>46</f>
        <v>46</v>
      </c>
      <c r="X20" s="13">
        <f t="shared" si="4"/>
        <v>65</v>
      </c>
      <c r="Y20" s="13">
        <f t="shared" si="2"/>
        <v>-2</v>
      </c>
      <c r="Z20" s="13">
        <f t="shared" si="2"/>
        <v>-3</v>
      </c>
    </row>
    <row r="21" spans="1:26" ht="17.100000000000001" customHeight="1" x14ac:dyDescent="0.25">
      <c r="A21" s="20" t="s">
        <v>164</v>
      </c>
      <c r="B21" s="21">
        <v>600</v>
      </c>
      <c r="C21" s="22">
        <v>848</v>
      </c>
      <c r="D21" s="22">
        <v>848</v>
      </c>
      <c r="E21" s="23">
        <f t="shared" si="0"/>
        <v>100</v>
      </c>
      <c r="F21" s="21"/>
      <c r="G21" s="22"/>
      <c r="H21" s="22"/>
      <c r="I21" s="23"/>
      <c r="J21" s="21"/>
      <c r="K21" s="22"/>
      <c r="L21" s="22"/>
      <c r="M21" s="23"/>
      <c r="N21" s="21">
        <v>256</v>
      </c>
      <c r="O21" s="22">
        <v>256</v>
      </c>
      <c r="P21" s="22">
        <v>251</v>
      </c>
      <c r="Q21" s="23">
        <f t="shared" si="1"/>
        <v>98.046875</v>
      </c>
      <c r="S21" s="55">
        <f t="shared" si="3"/>
        <v>-5</v>
      </c>
      <c r="T21" s="13">
        <v>400</v>
      </c>
      <c r="U21" s="13">
        <v>411</v>
      </c>
      <c r="V21" s="13">
        <v>411</v>
      </c>
      <c r="X21" s="13">
        <f t="shared" si="4"/>
        <v>200</v>
      </c>
      <c r="Y21" s="13">
        <f t="shared" si="2"/>
        <v>437</v>
      </c>
      <c r="Z21" s="13">
        <f t="shared" si="2"/>
        <v>437</v>
      </c>
    </row>
    <row r="22" spans="1:26" ht="17.100000000000001" customHeight="1" x14ac:dyDescent="0.25">
      <c r="A22" s="20" t="s">
        <v>165</v>
      </c>
      <c r="B22" s="21">
        <v>1590</v>
      </c>
      <c r="C22" s="22">
        <v>1672</v>
      </c>
      <c r="D22" s="22">
        <v>1672</v>
      </c>
      <c r="E22" s="23">
        <f t="shared" si="0"/>
        <v>100</v>
      </c>
      <c r="F22" s="21"/>
      <c r="G22" s="22"/>
      <c r="H22" s="22"/>
      <c r="I22" s="23"/>
      <c r="J22" s="21"/>
      <c r="K22" s="22"/>
      <c r="L22" s="22"/>
      <c r="M22" s="23"/>
      <c r="N22" s="21">
        <v>200</v>
      </c>
      <c r="O22" s="22">
        <v>400</v>
      </c>
      <c r="P22" s="22">
        <v>416</v>
      </c>
      <c r="Q22" s="23">
        <f t="shared" si="1"/>
        <v>104</v>
      </c>
      <c r="S22" s="55">
        <f t="shared" si="3"/>
        <v>16</v>
      </c>
      <c r="T22" s="13">
        <v>300</v>
      </c>
      <c r="U22" s="13">
        <v>368</v>
      </c>
      <c r="V22" s="13">
        <f>368-1</f>
        <v>367</v>
      </c>
      <c r="X22" s="13">
        <f t="shared" si="4"/>
        <v>1290</v>
      </c>
      <c r="Y22" s="13">
        <f t="shared" si="2"/>
        <v>1304</v>
      </c>
      <c r="Z22" s="13">
        <f t="shared" si="2"/>
        <v>1305</v>
      </c>
    </row>
    <row r="23" spans="1:26" ht="17.100000000000001" customHeight="1" x14ac:dyDescent="0.25">
      <c r="A23" s="20" t="s">
        <v>166</v>
      </c>
      <c r="B23" s="21"/>
      <c r="C23" s="22">
        <v>135</v>
      </c>
      <c r="D23" s="22">
        <v>135</v>
      </c>
      <c r="E23" s="23">
        <f t="shared" si="0"/>
        <v>100</v>
      </c>
      <c r="F23" s="21"/>
      <c r="G23" s="22"/>
      <c r="H23" s="22"/>
      <c r="I23" s="23"/>
      <c r="J23" s="21"/>
      <c r="K23" s="22"/>
      <c r="L23" s="22"/>
      <c r="M23" s="23"/>
      <c r="N23" s="21">
        <v>80</v>
      </c>
      <c r="O23" s="22">
        <v>262</v>
      </c>
      <c r="P23" s="22">
        <v>272</v>
      </c>
      <c r="Q23" s="23">
        <f t="shared" si="1"/>
        <v>103.81679389312977</v>
      </c>
      <c r="S23" s="55">
        <f t="shared" si="3"/>
        <v>10</v>
      </c>
      <c r="U23" s="13">
        <v>204</v>
      </c>
      <c r="V23" s="13">
        <v>204</v>
      </c>
      <c r="X23" s="13">
        <f t="shared" si="4"/>
        <v>0</v>
      </c>
      <c r="Y23" s="13">
        <f t="shared" si="2"/>
        <v>-69</v>
      </c>
      <c r="Z23" s="13">
        <f t="shared" si="2"/>
        <v>-69</v>
      </c>
    </row>
    <row r="24" spans="1:26" ht="17.100000000000001" customHeight="1" x14ac:dyDescent="0.25">
      <c r="A24" s="20" t="s">
        <v>167</v>
      </c>
      <c r="B24" s="21"/>
      <c r="C24" s="22">
        <v>16326</v>
      </c>
      <c r="D24" s="22">
        <v>16326</v>
      </c>
      <c r="E24" s="23">
        <f t="shared" si="0"/>
        <v>100</v>
      </c>
      <c r="F24" s="21"/>
      <c r="G24" s="22"/>
      <c r="H24" s="22"/>
      <c r="I24" s="23"/>
      <c r="J24" s="21">
        <v>40</v>
      </c>
      <c r="K24" s="22">
        <v>55</v>
      </c>
      <c r="L24" s="22">
        <v>63</v>
      </c>
      <c r="M24" s="23">
        <f t="shared" ref="M24:M26" si="5">SUM(L24/K24*100)</f>
        <v>114.54545454545455</v>
      </c>
      <c r="N24" s="21">
        <v>588</v>
      </c>
      <c r="O24" s="22">
        <v>1390</v>
      </c>
      <c r="P24" s="22">
        <v>1551</v>
      </c>
      <c r="Q24" s="23">
        <f t="shared" si="1"/>
        <v>111.58273381294963</v>
      </c>
      <c r="S24" s="55">
        <f t="shared" si="3"/>
        <v>161</v>
      </c>
      <c r="U24" s="13">
        <v>790</v>
      </c>
      <c r="V24" s="13">
        <f>791-1</f>
        <v>790</v>
      </c>
      <c r="X24" s="13">
        <f t="shared" si="4"/>
        <v>0</v>
      </c>
      <c r="Y24" s="13">
        <f t="shared" si="2"/>
        <v>15536</v>
      </c>
      <c r="Z24" s="13">
        <f t="shared" si="2"/>
        <v>15536</v>
      </c>
    </row>
    <row r="25" spans="1:26" ht="17.100000000000001" customHeight="1" x14ac:dyDescent="0.25">
      <c r="A25" s="20" t="s">
        <v>168</v>
      </c>
      <c r="B25" s="21">
        <v>340</v>
      </c>
      <c r="C25" s="22">
        <v>447</v>
      </c>
      <c r="D25" s="22">
        <v>447</v>
      </c>
      <c r="E25" s="23">
        <f t="shared" si="0"/>
        <v>100</v>
      </c>
      <c r="F25" s="21"/>
      <c r="G25" s="22"/>
      <c r="H25" s="22"/>
      <c r="I25" s="23"/>
      <c r="J25" s="21"/>
      <c r="K25" s="22"/>
      <c r="L25" s="22"/>
      <c r="M25" s="23"/>
      <c r="N25" s="21">
        <v>250</v>
      </c>
      <c r="O25" s="22">
        <v>250</v>
      </c>
      <c r="P25" s="22">
        <v>503</v>
      </c>
      <c r="Q25" s="23">
        <f t="shared" si="1"/>
        <v>201.2</v>
      </c>
      <c r="S25" s="55">
        <f t="shared" si="3"/>
        <v>253</v>
      </c>
      <c r="T25" s="13">
        <v>123</v>
      </c>
      <c r="U25" s="13">
        <v>132</v>
      </c>
      <c r="V25" s="13">
        <v>132</v>
      </c>
      <c r="X25" s="13">
        <f t="shared" si="4"/>
        <v>217</v>
      </c>
      <c r="Y25" s="13">
        <f t="shared" si="2"/>
        <v>315</v>
      </c>
      <c r="Z25" s="13">
        <f t="shared" si="2"/>
        <v>315</v>
      </c>
    </row>
    <row r="26" spans="1:26" ht="17.100000000000001" customHeight="1" x14ac:dyDescent="0.25">
      <c r="A26" s="20" t="s">
        <v>169</v>
      </c>
      <c r="B26" s="21">
        <v>15683</v>
      </c>
      <c r="C26" s="22">
        <v>15560</v>
      </c>
      <c r="D26" s="22">
        <v>15560</v>
      </c>
      <c r="E26" s="23">
        <f t="shared" si="0"/>
        <v>100</v>
      </c>
      <c r="F26" s="21"/>
      <c r="G26" s="22"/>
      <c r="H26" s="22"/>
      <c r="I26" s="23"/>
      <c r="J26" s="21">
        <v>20</v>
      </c>
      <c r="K26" s="22">
        <v>23</v>
      </c>
      <c r="L26" s="22">
        <v>22</v>
      </c>
      <c r="M26" s="23">
        <f t="shared" si="5"/>
        <v>95.652173913043484</v>
      </c>
      <c r="N26" s="21">
        <v>600</v>
      </c>
      <c r="O26" s="22">
        <v>1100</v>
      </c>
      <c r="P26" s="22">
        <v>1202</v>
      </c>
      <c r="Q26" s="23">
        <f t="shared" si="1"/>
        <v>109.27272727272728</v>
      </c>
      <c r="S26" s="55">
        <f t="shared" si="3"/>
        <v>102</v>
      </c>
      <c r="T26" s="13">
        <v>720</v>
      </c>
      <c r="U26" s="13">
        <v>846</v>
      </c>
      <c r="V26" s="13">
        <v>846</v>
      </c>
      <c r="X26" s="13">
        <f t="shared" si="4"/>
        <v>14963</v>
      </c>
      <c r="Y26" s="13">
        <f t="shared" si="2"/>
        <v>14714</v>
      </c>
      <c r="Z26" s="13">
        <f t="shared" si="2"/>
        <v>14714</v>
      </c>
    </row>
    <row r="27" spans="1:26" ht="17.100000000000001" customHeight="1" x14ac:dyDescent="0.25">
      <c r="A27" s="20" t="s">
        <v>170</v>
      </c>
      <c r="B27" s="21"/>
      <c r="C27" s="22">
        <v>3587</v>
      </c>
      <c r="D27" s="22">
        <v>3587</v>
      </c>
      <c r="E27" s="23">
        <f t="shared" si="0"/>
        <v>100</v>
      </c>
      <c r="F27" s="21"/>
      <c r="G27" s="22"/>
      <c r="H27" s="22"/>
      <c r="I27" s="23"/>
      <c r="J27" s="21"/>
      <c r="K27" s="22"/>
      <c r="L27" s="22"/>
      <c r="M27" s="23"/>
      <c r="N27" s="21">
        <v>490</v>
      </c>
      <c r="O27" s="22">
        <v>602</v>
      </c>
      <c r="P27" s="22">
        <v>625</v>
      </c>
      <c r="Q27" s="23">
        <f t="shared" si="1"/>
        <v>103.82059800664452</v>
      </c>
      <c r="S27" s="55">
        <f t="shared" si="3"/>
        <v>23</v>
      </c>
      <c r="U27" s="13">
        <v>1305</v>
      </c>
      <c r="V27" s="13">
        <v>1305</v>
      </c>
      <c r="X27" s="13">
        <f t="shared" si="4"/>
        <v>0</v>
      </c>
      <c r="Y27" s="13">
        <f t="shared" si="2"/>
        <v>2282</v>
      </c>
      <c r="Z27" s="13">
        <f t="shared" si="2"/>
        <v>2282</v>
      </c>
    </row>
    <row r="28" spans="1:26" ht="17.100000000000001" customHeight="1" x14ac:dyDescent="0.25">
      <c r="A28" s="20" t="s">
        <v>171</v>
      </c>
      <c r="B28" s="21"/>
      <c r="C28" s="22">
        <v>6640</v>
      </c>
      <c r="D28" s="22">
        <v>6640</v>
      </c>
      <c r="E28" s="23">
        <f t="shared" si="0"/>
        <v>100</v>
      </c>
      <c r="F28" s="21"/>
      <c r="G28" s="22"/>
      <c r="H28" s="22"/>
      <c r="I28" s="23"/>
      <c r="J28" s="21"/>
      <c r="K28" s="22"/>
      <c r="L28" s="22"/>
      <c r="M28" s="23"/>
      <c r="N28" s="21">
        <v>600</v>
      </c>
      <c r="O28" s="22">
        <v>793</v>
      </c>
      <c r="P28" s="22">
        <v>1096</v>
      </c>
      <c r="Q28" s="23">
        <f t="shared" si="1"/>
        <v>138.20933165195459</v>
      </c>
      <c r="S28" s="55">
        <f t="shared" si="3"/>
        <v>303</v>
      </c>
      <c r="U28" s="13">
        <v>1786</v>
      </c>
      <c r="V28" s="13">
        <v>1786</v>
      </c>
      <c r="X28" s="13">
        <f t="shared" si="4"/>
        <v>0</v>
      </c>
      <c r="Y28" s="13">
        <f t="shared" si="4"/>
        <v>4854</v>
      </c>
      <c r="Z28" s="13">
        <f t="shared" si="4"/>
        <v>4854</v>
      </c>
    </row>
    <row r="29" spans="1:26" ht="17.100000000000001" customHeight="1" x14ac:dyDescent="0.25">
      <c r="A29" s="20" t="s">
        <v>172</v>
      </c>
      <c r="B29" s="21"/>
      <c r="C29" s="22">
        <v>5469</v>
      </c>
      <c r="D29" s="22">
        <v>5469</v>
      </c>
      <c r="E29" s="23">
        <f t="shared" si="0"/>
        <v>100</v>
      </c>
      <c r="F29" s="21"/>
      <c r="G29" s="22"/>
      <c r="H29" s="22"/>
      <c r="I29" s="23"/>
      <c r="J29" s="21"/>
      <c r="K29" s="22"/>
      <c r="L29" s="22"/>
      <c r="M29" s="23"/>
      <c r="N29" s="21">
        <v>250</v>
      </c>
      <c r="O29" s="22">
        <v>295</v>
      </c>
      <c r="P29" s="22">
        <v>322</v>
      </c>
      <c r="Q29" s="23">
        <f t="shared" si="1"/>
        <v>109.15254237288134</v>
      </c>
      <c r="S29" s="55">
        <f t="shared" si="3"/>
        <v>27</v>
      </c>
      <c r="U29" s="13">
        <v>1104</v>
      </c>
      <c r="V29" s="13">
        <v>1104</v>
      </c>
      <c r="X29" s="13">
        <f t="shared" si="4"/>
        <v>0</v>
      </c>
      <c r="Y29" s="13">
        <f t="shared" si="4"/>
        <v>4365</v>
      </c>
      <c r="Z29" s="13">
        <f t="shared" si="4"/>
        <v>4365</v>
      </c>
    </row>
    <row r="30" spans="1:26" ht="17.100000000000001" customHeight="1" x14ac:dyDescent="0.25">
      <c r="A30" s="20" t="s">
        <v>173</v>
      </c>
      <c r="B30" s="21">
        <v>12385</v>
      </c>
      <c r="C30" s="22">
        <v>17655</v>
      </c>
      <c r="D30" s="22">
        <v>17655</v>
      </c>
      <c r="E30" s="23">
        <f t="shared" si="0"/>
        <v>100</v>
      </c>
      <c r="F30" s="21"/>
      <c r="G30" s="22"/>
      <c r="H30" s="22"/>
      <c r="I30" s="23"/>
      <c r="J30" s="21"/>
      <c r="K30" s="22"/>
      <c r="L30" s="22"/>
      <c r="M30" s="23"/>
      <c r="N30" s="21">
        <v>640</v>
      </c>
      <c r="O30" s="22">
        <v>717</v>
      </c>
      <c r="P30" s="22">
        <v>760</v>
      </c>
      <c r="Q30" s="23">
        <f t="shared" si="1"/>
        <v>105.99721059972107</v>
      </c>
      <c r="S30" s="55">
        <f t="shared" si="3"/>
        <v>43</v>
      </c>
      <c r="T30" s="13">
        <v>1300</v>
      </c>
      <c r="U30" s="13">
        <v>1383</v>
      </c>
      <c r="V30" s="13">
        <v>1383</v>
      </c>
      <c r="X30" s="13">
        <f t="shared" si="4"/>
        <v>11085</v>
      </c>
      <c r="Y30" s="13">
        <f t="shared" si="4"/>
        <v>16272</v>
      </c>
      <c r="Z30" s="13">
        <f t="shared" si="4"/>
        <v>16272</v>
      </c>
    </row>
    <row r="31" spans="1:26" ht="17.100000000000001" customHeight="1" x14ac:dyDescent="0.25">
      <c r="A31" s="20" t="s">
        <v>174</v>
      </c>
      <c r="B31" s="21">
        <v>3395</v>
      </c>
      <c r="C31" s="22">
        <v>3653</v>
      </c>
      <c r="D31" s="22">
        <v>3653</v>
      </c>
      <c r="E31" s="23">
        <f t="shared" si="0"/>
        <v>100</v>
      </c>
      <c r="F31" s="21"/>
      <c r="G31" s="22"/>
      <c r="H31" s="22"/>
      <c r="I31" s="23"/>
      <c r="J31" s="21"/>
      <c r="K31" s="22"/>
      <c r="L31" s="22"/>
      <c r="M31" s="23"/>
      <c r="N31" s="21">
        <v>893</v>
      </c>
      <c r="O31" s="22">
        <v>893</v>
      </c>
      <c r="P31" s="22">
        <v>826</v>
      </c>
      <c r="Q31" s="23">
        <f t="shared" si="1"/>
        <v>92.497200447928336</v>
      </c>
      <c r="S31" s="55">
        <f t="shared" si="3"/>
        <v>-67</v>
      </c>
      <c r="T31" s="13">
        <v>534</v>
      </c>
      <c r="U31" s="13">
        <v>466</v>
      </c>
      <c r="V31" s="13">
        <v>466</v>
      </c>
      <c r="X31" s="13">
        <f t="shared" si="4"/>
        <v>2861</v>
      </c>
      <c r="Y31" s="13">
        <f t="shared" si="4"/>
        <v>3187</v>
      </c>
      <c r="Z31" s="13">
        <f t="shared" si="4"/>
        <v>3187</v>
      </c>
    </row>
    <row r="32" spans="1:26" ht="17.100000000000001" customHeight="1" x14ac:dyDescent="0.25">
      <c r="A32" s="20" t="s">
        <v>175</v>
      </c>
      <c r="B32" s="21"/>
      <c r="C32" s="22">
        <v>459</v>
      </c>
      <c r="D32" s="22">
        <v>459</v>
      </c>
      <c r="E32" s="23">
        <f t="shared" si="0"/>
        <v>100</v>
      </c>
      <c r="F32" s="21"/>
      <c r="G32" s="22"/>
      <c r="H32" s="22"/>
      <c r="I32" s="23"/>
      <c r="J32" s="21"/>
      <c r="K32" s="22"/>
      <c r="L32" s="22"/>
      <c r="M32" s="23"/>
      <c r="N32" s="21">
        <v>450</v>
      </c>
      <c r="O32" s="22">
        <v>450</v>
      </c>
      <c r="P32" s="22">
        <v>772</v>
      </c>
      <c r="Q32" s="23">
        <f t="shared" si="1"/>
        <v>171.55555555555554</v>
      </c>
      <c r="S32" s="55">
        <f t="shared" si="3"/>
        <v>322</v>
      </c>
      <c r="U32" s="13">
        <v>342</v>
      </c>
      <c r="V32" s="13">
        <v>342</v>
      </c>
      <c r="X32" s="13">
        <f t="shared" si="4"/>
        <v>0</v>
      </c>
      <c r="Y32" s="13">
        <f t="shared" si="4"/>
        <v>117</v>
      </c>
      <c r="Z32" s="13">
        <f t="shared" si="4"/>
        <v>117</v>
      </c>
    </row>
    <row r="33" spans="1:26" ht="17.100000000000001" customHeight="1" x14ac:dyDescent="0.25">
      <c r="A33" s="20" t="s">
        <v>176</v>
      </c>
      <c r="B33" s="21"/>
      <c r="C33" s="22">
        <v>285</v>
      </c>
      <c r="D33" s="22">
        <v>285</v>
      </c>
      <c r="E33" s="23">
        <f t="shared" si="0"/>
        <v>100</v>
      </c>
      <c r="F33" s="21"/>
      <c r="G33" s="22"/>
      <c r="H33" s="22"/>
      <c r="I33" s="23"/>
      <c r="J33" s="21"/>
      <c r="K33" s="22"/>
      <c r="L33" s="22"/>
      <c r="M33" s="23"/>
      <c r="N33" s="21">
        <v>200</v>
      </c>
      <c r="O33" s="22">
        <v>250</v>
      </c>
      <c r="P33" s="22">
        <v>266</v>
      </c>
      <c r="Q33" s="23">
        <f t="shared" si="1"/>
        <v>106.4</v>
      </c>
      <c r="S33" s="55">
        <f t="shared" si="3"/>
        <v>16</v>
      </c>
      <c r="U33" s="13">
        <v>172</v>
      </c>
      <c r="V33" s="13">
        <v>172</v>
      </c>
      <c r="X33" s="13">
        <f t="shared" si="4"/>
        <v>0</v>
      </c>
      <c r="Y33" s="13">
        <f t="shared" si="4"/>
        <v>113</v>
      </c>
      <c r="Z33" s="13">
        <f t="shared" si="4"/>
        <v>113</v>
      </c>
    </row>
    <row r="34" spans="1:26" ht="17.100000000000001" customHeight="1" x14ac:dyDescent="0.25">
      <c r="A34" s="20" t="s">
        <v>177</v>
      </c>
      <c r="B34" s="21">
        <v>9305</v>
      </c>
      <c r="C34" s="22">
        <v>12020</v>
      </c>
      <c r="D34" s="22">
        <v>12020</v>
      </c>
      <c r="E34" s="23">
        <f t="shared" si="0"/>
        <v>100</v>
      </c>
      <c r="F34" s="21"/>
      <c r="G34" s="22"/>
      <c r="H34" s="22"/>
      <c r="I34" s="23"/>
      <c r="J34" s="21"/>
      <c r="K34" s="22"/>
      <c r="L34" s="22"/>
      <c r="M34" s="23"/>
      <c r="N34" s="21">
        <v>1742</v>
      </c>
      <c r="O34" s="22">
        <v>1742</v>
      </c>
      <c r="P34" s="22">
        <v>1829</v>
      </c>
      <c r="Q34" s="23">
        <f t="shared" si="1"/>
        <v>104.99425947187142</v>
      </c>
      <c r="S34" s="55">
        <f t="shared" si="3"/>
        <v>87</v>
      </c>
      <c r="T34" s="13">
        <v>2200</v>
      </c>
      <c r="U34" s="13">
        <v>1187</v>
      </c>
      <c r="V34" s="13">
        <v>1187</v>
      </c>
      <c r="X34" s="13">
        <f t="shared" si="4"/>
        <v>7105</v>
      </c>
      <c r="Y34" s="13">
        <f t="shared" si="4"/>
        <v>10833</v>
      </c>
      <c r="Z34" s="13">
        <f t="shared" si="4"/>
        <v>10833</v>
      </c>
    </row>
    <row r="35" spans="1:26" ht="17.100000000000001" customHeight="1" x14ac:dyDescent="0.25">
      <c r="A35" s="20" t="s">
        <v>178</v>
      </c>
      <c r="B35" s="21">
        <v>290</v>
      </c>
      <c r="C35" s="22">
        <v>1898</v>
      </c>
      <c r="D35" s="22">
        <v>1898</v>
      </c>
      <c r="E35" s="23">
        <f t="shared" si="0"/>
        <v>100</v>
      </c>
      <c r="F35" s="21"/>
      <c r="G35" s="22"/>
      <c r="H35" s="22"/>
      <c r="I35" s="23"/>
      <c r="J35" s="21"/>
      <c r="K35" s="22"/>
      <c r="L35" s="22"/>
      <c r="M35" s="23"/>
      <c r="N35" s="21">
        <v>160</v>
      </c>
      <c r="O35" s="22">
        <v>294</v>
      </c>
      <c r="P35" s="22">
        <v>294</v>
      </c>
      <c r="Q35" s="23">
        <f t="shared" si="1"/>
        <v>100</v>
      </c>
      <c r="S35" s="55">
        <f t="shared" si="3"/>
        <v>0</v>
      </c>
      <c r="T35" s="13">
        <v>420</v>
      </c>
      <c r="U35" s="13">
        <v>193</v>
      </c>
      <c r="V35" s="13">
        <v>193</v>
      </c>
      <c r="X35" s="13">
        <f t="shared" si="4"/>
        <v>-130</v>
      </c>
      <c r="Y35" s="13">
        <f t="shared" si="4"/>
        <v>1705</v>
      </c>
      <c r="Z35" s="13">
        <f t="shared" si="4"/>
        <v>1705</v>
      </c>
    </row>
    <row r="36" spans="1:26" ht="17.100000000000001" customHeight="1" x14ac:dyDescent="0.25">
      <c r="A36" s="20" t="s">
        <v>179</v>
      </c>
      <c r="B36" s="21">
        <v>2900</v>
      </c>
      <c r="C36" s="22">
        <v>2661</v>
      </c>
      <c r="D36" s="22">
        <v>2661</v>
      </c>
      <c r="E36" s="23">
        <f t="shared" si="0"/>
        <v>100</v>
      </c>
      <c r="F36" s="21"/>
      <c r="G36" s="22"/>
      <c r="H36" s="22"/>
      <c r="I36" s="23"/>
      <c r="J36" s="21"/>
      <c r="K36" s="22"/>
      <c r="L36" s="22"/>
      <c r="M36" s="23"/>
      <c r="N36" s="21">
        <v>450</v>
      </c>
      <c r="O36" s="22">
        <v>450</v>
      </c>
      <c r="P36" s="22">
        <v>751</v>
      </c>
      <c r="Q36" s="23">
        <f t="shared" si="1"/>
        <v>166.88888888888889</v>
      </c>
      <c r="S36" s="55">
        <f t="shared" si="3"/>
        <v>301</v>
      </c>
      <c r="T36" s="13">
        <v>800</v>
      </c>
      <c r="U36" s="13">
        <v>678</v>
      </c>
      <c r="V36" s="13">
        <v>678</v>
      </c>
      <c r="X36" s="13">
        <f t="shared" si="4"/>
        <v>2100</v>
      </c>
      <c r="Y36" s="13">
        <f t="shared" si="4"/>
        <v>1983</v>
      </c>
      <c r="Z36" s="13">
        <f t="shared" si="4"/>
        <v>1983</v>
      </c>
    </row>
    <row r="37" spans="1:26" ht="17.100000000000001" customHeight="1" x14ac:dyDescent="0.25">
      <c r="A37" s="20" t="s">
        <v>180</v>
      </c>
      <c r="B37" s="21"/>
      <c r="C37" s="22">
        <v>50</v>
      </c>
      <c r="D37" s="22">
        <v>50</v>
      </c>
      <c r="E37" s="23">
        <f t="shared" si="0"/>
        <v>100</v>
      </c>
      <c r="F37" s="21"/>
      <c r="G37" s="22"/>
      <c r="H37" s="22"/>
      <c r="I37" s="23"/>
      <c r="J37" s="21"/>
      <c r="K37" s="22"/>
      <c r="L37" s="22"/>
      <c r="M37" s="23"/>
      <c r="N37" s="21">
        <v>100</v>
      </c>
      <c r="O37" s="22">
        <v>453</v>
      </c>
      <c r="P37" s="22">
        <v>422</v>
      </c>
      <c r="Q37" s="23">
        <f t="shared" si="1"/>
        <v>93.156732891832235</v>
      </c>
      <c r="S37" s="55">
        <f t="shared" si="3"/>
        <v>-31</v>
      </c>
      <c r="U37" s="13">
        <v>103</v>
      </c>
      <c r="V37" s="13">
        <v>103</v>
      </c>
      <c r="X37" s="13">
        <f t="shared" si="4"/>
        <v>0</v>
      </c>
      <c r="Y37" s="13">
        <f t="shared" si="4"/>
        <v>-53</v>
      </c>
      <c r="Z37" s="13">
        <f t="shared" si="4"/>
        <v>-53</v>
      </c>
    </row>
    <row r="38" spans="1:26" ht="17.100000000000001" customHeight="1" x14ac:dyDescent="0.25">
      <c r="A38" s="20" t="s">
        <v>181</v>
      </c>
      <c r="B38" s="21"/>
      <c r="C38" s="22">
        <v>91</v>
      </c>
      <c r="D38" s="22">
        <v>91</v>
      </c>
      <c r="E38" s="23">
        <f t="shared" si="0"/>
        <v>100</v>
      </c>
      <c r="F38" s="21"/>
      <c r="G38" s="22"/>
      <c r="H38" s="22"/>
      <c r="I38" s="23"/>
      <c r="J38" s="21"/>
      <c r="K38" s="22"/>
      <c r="L38" s="22"/>
      <c r="M38" s="23"/>
      <c r="N38" s="21">
        <v>1</v>
      </c>
      <c r="O38" s="22">
        <v>1</v>
      </c>
      <c r="P38" s="22">
        <v>1</v>
      </c>
      <c r="Q38" s="23">
        <f t="shared" si="1"/>
        <v>100</v>
      </c>
      <c r="S38" s="55">
        <f t="shared" si="3"/>
        <v>0</v>
      </c>
      <c r="U38" s="13">
        <v>108</v>
      </c>
      <c r="V38" s="13">
        <f>109</f>
        <v>109</v>
      </c>
      <c r="X38" s="13">
        <f t="shared" si="4"/>
        <v>0</v>
      </c>
      <c r="Y38" s="13">
        <f t="shared" si="4"/>
        <v>-17</v>
      </c>
      <c r="Z38" s="13">
        <f>D38-V38</f>
        <v>-18</v>
      </c>
    </row>
    <row r="39" spans="1:26" ht="17.100000000000001" customHeight="1" x14ac:dyDescent="0.25">
      <c r="A39" s="20" t="s">
        <v>182</v>
      </c>
      <c r="B39" s="21"/>
      <c r="C39" s="22">
        <v>32</v>
      </c>
      <c r="D39" s="22">
        <v>32</v>
      </c>
      <c r="E39" s="23">
        <f t="shared" si="0"/>
        <v>100</v>
      </c>
      <c r="F39" s="21"/>
      <c r="G39" s="22"/>
      <c r="H39" s="22"/>
      <c r="I39" s="23"/>
      <c r="J39" s="21"/>
      <c r="K39" s="22"/>
      <c r="L39" s="22"/>
      <c r="M39" s="23"/>
      <c r="N39" s="21">
        <v>5</v>
      </c>
      <c r="O39" s="22">
        <v>55</v>
      </c>
      <c r="P39" s="22">
        <v>55</v>
      </c>
      <c r="Q39" s="23">
        <f>SUM(P39/O39*100)</f>
        <v>100</v>
      </c>
      <c r="S39" s="55">
        <f t="shared" si="3"/>
        <v>0</v>
      </c>
      <c r="U39" s="13">
        <v>71</v>
      </c>
      <c r="V39" s="13">
        <v>71</v>
      </c>
      <c r="X39" s="13">
        <f t="shared" si="4"/>
        <v>0</v>
      </c>
      <c r="Y39" s="13">
        <f t="shared" si="4"/>
        <v>-39</v>
      </c>
      <c r="Z39" s="13">
        <f t="shared" si="4"/>
        <v>-39</v>
      </c>
    </row>
    <row r="40" spans="1:26" ht="17.100000000000001" customHeight="1" thickBot="1" x14ac:dyDescent="0.3">
      <c r="A40" s="24" t="s">
        <v>183</v>
      </c>
      <c r="B40" s="25"/>
      <c r="C40" s="26">
        <v>18</v>
      </c>
      <c r="D40" s="26">
        <v>18</v>
      </c>
      <c r="E40" s="27">
        <f t="shared" si="0"/>
        <v>100</v>
      </c>
      <c r="F40" s="25"/>
      <c r="G40" s="26"/>
      <c r="H40" s="26"/>
      <c r="I40" s="27"/>
      <c r="J40" s="25"/>
      <c r="K40" s="26"/>
      <c r="L40" s="26"/>
      <c r="M40" s="27"/>
      <c r="N40" s="25">
        <v>9</v>
      </c>
      <c r="O40" s="26">
        <v>12</v>
      </c>
      <c r="P40" s="26">
        <v>11</v>
      </c>
      <c r="Q40" s="27">
        <f>SUM(P40/O40*100)</f>
        <v>91.666666666666657</v>
      </c>
      <c r="S40" s="55">
        <f t="shared" si="3"/>
        <v>-1</v>
      </c>
      <c r="U40" s="13">
        <v>39</v>
      </c>
      <c r="V40" s="13">
        <v>39</v>
      </c>
      <c r="X40" s="13">
        <f t="shared" si="4"/>
        <v>0</v>
      </c>
      <c r="Y40" s="13">
        <f t="shared" si="4"/>
        <v>-21</v>
      </c>
      <c r="Z40" s="13">
        <f t="shared" si="4"/>
        <v>-21</v>
      </c>
    </row>
    <row r="41" spans="1:26" ht="15" customHeight="1" thickBot="1" x14ac:dyDescent="0.3">
      <c r="A41" s="44"/>
      <c r="B41" s="50"/>
      <c r="C41" s="51"/>
      <c r="D41" s="51"/>
      <c r="E41" s="35"/>
      <c r="F41" s="50"/>
      <c r="G41" s="51"/>
      <c r="H41" s="51"/>
      <c r="I41" s="35"/>
      <c r="J41" s="50"/>
      <c r="K41" s="51"/>
      <c r="L41" s="51"/>
      <c r="M41" s="35"/>
      <c r="N41" s="50"/>
      <c r="O41" s="51"/>
      <c r="P41" s="51"/>
      <c r="Q41" s="35"/>
      <c r="X41" s="13">
        <f t="shared" si="4"/>
        <v>0</v>
      </c>
      <c r="Y41" s="13">
        <f t="shared" si="4"/>
        <v>0</v>
      </c>
      <c r="Z41" s="13">
        <f t="shared" si="4"/>
        <v>0</v>
      </c>
    </row>
    <row r="42" spans="1:26" s="12" customFormat="1" ht="17.100000000000001" customHeight="1" thickBot="1" x14ac:dyDescent="0.3">
      <c r="A42" s="45" t="s">
        <v>40</v>
      </c>
      <c r="B42" s="36">
        <f>SUM(B12:B40)</f>
        <v>77731</v>
      </c>
      <c r="C42" s="42">
        <f>SUM(C12:C40)</f>
        <v>147402</v>
      </c>
      <c r="D42" s="42">
        <f>SUM(D12:D40)</f>
        <v>147402</v>
      </c>
      <c r="E42" s="39">
        <f>SUM(D42/C42*100)</f>
        <v>100</v>
      </c>
      <c r="F42" s="36">
        <f t="shared" ref="F42:G42" si="6">SUM(F12:F40)</f>
        <v>0</v>
      </c>
      <c r="G42" s="42">
        <f t="shared" si="6"/>
        <v>0</v>
      </c>
      <c r="H42" s="42">
        <f>SUM(H12:H40)</f>
        <v>0</v>
      </c>
      <c r="I42" s="39" t="e">
        <f>SUM(H42/G42*100)</f>
        <v>#DIV/0!</v>
      </c>
      <c r="J42" s="36">
        <f>SUM(J12:J40)</f>
        <v>60</v>
      </c>
      <c r="K42" s="42">
        <f>SUM(K12:K40)</f>
        <v>78</v>
      </c>
      <c r="L42" s="42">
        <f>SUM(L12:L40)</f>
        <v>85</v>
      </c>
      <c r="M42" s="39">
        <f>SUM(L42/K42*100)</f>
        <v>108.97435897435896</v>
      </c>
      <c r="N42" s="36">
        <f>SUM(N12:N40)</f>
        <v>14092</v>
      </c>
      <c r="O42" s="42">
        <f>SUM(O12:O40)</f>
        <v>17502</v>
      </c>
      <c r="P42" s="42">
        <f>SUM(P12:P40)</f>
        <v>19603</v>
      </c>
      <c r="Q42" s="39">
        <f>SUM(P42/O42*100)</f>
        <v>112.00434236087304</v>
      </c>
      <c r="S42" s="53"/>
    </row>
    <row r="44" spans="1:26" x14ac:dyDescent="0.25">
      <c r="A44" s="12">
        <v>2013</v>
      </c>
      <c r="B44" s="40">
        <f>59877+1030</f>
        <v>60907</v>
      </c>
      <c r="C44" s="40">
        <f>123345+25507</f>
        <v>148852</v>
      </c>
      <c r="D44" s="40">
        <f>123345+25507</f>
        <v>148852</v>
      </c>
      <c r="E44" s="40"/>
      <c r="F44" s="40">
        <v>53</v>
      </c>
      <c r="G44" s="40">
        <v>54</v>
      </c>
      <c r="H44" s="40"/>
      <c r="I44" s="40"/>
      <c r="J44" s="40">
        <v>40</v>
      </c>
      <c r="K44" s="40">
        <v>60</v>
      </c>
      <c r="L44" s="40">
        <v>69</v>
      </c>
      <c r="M44" s="40"/>
      <c r="N44" s="40">
        <v>7252</v>
      </c>
      <c r="O44" s="40">
        <v>12289</v>
      </c>
      <c r="P44" s="40">
        <v>15219</v>
      </c>
      <c r="Q44" s="40"/>
      <c r="T44" s="13">
        <v>11577</v>
      </c>
      <c r="U44" s="13">
        <v>17603</v>
      </c>
      <c r="V44" s="13">
        <v>17603</v>
      </c>
      <c r="X44" s="13">
        <v>35980</v>
      </c>
      <c r="Y44" s="13">
        <v>75952</v>
      </c>
      <c r="Z44" s="13">
        <v>75952</v>
      </c>
    </row>
    <row r="46" spans="1:26" x14ac:dyDescent="0.25">
      <c r="A46" s="12">
        <v>2014</v>
      </c>
      <c r="B46" s="40">
        <f>66617+11113</f>
        <v>77730</v>
      </c>
      <c r="C46" s="40">
        <f>145621+20061</f>
        <v>165682</v>
      </c>
      <c r="D46" s="40">
        <f>145621+20061</f>
        <v>165682</v>
      </c>
      <c r="E46" s="40"/>
      <c r="F46" s="40">
        <v>10</v>
      </c>
      <c r="G46" s="40">
        <v>10</v>
      </c>
      <c r="H46" s="40"/>
      <c r="I46" s="40"/>
      <c r="J46" s="40">
        <v>60</v>
      </c>
      <c r="K46" s="40">
        <v>55073</v>
      </c>
      <c r="L46" s="40">
        <v>55074</v>
      </c>
      <c r="M46" s="40"/>
      <c r="N46" s="40">
        <v>11325</v>
      </c>
      <c r="O46" s="40">
        <v>14415</v>
      </c>
      <c r="P46" s="40">
        <v>17719</v>
      </c>
      <c r="Q46" s="40"/>
    </row>
    <row r="47" spans="1:26" ht="15.95" customHeight="1" x14ac:dyDescent="0.25"/>
    <row r="48" spans="1:26" ht="15.95" customHeight="1" x14ac:dyDescent="0.25">
      <c r="B48" s="13">
        <v>39257</v>
      </c>
      <c r="C48" s="13">
        <v>86613</v>
      </c>
      <c r="D48" s="13">
        <v>866143</v>
      </c>
      <c r="P48" s="13" t="e">
        <f>P44-#REF!</f>
        <v>#REF!</v>
      </c>
    </row>
    <row r="49" spans="2:16" ht="15.95" customHeight="1" x14ac:dyDescent="0.25">
      <c r="B49" s="13">
        <v>13483</v>
      </c>
      <c r="C49" s="13">
        <v>19766</v>
      </c>
      <c r="D49" s="13">
        <v>19766</v>
      </c>
      <c r="P49" s="13" t="e">
        <f>P48/P44*100</f>
        <v>#REF!</v>
      </c>
    </row>
    <row r="50" spans="2:16" ht="15.95" customHeight="1" x14ac:dyDescent="0.25"/>
    <row r="51" spans="2:16" ht="15.95" customHeight="1" x14ac:dyDescent="0.25"/>
    <row r="52" spans="2:16" ht="18" customHeight="1" x14ac:dyDescent="0.25"/>
    <row r="53" spans="2:16" ht="18" customHeight="1" x14ac:dyDescent="0.25"/>
    <row r="55" spans="2:16" ht="18" customHeight="1" x14ac:dyDescent="0.25"/>
    <row r="56" spans="2:16" ht="13.9" customHeight="1" x14ac:dyDescent="0.25"/>
    <row r="57" spans="2:16" ht="15.95" customHeight="1" x14ac:dyDescent="0.25"/>
    <row r="59" spans="2:16" ht="13.9" customHeight="1" x14ac:dyDescent="0.25"/>
    <row r="60" spans="2:16" ht="12" customHeight="1" x14ac:dyDescent="0.25"/>
    <row r="61" spans="2:16" ht="15.95" customHeight="1" x14ac:dyDescent="0.25"/>
    <row r="62" spans="2:16" ht="15.95" customHeight="1" x14ac:dyDescent="0.25"/>
    <row r="64" spans="2:16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</sheetData>
  <mergeCells count="23">
    <mergeCell ref="A2:Q2"/>
    <mergeCell ref="F7:I7"/>
    <mergeCell ref="N7:Q7"/>
    <mergeCell ref="A4:Q4"/>
    <mergeCell ref="A7:A9"/>
    <mergeCell ref="B7:E7"/>
    <mergeCell ref="J7:M7"/>
    <mergeCell ref="B8:B9"/>
    <mergeCell ref="C8:C9"/>
    <mergeCell ref="D8:D9"/>
    <mergeCell ref="F8:F9"/>
    <mergeCell ref="G8:G9"/>
    <mergeCell ref="N10:Q10"/>
    <mergeCell ref="H8:H9"/>
    <mergeCell ref="J8:J9"/>
    <mergeCell ref="K8:K9"/>
    <mergeCell ref="B10:E10"/>
    <mergeCell ref="F10:I10"/>
    <mergeCell ref="J10:M10"/>
    <mergeCell ref="L8:L9"/>
    <mergeCell ref="N8:N9"/>
    <mergeCell ref="O8:O9"/>
    <mergeCell ref="P8:P9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66" orientation="landscape" r:id="rId1"/>
  <headerFooter alignWithMargins="0"/>
  <rowBreaks count="1" manualBreakCount="1">
    <brk id="42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List4"/>
  <dimension ref="A1:N96"/>
  <sheetViews>
    <sheetView showZeros="0" view="pageBreakPreview" zoomScaleNormal="7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5.75" x14ac:dyDescent="0.25"/>
  <cols>
    <col min="1" max="1" width="28.5546875" style="229" customWidth="1"/>
    <col min="2" max="4" width="9.77734375" style="230" customWidth="1"/>
    <col min="5" max="5" width="6.77734375" style="230" customWidth="1"/>
    <col min="6" max="8" width="9.77734375" style="230" customWidth="1"/>
    <col min="9" max="9" width="6.88671875" style="230" customWidth="1"/>
    <col min="10" max="12" width="9.77734375" style="230" customWidth="1"/>
    <col min="13" max="13" width="7.109375" style="230" customWidth="1"/>
    <col min="14" max="14" width="7.21875" style="230" customWidth="1"/>
    <col min="15" max="15" width="5.77734375" style="230" customWidth="1"/>
    <col min="16" max="18" width="6.77734375" style="230" customWidth="1"/>
    <col min="19" max="23" width="5.77734375" style="230" customWidth="1"/>
    <col min="24" max="26" width="12.6640625" style="230"/>
    <col min="27" max="27" width="6.77734375" style="230" customWidth="1"/>
    <col min="28" max="30" width="7.77734375" style="230" customWidth="1"/>
    <col min="31" max="31" width="5.77734375" style="230" customWidth="1"/>
    <col min="32" max="34" width="7.77734375" style="230" customWidth="1"/>
    <col min="35" max="35" width="5.77734375" style="230" customWidth="1"/>
    <col min="36" max="38" width="7.77734375" style="230" customWidth="1"/>
    <col min="39" max="39" width="5.77734375" style="230" customWidth="1"/>
    <col min="40" max="40" width="7.77734375" style="230" customWidth="1"/>
    <col min="41" max="41" width="6.77734375" style="230" customWidth="1"/>
    <col min="42" max="42" width="7.77734375" style="230" customWidth="1"/>
    <col min="43" max="43" width="5.77734375" style="230" customWidth="1"/>
    <col min="44" max="44" width="7.77734375" style="230" customWidth="1"/>
    <col min="45" max="45" width="6.77734375" style="230" customWidth="1"/>
    <col min="46" max="46" width="7.77734375" style="230" customWidth="1"/>
    <col min="47" max="47" width="5.77734375" style="230" customWidth="1"/>
    <col min="48" max="48" width="7.77734375" style="230" customWidth="1"/>
    <col min="49" max="49" width="6.77734375" style="230" customWidth="1"/>
    <col min="50" max="50" width="7.77734375" style="230" customWidth="1"/>
    <col min="51" max="51" width="5.77734375" style="230" customWidth="1"/>
    <col min="52" max="55" width="7.77734375" style="230" customWidth="1"/>
    <col min="56" max="16384" width="8.88671875" style="230"/>
  </cols>
  <sheetData>
    <row r="1" spans="1:14" ht="17.25" customHeight="1" x14ac:dyDescent="0.25"/>
    <row r="2" spans="1:14" s="228" customFormat="1" ht="24" customHeight="1" x14ac:dyDescent="0.35">
      <c r="A2" s="335" t="s">
        <v>244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8"/>
    </row>
    <row r="3" spans="1:14" s="228" customFormat="1" ht="15" customHeight="1" x14ac:dyDescent="0.35"/>
    <row r="4" spans="1:14" s="228" customFormat="1" ht="21" customHeight="1" x14ac:dyDescent="0.35">
      <c r="A4" s="335" t="s">
        <v>41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4" ht="22.5" customHeight="1" x14ac:dyDescent="0.25"/>
    <row r="6" spans="1:14" ht="22.5" customHeight="1" thickBot="1" x14ac:dyDescent="0.3">
      <c r="M6" s="10" t="s">
        <v>137</v>
      </c>
    </row>
    <row r="7" spans="1:14" ht="18" customHeight="1" thickBot="1" x14ac:dyDescent="0.3">
      <c r="A7" s="364" t="s">
        <v>192</v>
      </c>
      <c r="B7" s="343" t="s">
        <v>42</v>
      </c>
      <c r="C7" s="367"/>
      <c r="D7" s="367"/>
      <c r="E7" s="344"/>
      <c r="F7" s="229" t="s">
        <v>43</v>
      </c>
      <c r="G7" s="229"/>
      <c r="H7" s="229"/>
      <c r="I7" s="229"/>
      <c r="J7" s="229"/>
      <c r="K7" s="229"/>
      <c r="L7" s="229"/>
      <c r="M7" s="10" t="s">
        <v>1</v>
      </c>
    </row>
    <row r="8" spans="1:14" ht="18" customHeight="1" thickBot="1" x14ac:dyDescent="0.3">
      <c r="A8" s="365"/>
      <c r="B8" s="357" t="s">
        <v>44</v>
      </c>
      <c r="C8" s="358"/>
      <c r="D8" s="358"/>
      <c r="E8" s="359"/>
      <c r="F8" s="347" t="s">
        <v>45</v>
      </c>
      <c r="G8" s="348"/>
      <c r="H8" s="348"/>
      <c r="I8" s="349"/>
      <c r="J8" s="347" t="s">
        <v>46</v>
      </c>
      <c r="K8" s="348"/>
      <c r="L8" s="348"/>
      <c r="M8" s="349"/>
    </row>
    <row r="9" spans="1:14" ht="18" customHeight="1" x14ac:dyDescent="0.25">
      <c r="A9" s="365"/>
      <c r="B9" s="350" t="s">
        <v>196</v>
      </c>
      <c r="C9" s="330" t="s">
        <v>197</v>
      </c>
      <c r="D9" s="360" t="s">
        <v>223</v>
      </c>
      <c r="E9" s="19" t="s">
        <v>0</v>
      </c>
      <c r="F9" s="350" t="s">
        <v>196</v>
      </c>
      <c r="G9" s="330" t="s">
        <v>197</v>
      </c>
      <c r="H9" s="360" t="s">
        <v>223</v>
      </c>
      <c r="I9" s="19" t="s">
        <v>0</v>
      </c>
      <c r="J9" s="350" t="s">
        <v>196</v>
      </c>
      <c r="K9" s="330" t="s">
        <v>197</v>
      </c>
      <c r="L9" s="360" t="s">
        <v>223</v>
      </c>
      <c r="M9" s="19" t="s">
        <v>0</v>
      </c>
    </row>
    <row r="10" spans="1:14" ht="18" customHeight="1" thickBot="1" x14ac:dyDescent="0.3">
      <c r="A10" s="366"/>
      <c r="B10" s="333"/>
      <c r="C10" s="331"/>
      <c r="D10" s="356"/>
      <c r="E10" s="18" t="s">
        <v>11</v>
      </c>
      <c r="F10" s="333"/>
      <c r="G10" s="331"/>
      <c r="H10" s="356"/>
      <c r="I10" s="18" t="s">
        <v>11</v>
      </c>
      <c r="J10" s="333"/>
      <c r="K10" s="331"/>
      <c r="L10" s="356"/>
      <c r="M10" s="18" t="s">
        <v>11</v>
      </c>
    </row>
    <row r="11" spans="1:14" ht="17.100000000000001" customHeight="1" x14ac:dyDescent="0.25">
      <c r="A11" s="44"/>
      <c r="B11" s="32"/>
      <c r="C11" s="231"/>
      <c r="D11" s="231"/>
      <c r="E11" s="232"/>
      <c r="F11" s="32"/>
      <c r="G11" s="227" t="s">
        <v>48</v>
      </c>
      <c r="H11" s="231"/>
      <c r="I11" s="232"/>
      <c r="J11" s="32"/>
      <c r="K11" s="227" t="s">
        <v>49</v>
      </c>
      <c r="L11" s="231"/>
      <c r="M11" s="232"/>
    </row>
    <row r="12" spans="1:14" ht="17.100000000000001" customHeight="1" thickBot="1" x14ac:dyDescent="0.3">
      <c r="A12" s="44"/>
      <c r="B12" s="32"/>
      <c r="C12" s="231"/>
      <c r="D12" s="231"/>
      <c r="E12" s="232"/>
      <c r="F12" s="32"/>
      <c r="G12" s="231"/>
      <c r="H12" s="231"/>
      <c r="I12" s="232"/>
      <c r="J12" s="32"/>
      <c r="K12" s="231"/>
      <c r="L12" s="231"/>
      <c r="M12" s="232"/>
    </row>
    <row r="13" spans="1:14" ht="17.100000000000001" customHeight="1" x14ac:dyDescent="0.25">
      <c r="A13" s="28" t="s">
        <v>155</v>
      </c>
      <c r="B13" s="29">
        <f>SUM(F13+J13+B58+F58+J58)</f>
        <v>39400</v>
      </c>
      <c r="C13" s="30">
        <f>SUM(G13+K13+C58+G58+K58)</f>
        <v>40781</v>
      </c>
      <c r="D13" s="310">
        <f>SUM(H13+L13+D58+H58+L58)</f>
        <v>39284</v>
      </c>
      <c r="E13" s="307">
        <f t="shared" ref="E13:E41" si="0">SUM(D13/C13*100)</f>
        <v>96.329172899144211</v>
      </c>
      <c r="F13" s="29">
        <v>1300</v>
      </c>
      <c r="G13" s="30">
        <v>1300</v>
      </c>
      <c r="H13" s="30">
        <v>1274</v>
      </c>
      <c r="I13" s="31">
        <f t="shared" ref="I13:I41" si="1">SUM(H13/G13*100)</f>
        <v>98</v>
      </c>
      <c r="J13" s="29">
        <v>1200</v>
      </c>
      <c r="K13" s="30">
        <v>1672</v>
      </c>
      <c r="L13" s="30">
        <v>1673</v>
      </c>
      <c r="M13" s="31">
        <f t="shared" ref="M13:M18" si="2">SUM(L13/K13*100)</f>
        <v>100.05980861244019</v>
      </c>
    </row>
    <row r="14" spans="1:14" ht="17.100000000000001" customHeight="1" x14ac:dyDescent="0.25">
      <c r="A14" s="20" t="s">
        <v>156</v>
      </c>
      <c r="B14" s="21">
        <f t="shared" ref="B14:B41" si="3">SUM(F14+J14+B59+F59+J59)</f>
        <v>1701</v>
      </c>
      <c r="C14" s="22">
        <f t="shared" ref="C14:C41" si="4">SUM(G14+K14+C59+G59+K59)</f>
        <v>2122</v>
      </c>
      <c r="D14" s="311">
        <f t="shared" ref="D14:D41" si="5">SUM(H14+L14+D59+H59+L59)</f>
        <v>2106</v>
      </c>
      <c r="E14" s="308">
        <f t="shared" si="0"/>
        <v>99.245994344957595</v>
      </c>
      <c r="F14" s="21">
        <v>520</v>
      </c>
      <c r="G14" s="22">
        <v>520</v>
      </c>
      <c r="H14" s="22">
        <v>481</v>
      </c>
      <c r="I14" s="23">
        <f t="shared" si="1"/>
        <v>92.5</v>
      </c>
      <c r="J14" s="21">
        <v>1</v>
      </c>
      <c r="K14" s="22">
        <v>2</v>
      </c>
      <c r="L14" s="22">
        <v>2</v>
      </c>
      <c r="M14" s="23">
        <f t="shared" si="2"/>
        <v>100</v>
      </c>
    </row>
    <row r="15" spans="1:14" ht="16.5" customHeight="1" x14ac:dyDescent="0.25">
      <c r="A15" s="20" t="s">
        <v>157</v>
      </c>
      <c r="B15" s="21">
        <f t="shared" si="3"/>
        <v>910</v>
      </c>
      <c r="C15" s="22">
        <f t="shared" si="4"/>
        <v>968</v>
      </c>
      <c r="D15" s="311">
        <f t="shared" si="5"/>
        <v>922</v>
      </c>
      <c r="E15" s="308">
        <f t="shared" si="0"/>
        <v>95.247933884297524</v>
      </c>
      <c r="F15" s="21">
        <v>350</v>
      </c>
      <c r="G15" s="22">
        <v>355</v>
      </c>
      <c r="H15" s="22">
        <v>352</v>
      </c>
      <c r="I15" s="23">
        <f t="shared" si="1"/>
        <v>99.154929577464785</v>
      </c>
      <c r="J15" s="21">
        <v>5</v>
      </c>
      <c r="K15" s="22">
        <v>8</v>
      </c>
      <c r="L15" s="22">
        <v>8</v>
      </c>
      <c r="M15" s="23">
        <f t="shared" si="2"/>
        <v>100</v>
      </c>
    </row>
    <row r="16" spans="1:14" ht="17.100000000000001" customHeight="1" x14ac:dyDescent="0.25">
      <c r="A16" s="20" t="s">
        <v>158</v>
      </c>
      <c r="B16" s="21">
        <f t="shared" si="3"/>
        <v>511</v>
      </c>
      <c r="C16" s="22">
        <f t="shared" si="4"/>
        <v>515</v>
      </c>
      <c r="D16" s="311">
        <f t="shared" si="5"/>
        <v>489</v>
      </c>
      <c r="E16" s="308">
        <f t="shared" si="0"/>
        <v>94.951456310679617</v>
      </c>
      <c r="F16" s="21">
        <v>331</v>
      </c>
      <c r="G16" s="22">
        <v>331</v>
      </c>
      <c r="H16" s="22">
        <v>317</v>
      </c>
      <c r="I16" s="23">
        <f t="shared" si="1"/>
        <v>95.770392749244721</v>
      </c>
      <c r="J16" s="21"/>
      <c r="K16" s="22">
        <v>4</v>
      </c>
      <c r="L16" s="22">
        <v>6</v>
      </c>
      <c r="M16" s="23">
        <f t="shared" si="2"/>
        <v>150</v>
      </c>
    </row>
    <row r="17" spans="1:13" ht="17.100000000000001" customHeight="1" x14ac:dyDescent="0.25">
      <c r="A17" s="20" t="s">
        <v>159</v>
      </c>
      <c r="B17" s="21">
        <f t="shared" si="3"/>
        <v>816</v>
      </c>
      <c r="C17" s="22">
        <f t="shared" si="4"/>
        <v>816</v>
      </c>
      <c r="D17" s="311">
        <f t="shared" si="5"/>
        <v>739</v>
      </c>
      <c r="E17" s="308">
        <f t="shared" si="0"/>
        <v>90.563725490196077</v>
      </c>
      <c r="F17" s="21">
        <v>300</v>
      </c>
      <c r="G17" s="22">
        <v>300</v>
      </c>
      <c r="H17" s="22">
        <v>271</v>
      </c>
      <c r="I17" s="23">
        <f t="shared" si="1"/>
        <v>90.333333333333329</v>
      </c>
      <c r="J17" s="21">
        <v>11</v>
      </c>
      <c r="K17" s="22">
        <v>11</v>
      </c>
      <c r="L17" s="22">
        <v>12</v>
      </c>
      <c r="M17" s="23">
        <f t="shared" si="2"/>
        <v>109.09090909090908</v>
      </c>
    </row>
    <row r="18" spans="1:13" ht="17.100000000000001" customHeight="1" x14ac:dyDescent="0.25">
      <c r="A18" s="20" t="s">
        <v>160</v>
      </c>
      <c r="B18" s="21">
        <f t="shared" si="3"/>
        <v>104</v>
      </c>
      <c r="C18" s="22">
        <f t="shared" si="4"/>
        <v>104</v>
      </c>
      <c r="D18" s="311">
        <f t="shared" si="5"/>
        <v>99</v>
      </c>
      <c r="E18" s="308">
        <f t="shared" si="0"/>
        <v>95.192307692307693</v>
      </c>
      <c r="F18" s="21">
        <v>82</v>
      </c>
      <c r="G18" s="22">
        <v>82</v>
      </c>
      <c r="H18" s="22">
        <v>82</v>
      </c>
      <c r="I18" s="23">
        <f t="shared" si="1"/>
        <v>100</v>
      </c>
      <c r="J18" s="21">
        <v>1</v>
      </c>
      <c r="K18" s="22">
        <v>1</v>
      </c>
      <c r="L18" s="22"/>
      <c r="M18" s="23">
        <f t="shared" si="2"/>
        <v>0</v>
      </c>
    </row>
    <row r="19" spans="1:13" ht="17.100000000000001" customHeight="1" x14ac:dyDescent="0.25">
      <c r="A19" s="20" t="s">
        <v>161</v>
      </c>
      <c r="B19" s="21">
        <f t="shared" si="3"/>
        <v>2500</v>
      </c>
      <c r="C19" s="22">
        <f t="shared" si="4"/>
        <v>2500</v>
      </c>
      <c r="D19" s="311">
        <f t="shared" si="5"/>
        <v>1882</v>
      </c>
      <c r="E19" s="308">
        <f t="shared" si="0"/>
        <v>75.28</v>
      </c>
      <c r="F19" s="21">
        <v>560</v>
      </c>
      <c r="G19" s="22">
        <v>560</v>
      </c>
      <c r="H19" s="22">
        <v>543</v>
      </c>
      <c r="I19" s="23">
        <f t="shared" si="1"/>
        <v>96.964285714285708</v>
      </c>
      <c r="J19" s="21"/>
      <c r="K19" s="22"/>
      <c r="L19" s="22"/>
      <c r="M19" s="23"/>
    </row>
    <row r="20" spans="1:13" ht="17.100000000000001" customHeight="1" x14ac:dyDescent="0.25">
      <c r="A20" s="20" t="s">
        <v>162</v>
      </c>
      <c r="B20" s="21">
        <f t="shared" si="3"/>
        <v>2120</v>
      </c>
      <c r="C20" s="22">
        <f t="shared" si="4"/>
        <v>2170</v>
      </c>
      <c r="D20" s="311">
        <f t="shared" si="5"/>
        <v>2214</v>
      </c>
      <c r="E20" s="308">
        <f t="shared" si="0"/>
        <v>102.02764976958525</v>
      </c>
      <c r="F20" s="21">
        <v>800</v>
      </c>
      <c r="G20" s="22">
        <v>800</v>
      </c>
      <c r="H20" s="22">
        <v>791</v>
      </c>
      <c r="I20" s="23">
        <f t="shared" si="1"/>
        <v>98.875</v>
      </c>
      <c r="J20" s="21">
        <v>20</v>
      </c>
      <c r="K20" s="22">
        <v>20</v>
      </c>
      <c r="L20" s="22">
        <v>34</v>
      </c>
      <c r="M20" s="23">
        <f t="shared" ref="M20:M25" si="6">SUM(L20/K20*100)</f>
        <v>170</v>
      </c>
    </row>
    <row r="21" spans="1:13" ht="17.100000000000001" customHeight="1" x14ac:dyDescent="0.25">
      <c r="A21" s="20" t="s">
        <v>163</v>
      </c>
      <c r="B21" s="21">
        <f t="shared" si="3"/>
        <v>158</v>
      </c>
      <c r="C21" s="22">
        <f t="shared" si="4"/>
        <v>475</v>
      </c>
      <c r="D21" s="311">
        <f t="shared" si="5"/>
        <v>450</v>
      </c>
      <c r="E21" s="308">
        <f t="shared" si="0"/>
        <v>94.73684210526315</v>
      </c>
      <c r="F21" s="21">
        <v>38</v>
      </c>
      <c r="G21" s="22">
        <v>44</v>
      </c>
      <c r="H21" s="22">
        <v>44</v>
      </c>
      <c r="I21" s="23">
        <f t="shared" si="1"/>
        <v>100</v>
      </c>
      <c r="J21" s="21">
        <v>20</v>
      </c>
      <c r="K21" s="22">
        <v>248</v>
      </c>
      <c r="L21" s="22">
        <v>234</v>
      </c>
      <c r="M21" s="23">
        <f t="shared" si="6"/>
        <v>94.354838709677423</v>
      </c>
    </row>
    <row r="22" spans="1:13" ht="15" customHeight="1" x14ac:dyDescent="0.25">
      <c r="A22" s="20" t="s">
        <v>164</v>
      </c>
      <c r="B22" s="21">
        <f t="shared" si="3"/>
        <v>650</v>
      </c>
      <c r="C22" s="22">
        <f t="shared" si="4"/>
        <v>650</v>
      </c>
      <c r="D22" s="311">
        <f t="shared" si="5"/>
        <v>656</v>
      </c>
      <c r="E22" s="308">
        <f t="shared" si="0"/>
        <v>100.92307692307692</v>
      </c>
      <c r="F22" s="21">
        <v>200</v>
      </c>
      <c r="G22" s="22">
        <v>200</v>
      </c>
      <c r="H22" s="22">
        <v>179</v>
      </c>
      <c r="I22" s="23">
        <f t="shared" si="1"/>
        <v>89.5</v>
      </c>
      <c r="J22" s="21"/>
      <c r="K22" s="22"/>
      <c r="L22" s="22"/>
      <c r="M22" s="23"/>
    </row>
    <row r="23" spans="1:13" ht="17.100000000000001" customHeight="1" x14ac:dyDescent="0.25">
      <c r="A23" s="20" t="s">
        <v>165</v>
      </c>
      <c r="B23" s="21">
        <f t="shared" si="3"/>
        <v>314</v>
      </c>
      <c r="C23" s="22">
        <f t="shared" si="4"/>
        <v>316</v>
      </c>
      <c r="D23" s="311">
        <f t="shared" si="5"/>
        <v>282</v>
      </c>
      <c r="E23" s="308">
        <f t="shared" si="0"/>
        <v>89.240506329113927</v>
      </c>
      <c r="F23" s="21">
        <v>155</v>
      </c>
      <c r="G23" s="22">
        <v>155</v>
      </c>
      <c r="H23" s="22">
        <v>150</v>
      </c>
      <c r="I23" s="23">
        <f t="shared" si="1"/>
        <v>96.774193548387103</v>
      </c>
      <c r="J23" s="21">
        <v>2</v>
      </c>
      <c r="K23" s="22">
        <v>3</v>
      </c>
      <c r="L23" s="22">
        <v>3</v>
      </c>
      <c r="M23" s="23">
        <f t="shared" si="6"/>
        <v>100</v>
      </c>
    </row>
    <row r="24" spans="1:13" ht="17.100000000000001" customHeight="1" x14ac:dyDescent="0.25">
      <c r="A24" s="20" t="s">
        <v>166</v>
      </c>
      <c r="B24" s="21">
        <f t="shared" si="3"/>
        <v>290</v>
      </c>
      <c r="C24" s="22">
        <f t="shared" si="4"/>
        <v>562</v>
      </c>
      <c r="D24" s="311">
        <f t="shared" si="5"/>
        <v>565</v>
      </c>
      <c r="E24" s="308">
        <f t="shared" si="0"/>
        <v>100.53380782918148</v>
      </c>
      <c r="F24" s="21">
        <v>175</v>
      </c>
      <c r="G24" s="22">
        <v>179</v>
      </c>
      <c r="H24" s="22">
        <v>178</v>
      </c>
      <c r="I24" s="23">
        <f t="shared" si="1"/>
        <v>99.441340782122893</v>
      </c>
      <c r="J24" s="21">
        <v>2</v>
      </c>
      <c r="K24" s="22">
        <v>2</v>
      </c>
      <c r="L24" s="22"/>
      <c r="M24" s="23">
        <f t="shared" si="6"/>
        <v>0</v>
      </c>
    </row>
    <row r="25" spans="1:13" ht="17.100000000000001" customHeight="1" x14ac:dyDescent="0.25">
      <c r="A25" s="20" t="s">
        <v>167</v>
      </c>
      <c r="B25" s="21">
        <f t="shared" si="3"/>
        <v>3720</v>
      </c>
      <c r="C25" s="22">
        <f t="shared" si="4"/>
        <v>4263</v>
      </c>
      <c r="D25" s="311">
        <f t="shared" si="5"/>
        <v>4454</v>
      </c>
      <c r="E25" s="308">
        <f t="shared" si="0"/>
        <v>104.48041285479709</v>
      </c>
      <c r="F25" s="21">
        <v>1300</v>
      </c>
      <c r="G25" s="22">
        <v>1260</v>
      </c>
      <c r="H25" s="22">
        <v>1258</v>
      </c>
      <c r="I25" s="23">
        <f t="shared" si="1"/>
        <v>99.841269841269849</v>
      </c>
      <c r="J25" s="21">
        <v>80</v>
      </c>
      <c r="K25" s="22">
        <v>132</v>
      </c>
      <c r="L25" s="22">
        <v>134</v>
      </c>
      <c r="M25" s="23">
        <f t="shared" si="6"/>
        <v>101.51515151515152</v>
      </c>
    </row>
    <row r="26" spans="1:13" ht="17.100000000000001" customHeight="1" x14ac:dyDescent="0.25">
      <c r="A26" s="20" t="s">
        <v>168</v>
      </c>
      <c r="B26" s="21">
        <f t="shared" si="3"/>
        <v>340</v>
      </c>
      <c r="C26" s="22">
        <f t="shared" si="4"/>
        <v>340</v>
      </c>
      <c r="D26" s="311">
        <f t="shared" si="5"/>
        <v>535</v>
      </c>
      <c r="E26" s="308">
        <f t="shared" si="0"/>
        <v>157.35294117647058</v>
      </c>
      <c r="F26" s="21">
        <v>90</v>
      </c>
      <c r="G26" s="22">
        <v>90</v>
      </c>
      <c r="H26" s="22">
        <v>85</v>
      </c>
      <c r="I26" s="23">
        <f t="shared" si="1"/>
        <v>94.444444444444443</v>
      </c>
      <c r="J26" s="21"/>
      <c r="K26" s="22"/>
      <c r="L26" s="22"/>
      <c r="M26" s="23"/>
    </row>
    <row r="27" spans="1:13" ht="17.100000000000001" customHeight="1" x14ac:dyDescent="0.25">
      <c r="A27" s="20" t="s">
        <v>169</v>
      </c>
      <c r="B27" s="21">
        <f t="shared" si="3"/>
        <v>2371</v>
      </c>
      <c r="C27" s="22">
        <f t="shared" si="4"/>
        <v>2421</v>
      </c>
      <c r="D27" s="311">
        <f t="shared" si="5"/>
        <v>2046</v>
      </c>
      <c r="E27" s="308">
        <f t="shared" si="0"/>
        <v>84.510532837670382</v>
      </c>
      <c r="F27" s="21">
        <v>700</v>
      </c>
      <c r="G27" s="22">
        <v>700</v>
      </c>
      <c r="H27" s="22">
        <v>509</v>
      </c>
      <c r="I27" s="23">
        <f t="shared" si="1"/>
        <v>72.714285714285708</v>
      </c>
      <c r="J27" s="21">
        <v>1</v>
      </c>
      <c r="K27" s="22">
        <v>1</v>
      </c>
      <c r="L27" s="22">
        <v>1</v>
      </c>
      <c r="M27" s="23">
        <f>SUM(L27/K27*100)</f>
        <v>100</v>
      </c>
    </row>
    <row r="28" spans="1:13" ht="17.100000000000001" customHeight="1" x14ac:dyDescent="0.25">
      <c r="A28" s="20" t="s">
        <v>170</v>
      </c>
      <c r="B28" s="21">
        <f t="shared" si="3"/>
        <v>990</v>
      </c>
      <c r="C28" s="22">
        <f t="shared" si="4"/>
        <v>1182</v>
      </c>
      <c r="D28" s="311">
        <f t="shared" si="5"/>
        <v>1110</v>
      </c>
      <c r="E28" s="308">
        <f t="shared" si="0"/>
        <v>93.90862944162437</v>
      </c>
      <c r="F28" s="21">
        <v>260</v>
      </c>
      <c r="G28" s="22">
        <v>260</v>
      </c>
      <c r="H28" s="22">
        <v>249</v>
      </c>
      <c r="I28" s="23">
        <f t="shared" si="1"/>
        <v>95.769230769230774</v>
      </c>
      <c r="J28" s="21"/>
      <c r="K28" s="22"/>
      <c r="L28" s="22"/>
      <c r="M28" s="23"/>
    </row>
    <row r="29" spans="1:13" ht="17.100000000000001" customHeight="1" x14ac:dyDescent="0.25">
      <c r="A29" s="20" t="s">
        <v>171</v>
      </c>
      <c r="B29" s="21">
        <f t="shared" si="3"/>
        <v>1570</v>
      </c>
      <c r="C29" s="22">
        <f t="shared" si="4"/>
        <v>1570</v>
      </c>
      <c r="D29" s="311">
        <f t="shared" si="5"/>
        <v>1678</v>
      </c>
      <c r="E29" s="308">
        <f t="shared" si="0"/>
        <v>106.87898089171975</v>
      </c>
      <c r="F29" s="21">
        <v>270</v>
      </c>
      <c r="G29" s="22">
        <v>270</v>
      </c>
      <c r="H29" s="22">
        <v>254</v>
      </c>
      <c r="I29" s="23">
        <f t="shared" si="1"/>
        <v>94.074074074074076</v>
      </c>
      <c r="J29" s="21"/>
      <c r="K29" s="22"/>
      <c r="L29" s="22"/>
      <c r="M29" s="23"/>
    </row>
    <row r="30" spans="1:13" ht="17.100000000000001" customHeight="1" x14ac:dyDescent="0.25">
      <c r="A30" s="20" t="s">
        <v>172</v>
      </c>
      <c r="B30" s="21">
        <f t="shared" si="3"/>
        <v>812</v>
      </c>
      <c r="C30" s="22">
        <f t="shared" si="4"/>
        <v>829</v>
      </c>
      <c r="D30" s="311">
        <f t="shared" si="5"/>
        <v>844</v>
      </c>
      <c r="E30" s="308">
        <f t="shared" si="0"/>
        <v>101.80940892641736</v>
      </c>
      <c r="F30" s="21">
        <v>400</v>
      </c>
      <c r="G30" s="22">
        <v>400</v>
      </c>
      <c r="H30" s="22">
        <v>393</v>
      </c>
      <c r="I30" s="23">
        <f t="shared" si="1"/>
        <v>98.25</v>
      </c>
      <c r="J30" s="21">
        <v>4</v>
      </c>
      <c r="K30" s="22">
        <v>13</v>
      </c>
      <c r="L30" s="22">
        <v>13</v>
      </c>
      <c r="M30" s="23">
        <f t="shared" ref="M30:M32" si="7">SUM(L30/K30*100)</f>
        <v>100</v>
      </c>
    </row>
    <row r="31" spans="1:13" ht="17.100000000000001" customHeight="1" x14ac:dyDescent="0.25">
      <c r="A31" s="20" t="s">
        <v>173</v>
      </c>
      <c r="B31" s="21">
        <f t="shared" si="3"/>
        <v>1910</v>
      </c>
      <c r="C31" s="22">
        <f t="shared" si="4"/>
        <v>1685</v>
      </c>
      <c r="D31" s="311">
        <f t="shared" si="5"/>
        <v>1674</v>
      </c>
      <c r="E31" s="308">
        <f t="shared" si="0"/>
        <v>99.347181008902069</v>
      </c>
      <c r="F31" s="21">
        <v>700</v>
      </c>
      <c r="G31" s="22">
        <v>700</v>
      </c>
      <c r="H31" s="22">
        <v>641</v>
      </c>
      <c r="I31" s="23">
        <f t="shared" si="1"/>
        <v>91.571428571428569</v>
      </c>
      <c r="J31" s="21">
        <v>10</v>
      </c>
      <c r="K31" s="22">
        <v>12</v>
      </c>
      <c r="L31" s="22">
        <v>13</v>
      </c>
      <c r="M31" s="23">
        <f t="shared" si="7"/>
        <v>108.33333333333333</v>
      </c>
    </row>
    <row r="32" spans="1:13" ht="17.100000000000001" customHeight="1" x14ac:dyDescent="0.25">
      <c r="A32" s="20" t="s">
        <v>174</v>
      </c>
      <c r="B32" s="21">
        <f t="shared" si="3"/>
        <v>563</v>
      </c>
      <c r="C32" s="22">
        <f t="shared" si="4"/>
        <v>563</v>
      </c>
      <c r="D32" s="311">
        <f t="shared" si="5"/>
        <v>627</v>
      </c>
      <c r="E32" s="308">
        <f t="shared" si="0"/>
        <v>111.36767317939609</v>
      </c>
      <c r="F32" s="21">
        <v>240</v>
      </c>
      <c r="G32" s="22">
        <v>240</v>
      </c>
      <c r="H32" s="22">
        <v>254</v>
      </c>
      <c r="I32" s="23">
        <f t="shared" si="1"/>
        <v>105.83333333333333</v>
      </c>
      <c r="J32" s="21">
        <v>3</v>
      </c>
      <c r="K32" s="22">
        <v>3</v>
      </c>
      <c r="L32" s="22">
        <v>2</v>
      </c>
      <c r="M32" s="23">
        <f t="shared" si="7"/>
        <v>66.666666666666657</v>
      </c>
    </row>
    <row r="33" spans="1:14" ht="17.100000000000001" customHeight="1" x14ac:dyDescent="0.25">
      <c r="A33" s="20" t="s">
        <v>175</v>
      </c>
      <c r="B33" s="21">
        <f t="shared" si="3"/>
        <v>269</v>
      </c>
      <c r="C33" s="22">
        <f t="shared" si="4"/>
        <v>277</v>
      </c>
      <c r="D33" s="311">
        <f t="shared" si="5"/>
        <v>317</v>
      </c>
      <c r="E33" s="308">
        <f t="shared" si="0"/>
        <v>114.4404332129964</v>
      </c>
      <c r="F33" s="21">
        <v>185</v>
      </c>
      <c r="G33" s="22">
        <v>185</v>
      </c>
      <c r="H33" s="22">
        <v>187</v>
      </c>
      <c r="I33" s="23">
        <f t="shared" si="1"/>
        <v>101.08108108108107</v>
      </c>
      <c r="J33" s="21"/>
      <c r="K33" s="22"/>
      <c r="L33" s="22"/>
      <c r="M33" s="23"/>
    </row>
    <row r="34" spans="1:14" ht="16.5" customHeight="1" x14ac:dyDescent="0.25">
      <c r="A34" s="20" t="s">
        <v>176</v>
      </c>
      <c r="B34" s="21">
        <f t="shared" si="3"/>
        <v>171</v>
      </c>
      <c r="C34" s="22">
        <f t="shared" si="4"/>
        <v>182</v>
      </c>
      <c r="D34" s="311">
        <f t="shared" si="5"/>
        <v>152</v>
      </c>
      <c r="E34" s="308">
        <f t="shared" si="0"/>
        <v>83.516483516483518</v>
      </c>
      <c r="F34" s="21">
        <v>95</v>
      </c>
      <c r="G34" s="22">
        <v>95</v>
      </c>
      <c r="H34" s="22">
        <v>86</v>
      </c>
      <c r="I34" s="23">
        <f t="shared" si="1"/>
        <v>90.526315789473685</v>
      </c>
      <c r="J34" s="21"/>
      <c r="K34" s="22"/>
      <c r="L34" s="22"/>
      <c r="M34" s="23"/>
    </row>
    <row r="35" spans="1:14" ht="17.100000000000001" customHeight="1" x14ac:dyDescent="0.25">
      <c r="A35" s="20" t="s">
        <v>177</v>
      </c>
      <c r="B35" s="21">
        <f t="shared" si="3"/>
        <v>3890</v>
      </c>
      <c r="C35" s="22">
        <f t="shared" si="4"/>
        <v>3971</v>
      </c>
      <c r="D35" s="311">
        <f t="shared" si="5"/>
        <v>3882</v>
      </c>
      <c r="E35" s="308">
        <f t="shared" si="0"/>
        <v>97.758750944346517</v>
      </c>
      <c r="F35" s="21">
        <v>700</v>
      </c>
      <c r="G35" s="22">
        <v>675</v>
      </c>
      <c r="H35" s="22">
        <v>675</v>
      </c>
      <c r="I35" s="23">
        <f t="shared" si="1"/>
        <v>100</v>
      </c>
      <c r="J35" s="21">
        <v>90</v>
      </c>
      <c r="K35" s="22">
        <v>170</v>
      </c>
      <c r="L35" s="22">
        <v>168</v>
      </c>
      <c r="M35" s="23">
        <f>SUM(L35/K35*100)</f>
        <v>98.82352941176471</v>
      </c>
    </row>
    <row r="36" spans="1:14" ht="17.100000000000001" customHeight="1" x14ac:dyDescent="0.25">
      <c r="A36" s="20" t="s">
        <v>178</v>
      </c>
      <c r="B36" s="21">
        <f t="shared" si="3"/>
        <v>349</v>
      </c>
      <c r="C36" s="22">
        <f t="shared" si="4"/>
        <v>429</v>
      </c>
      <c r="D36" s="311">
        <f t="shared" si="5"/>
        <v>385</v>
      </c>
      <c r="E36" s="308">
        <f t="shared" si="0"/>
        <v>89.743589743589752</v>
      </c>
      <c r="F36" s="21">
        <v>200</v>
      </c>
      <c r="G36" s="22">
        <v>200</v>
      </c>
      <c r="H36" s="22">
        <v>158</v>
      </c>
      <c r="I36" s="23">
        <f t="shared" si="1"/>
        <v>79</v>
      </c>
      <c r="J36" s="21">
        <v>9</v>
      </c>
      <c r="K36" s="22">
        <v>33</v>
      </c>
      <c r="L36" s="22">
        <v>32</v>
      </c>
      <c r="M36" s="23">
        <f>SUM(L36/K36*100)</f>
        <v>96.969696969696969</v>
      </c>
    </row>
    <row r="37" spans="1:14" ht="17.100000000000001" customHeight="1" x14ac:dyDescent="0.25">
      <c r="A37" s="20" t="s">
        <v>179</v>
      </c>
      <c r="B37" s="21">
        <f t="shared" si="3"/>
        <v>1024</v>
      </c>
      <c r="C37" s="22">
        <f t="shared" si="4"/>
        <v>1024</v>
      </c>
      <c r="D37" s="311">
        <f t="shared" si="5"/>
        <v>945</v>
      </c>
      <c r="E37" s="308">
        <f t="shared" si="0"/>
        <v>92.28515625</v>
      </c>
      <c r="F37" s="21">
        <v>510</v>
      </c>
      <c r="G37" s="22">
        <v>510</v>
      </c>
      <c r="H37" s="22">
        <v>463</v>
      </c>
      <c r="I37" s="23">
        <f t="shared" si="1"/>
        <v>90.784313725490193</v>
      </c>
      <c r="J37" s="21"/>
      <c r="K37" s="22"/>
      <c r="L37" s="22"/>
      <c r="M37" s="23"/>
    </row>
    <row r="38" spans="1:14" ht="17.100000000000001" customHeight="1" x14ac:dyDescent="0.25">
      <c r="A38" s="20" t="s">
        <v>180</v>
      </c>
      <c r="B38" s="21">
        <f t="shared" si="3"/>
        <v>152</v>
      </c>
      <c r="C38" s="22">
        <f t="shared" si="4"/>
        <v>181</v>
      </c>
      <c r="D38" s="311">
        <f t="shared" si="5"/>
        <v>177</v>
      </c>
      <c r="E38" s="308">
        <f t="shared" si="0"/>
        <v>97.790055248618785</v>
      </c>
      <c r="F38" s="21">
        <v>52</v>
      </c>
      <c r="G38" s="22">
        <v>55</v>
      </c>
      <c r="H38" s="22">
        <v>53</v>
      </c>
      <c r="I38" s="23">
        <f t="shared" si="1"/>
        <v>96.36363636363636</v>
      </c>
      <c r="J38" s="21"/>
      <c r="K38" s="22"/>
      <c r="L38" s="22"/>
      <c r="M38" s="23"/>
    </row>
    <row r="39" spans="1:14" ht="17.100000000000001" customHeight="1" x14ac:dyDescent="0.25">
      <c r="A39" s="20" t="s">
        <v>181</v>
      </c>
      <c r="B39" s="21">
        <f t="shared" si="3"/>
        <v>32</v>
      </c>
      <c r="C39" s="22">
        <f t="shared" si="4"/>
        <v>37</v>
      </c>
      <c r="D39" s="311">
        <f t="shared" si="5"/>
        <v>37</v>
      </c>
      <c r="E39" s="308">
        <f t="shared" si="0"/>
        <v>100</v>
      </c>
      <c r="F39" s="21">
        <v>22</v>
      </c>
      <c r="G39" s="22">
        <v>26</v>
      </c>
      <c r="H39" s="22">
        <v>26</v>
      </c>
      <c r="I39" s="23">
        <f t="shared" si="1"/>
        <v>100</v>
      </c>
      <c r="J39" s="21"/>
      <c r="K39" s="22"/>
      <c r="L39" s="22"/>
      <c r="M39" s="23"/>
    </row>
    <row r="40" spans="1:14" ht="17.100000000000001" customHeight="1" x14ac:dyDescent="0.25">
      <c r="A40" s="20" t="s">
        <v>182</v>
      </c>
      <c r="B40" s="21">
        <f t="shared" si="3"/>
        <v>337</v>
      </c>
      <c r="C40" s="22">
        <f t="shared" si="4"/>
        <v>560</v>
      </c>
      <c r="D40" s="311">
        <f t="shared" si="5"/>
        <v>559</v>
      </c>
      <c r="E40" s="308">
        <f t="shared" si="0"/>
        <v>99.821428571428569</v>
      </c>
      <c r="F40" s="21">
        <v>21</v>
      </c>
      <c r="G40" s="22">
        <v>22</v>
      </c>
      <c r="H40" s="22">
        <v>21</v>
      </c>
      <c r="I40" s="23">
        <f t="shared" si="1"/>
        <v>95.454545454545453</v>
      </c>
      <c r="J40" s="21"/>
      <c r="K40" s="22"/>
      <c r="L40" s="22"/>
      <c r="M40" s="23"/>
    </row>
    <row r="41" spans="1:14" ht="15" customHeight="1" thickBot="1" x14ac:dyDescent="0.3">
      <c r="A41" s="24" t="s">
        <v>183</v>
      </c>
      <c r="B41" s="25">
        <f t="shared" si="3"/>
        <v>31</v>
      </c>
      <c r="C41" s="26">
        <f t="shared" si="4"/>
        <v>40</v>
      </c>
      <c r="D41" s="312">
        <f t="shared" si="5"/>
        <v>40</v>
      </c>
      <c r="E41" s="309">
        <f t="shared" si="0"/>
        <v>100</v>
      </c>
      <c r="F41" s="25">
        <v>28</v>
      </c>
      <c r="G41" s="26">
        <v>28</v>
      </c>
      <c r="H41" s="26">
        <v>28</v>
      </c>
      <c r="I41" s="27">
        <f t="shared" si="1"/>
        <v>100</v>
      </c>
      <c r="J41" s="25"/>
      <c r="K41" s="26"/>
      <c r="L41" s="26"/>
      <c r="M41" s="27"/>
    </row>
    <row r="42" spans="1:14" ht="15" customHeight="1" thickBot="1" x14ac:dyDescent="0.3">
      <c r="A42" s="44"/>
      <c r="B42" s="32"/>
      <c r="C42" s="231"/>
      <c r="D42" s="231"/>
      <c r="E42" s="35"/>
      <c r="F42" s="32"/>
      <c r="G42" s="231"/>
      <c r="H42" s="231"/>
      <c r="I42" s="35"/>
      <c r="J42" s="32"/>
      <c r="K42" s="231"/>
      <c r="L42" s="231"/>
      <c r="M42" s="35"/>
    </row>
    <row r="43" spans="1:14" s="229" customFormat="1" ht="24.75" customHeight="1" thickBot="1" x14ac:dyDescent="0.3">
      <c r="A43" s="45" t="s">
        <v>198</v>
      </c>
      <c r="B43" s="41">
        <f>SUM(B13:B41)</f>
        <v>68005</v>
      </c>
      <c r="C43" s="38">
        <f>SUM(C13:C42)</f>
        <v>71533</v>
      </c>
      <c r="D43" s="38">
        <f>SUM(D13:D41)</f>
        <v>69150</v>
      </c>
      <c r="E43" s="39">
        <f>SUM(D43/C43*100)</f>
        <v>96.668670403869541</v>
      </c>
      <c r="F43" s="36">
        <f>SUM(F13:F41)</f>
        <v>10584</v>
      </c>
      <c r="G43" s="37">
        <f>SUM(G13:G41)</f>
        <v>10542</v>
      </c>
      <c r="H43" s="38">
        <f>SUM(H13:H41)</f>
        <v>10002</v>
      </c>
      <c r="I43" s="39">
        <f>SUM(H43/G43*100)</f>
        <v>94.877632327831535</v>
      </c>
      <c r="J43" s="36">
        <f>SUM(J13:J41)</f>
        <v>1459</v>
      </c>
      <c r="K43" s="37">
        <f>SUM(K13:K41)</f>
        <v>2335</v>
      </c>
      <c r="L43" s="42">
        <f>SUM(L13:L41)</f>
        <v>2335</v>
      </c>
      <c r="M43" s="43">
        <f>SUM(L43/K43*100)</f>
        <v>100</v>
      </c>
      <c r="N43" s="229" t="s">
        <v>51</v>
      </c>
    </row>
    <row r="44" spans="1:14" ht="18" customHeight="1" x14ac:dyDescent="0.25"/>
    <row r="45" spans="1:14" ht="17.100000000000001" hidden="1" customHeight="1" x14ac:dyDescent="0.25">
      <c r="A45" s="229" t="s">
        <v>4</v>
      </c>
      <c r="B45" s="40"/>
      <c r="C45" s="40"/>
      <c r="D45" s="40" t="e">
        <f>H45+L45+#REF!+D94+H94+L94+#REF!</f>
        <v>#REF!</v>
      </c>
      <c r="E45" s="40"/>
      <c r="F45" s="40"/>
      <c r="G45" s="40"/>
      <c r="H45" s="40">
        <f>ROUND(H47/1000,0)</f>
        <v>10345</v>
      </c>
      <c r="I45" s="40"/>
      <c r="J45" s="40"/>
      <c r="K45" s="40"/>
      <c r="L45" s="40">
        <f>ROUND(L47/1000,0)</f>
        <v>2235</v>
      </c>
      <c r="M45" s="40"/>
    </row>
    <row r="46" spans="1:14" ht="16.5" hidden="1" customHeight="1" x14ac:dyDescent="0.25">
      <c r="A46" s="229">
        <v>2013</v>
      </c>
      <c r="B46" s="40">
        <v>84153</v>
      </c>
      <c r="C46" s="40">
        <v>94156</v>
      </c>
      <c r="D46" s="40">
        <v>88366</v>
      </c>
      <c r="E46" s="40"/>
      <c r="F46" s="40">
        <v>11761</v>
      </c>
      <c r="G46" s="40">
        <v>11345</v>
      </c>
      <c r="H46" s="40">
        <v>10584616</v>
      </c>
      <c r="I46" s="40">
        <v>97.393924586692719</v>
      </c>
      <c r="J46" s="40">
        <v>1082</v>
      </c>
      <c r="K46" s="40">
        <v>1126</v>
      </c>
      <c r="L46" s="40">
        <v>1968494</v>
      </c>
      <c r="M46" s="40">
        <v>106.47291941875825</v>
      </c>
    </row>
    <row r="47" spans="1:14" hidden="1" x14ac:dyDescent="0.25">
      <c r="A47" s="229">
        <v>2014</v>
      </c>
      <c r="B47" s="40">
        <v>69944</v>
      </c>
      <c r="C47" s="40">
        <v>75135</v>
      </c>
      <c r="D47" s="40">
        <v>72740</v>
      </c>
      <c r="E47" s="40"/>
      <c r="F47" s="40">
        <v>11221</v>
      </c>
      <c r="G47" s="40">
        <v>11116</v>
      </c>
      <c r="H47" s="40">
        <v>10344636</v>
      </c>
      <c r="I47" s="40"/>
      <c r="J47" s="40">
        <v>1376</v>
      </c>
      <c r="K47" s="40">
        <v>1664</v>
      </c>
      <c r="L47" s="40">
        <v>2235068</v>
      </c>
      <c r="M47" s="40"/>
    </row>
    <row r="48" spans="1:14" ht="17.100000000000001" hidden="1" customHeight="1" x14ac:dyDescent="0.25">
      <c r="B48" s="40"/>
      <c r="C48" s="40"/>
      <c r="D48" s="46">
        <f>D47/D46*100</f>
        <v>82.316728153362149</v>
      </c>
      <c r="E48" s="40"/>
      <c r="F48" s="40"/>
      <c r="G48" s="40"/>
      <c r="H48" s="40"/>
      <c r="I48" s="40"/>
      <c r="J48" s="40"/>
      <c r="K48" s="40"/>
      <c r="L48" s="40"/>
      <c r="M48" s="40"/>
    </row>
    <row r="49" spans="1:13" ht="24.75" customHeight="1" x14ac:dyDescent="0.25">
      <c r="A49" s="335" t="s">
        <v>41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</row>
    <row r="50" spans="1:13" ht="17.100000000000001" customHeight="1" x14ac:dyDescent="0.25"/>
    <row r="51" spans="1:13" ht="17.100000000000001" customHeight="1" thickBot="1" x14ac:dyDescent="0.3">
      <c r="M51" s="10" t="s">
        <v>137</v>
      </c>
    </row>
    <row r="52" spans="1:13" ht="17.100000000000001" customHeight="1" thickBot="1" x14ac:dyDescent="0.3">
      <c r="A52" s="364" t="s">
        <v>192</v>
      </c>
      <c r="B52" s="229" t="s">
        <v>43</v>
      </c>
      <c r="C52" s="229" t="s">
        <v>52</v>
      </c>
      <c r="D52" s="229"/>
      <c r="E52" s="229"/>
      <c r="F52" s="229"/>
      <c r="G52" s="229"/>
      <c r="H52" s="229"/>
      <c r="I52" s="229"/>
      <c r="J52" s="229"/>
      <c r="K52" s="229"/>
      <c r="L52" s="229"/>
      <c r="M52" s="10" t="s">
        <v>1</v>
      </c>
    </row>
    <row r="53" spans="1:13" ht="17.100000000000001" customHeight="1" thickBot="1" x14ac:dyDescent="0.3">
      <c r="A53" s="365"/>
      <c r="B53" s="347" t="s">
        <v>47</v>
      </c>
      <c r="C53" s="348"/>
      <c r="D53" s="348"/>
      <c r="E53" s="349"/>
      <c r="F53" s="361" t="s">
        <v>206</v>
      </c>
      <c r="G53" s="362"/>
      <c r="H53" s="362"/>
      <c r="I53" s="363"/>
      <c r="J53" s="347" t="s">
        <v>53</v>
      </c>
      <c r="K53" s="348"/>
      <c r="L53" s="348"/>
      <c r="M53" s="349"/>
    </row>
    <row r="54" spans="1:13" ht="17.100000000000001" customHeight="1" x14ac:dyDescent="0.25">
      <c r="A54" s="365"/>
      <c r="B54" s="350" t="s">
        <v>196</v>
      </c>
      <c r="C54" s="330" t="s">
        <v>197</v>
      </c>
      <c r="D54" s="360" t="s">
        <v>223</v>
      </c>
      <c r="E54" s="19" t="s">
        <v>0</v>
      </c>
      <c r="F54" s="368" t="s">
        <v>196</v>
      </c>
      <c r="G54" s="354" t="s">
        <v>197</v>
      </c>
      <c r="H54" s="355" t="s">
        <v>223</v>
      </c>
      <c r="I54" s="17" t="s">
        <v>0</v>
      </c>
      <c r="J54" s="368" t="s">
        <v>196</v>
      </c>
      <c r="K54" s="354" t="s">
        <v>197</v>
      </c>
      <c r="L54" s="355" t="s">
        <v>223</v>
      </c>
      <c r="M54" s="17" t="s">
        <v>0</v>
      </c>
    </row>
    <row r="55" spans="1:13" ht="22.5" customHeight="1" thickBot="1" x14ac:dyDescent="0.3">
      <c r="A55" s="366"/>
      <c r="B55" s="333"/>
      <c r="C55" s="331"/>
      <c r="D55" s="356"/>
      <c r="E55" s="18" t="s">
        <v>11</v>
      </c>
      <c r="F55" s="333"/>
      <c r="G55" s="331"/>
      <c r="H55" s="356"/>
      <c r="I55" s="18" t="s">
        <v>11</v>
      </c>
      <c r="J55" s="333"/>
      <c r="K55" s="331"/>
      <c r="L55" s="356"/>
      <c r="M55" s="18" t="s">
        <v>11</v>
      </c>
    </row>
    <row r="56" spans="1:13" ht="17.100000000000001" customHeight="1" x14ac:dyDescent="0.25">
      <c r="A56" s="44"/>
      <c r="B56" s="317"/>
      <c r="C56" s="316" t="s">
        <v>50</v>
      </c>
      <c r="D56" s="318"/>
      <c r="E56" s="319"/>
      <c r="F56" s="317"/>
      <c r="G56" s="316" t="s">
        <v>54</v>
      </c>
      <c r="H56" s="318"/>
      <c r="I56" s="319"/>
      <c r="J56" s="317"/>
      <c r="K56" s="316" t="s">
        <v>55</v>
      </c>
      <c r="L56" s="318"/>
      <c r="M56" s="319"/>
    </row>
    <row r="57" spans="1:13" ht="17.100000000000001" customHeight="1" thickBot="1" x14ac:dyDescent="0.3">
      <c r="A57" s="44"/>
      <c r="B57" s="317"/>
      <c r="C57" s="318"/>
      <c r="D57" s="318"/>
      <c r="E57" s="319"/>
      <c r="F57" s="317"/>
      <c r="G57" s="318"/>
      <c r="H57" s="318"/>
      <c r="I57" s="319"/>
      <c r="J57" s="317"/>
      <c r="K57" s="318"/>
      <c r="L57" s="318"/>
      <c r="M57" s="319"/>
    </row>
    <row r="58" spans="1:13" ht="17.100000000000001" customHeight="1" x14ac:dyDescent="0.25">
      <c r="A58" s="28" t="s">
        <v>155</v>
      </c>
      <c r="B58" s="29">
        <v>29000</v>
      </c>
      <c r="C58" s="30">
        <v>29909</v>
      </c>
      <c r="D58" s="30">
        <v>28963</v>
      </c>
      <c r="E58" s="31">
        <f t="shared" ref="E58:E86" si="8">SUM(D58/C58*100)</f>
        <v>96.837072453107766</v>
      </c>
      <c r="F58" s="29">
        <v>4500</v>
      </c>
      <c r="G58" s="30">
        <v>4500</v>
      </c>
      <c r="H58" s="30">
        <v>3984</v>
      </c>
      <c r="I58" s="31">
        <f>SUM(H58/G58*100)</f>
        <v>88.533333333333331</v>
      </c>
      <c r="J58" s="29">
        <v>3400</v>
      </c>
      <c r="K58" s="30">
        <v>3400</v>
      </c>
      <c r="L58" s="30">
        <v>3390</v>
      </c>
      <c r="M58" s="31">
        <f>SUM(L58/K58*100)</f>
        <v>99.705882352941174</v>
      </c>
    </row>
    <row r="59" spans="1:13" ht="17.100000000000001" customHeight="1" x14ac:dyDescent="0.25">
      <c r="A59" s="20" t="s">
        <v>156</v>
      </c>
      <c r="B59" s="21">
        <v>500</v>
      </c>
      <c r="C59" s="22">
        <v>950</v>
      </c>
      <c r="D59" s="22">
        <v>956</v>
      </c>
      <c r="E59" s="23">
        <f t="shared" si="8"/>
        <v>100.63157894736842</v>
      </c>
      <c r="F59" s="21">
        <v>10</v>
      </c>
      <c r="G59" s="22">
        <v>10</v>
      </c>
      <c r="H59" s="22">
        <v>10</v>
      </c>
      <c r="I59" s="23">
        <f>SUM(H59/G59*100)</f>
        <v>100</v>
      </c>
      <c r="J59" s="21">
        <v>670</v>
      </c>
      <c r="K59" s="22">
        <v>640</v>
      </c>
      <c r="L59" s="22">
        <v>657</v>
      </c>
      <c r="M59" s="23">
        <f>SUM(L59/K59*100)</f>
        <v>102.65625</v>
      </c>
    </row>
    <row r="60" spans="1:13" ht="17.100000000000001" customHeight="1" x14ac:dyDescent="0.25">
      <c r="A60" s="20" t="s">
        <v>157</v>
      </c>
      <c r="B60" s="21">
        <v>550</v>
      </c>
      <c r="C60" s="22">
        <v>600</v>
      </c>
      <c r="D60" s="22">
        <v>559</v>
      </c>
      <c r="E60" s="23">
        <f t="shared" si="8"/>
        <v>93.166666666666657</v>
      </c>
      <c r="F60" s="21"/>
      <c r="G60" s="22"/>
      <c r="H60" s="22"/>
      <c r="I60" s="23"/>
      <c r="J60" s="21">
        <v>5</v>
      </c>
      <c r="K60" s="22">
        <v>5</v>
      </c>
      <c r="L60" s="22">
        <v>3</v>
      </c>
      <c r="M60" s="23">
        <f>SUM(L60/K60*100)</f>
        <v>60</v>
      </c>
    </row>
    <row r="61" spans="1:13" ht="17.100000000000001" customHeight="1" x14ac:dyDescent="0.25">
      <c r="A61" s="20" t="s">
        <v>158</v>
      </c>
      <c r="B61" s="21">
        <v>180</v>
      </c>
      <c r="C61" s="22">
        <v>180</v>
      </c>
      <c r="D61" s="22">
        <v>166</v>
      </c>
      <c r="E61" s="23">
        <f t="shared" si="8"/>
        <v>92.222222222222229</v>
      </c>
      <c r="F61" s="21"/>
      <c r="G61" s="22"/>
      <c r="H61" s="22"/>
      <c r="I61" s="23"/>
      <c r="J61" s="21"/>
      <c r="K61" s="22"/>
      <c r="L61" s="22"/>
      <c r="M61" s="23"/>
    </row>
    <row r="62" spans="1:13" ht="17.100000000000001" customHeight="1" x14ac:dyDescent="0.25">
      <c r="A62" s="20" t="s">
        <v>159</v>
      </c>
      <c r="B62" s="21">
        <v>460</v>
      </c>
      <c r="C62" s="22">
        <v>460</v>
      </c>
      <c r="D62" s="22">
        <v>410</v>
      </c>
      <c r="E62" s="23">
        <f t="shared" si="8"/>
        <v>89.130434782608688</v>
      </c>
      <c r="F62" s="21"/>
      <c r="G62" s="22"/>
      <c r="H62" s="22"/>
      <c r="I62" s="23"/>
      <c r="J62" s="21">
        <v>45</v>
      </c>
      <c r="K62" s="22">
        <v>45</v>
      </c>
      <c r="L62" s="22">
        <v>46</v>
      </c>
      <c r="M62" s="23">
        <f t="shared" ref="M62:M83" si="9">SUM(L62/K62*100)</f>
        <v>102.22222222222221</v>
      </c>
    </row>
    <row r="63" spans="1:13" ht="17.100000000000001" customHeight="1" x14ac:dyDescent="0.25">
      <c r="A63" s="20" t="s">
        <v>160</v>
      </c>
      <c r="B63" s="21">
        <v>20</v>
      </c>
      <c r="C63" s="22">
        <v>20</v>
      </c>
      <c r="D63" s="22">
        <v>16</v>
      </c>
      <c r="E63" s="23">
        <f t="shared" si="8"/>
        <v>80</v>
      </c>
      <c r="F63" s="21"/>
      <c r="G63" s="22"/>
      <c r="H63" s="22"/>
      <c r="I63" s="23"/>
      <c r="J63" s="21">
        <v>1</v>
      </c>
      <c r="K63" s="22">
        <v>1</v>
      </c>
      <c r="L63" s="22">
        <v>1</v>
      </c>
      <c r="M63" s="23">
        <f t="shared" si="9"/>
        <v>100</v>
      </c>
    </row>
    <row r="64" spans="1:13" ht="17.100000000000001" customHeight="1" x14ac:dyDescent="0.25">
      <c r="A64" s="20" t="s">
        <v>161</v>
      </c>
      <c r="B64" s="21">
        <v>1900</v>
      </c>
      <c r="C64" s="22">
        <v>1900</v>
      </c>
      <c r="D64" s="22">
        <v>1305</v>
      </c>
      <c r="E64" s="23">
        <f t="shared" si="8"/>
        <v>68.684210526315795</v>
      </c>
      <c r="F64" s="21"/>
      <c r="G64" s="22"/>
      <c r="H64" s="22"/>
      <c r="I64" s="23"/>
      <c r="J64" s="21">
        <v>40</v>
      </c>
      <c r="K64" s="22">
        <v>40</v>
      </c>
      <c r="L64" s="22">
        <v>34</v>
      </c>
      <c r="M64" s="23">
        <f t="shared" si="9"/>
        <v>85</v>
      </c>
    </row>
    <row r="65" spans="1:13" ht="17.100000000000001" customHeight="1" x14ac:dyDescent="0.25">
      <c r="A65" s="20" t="s">
        <v>162</v>
      </c>
      <c r="B65" s="21">
        <v>1200</v>
      </c>
      <c r="C65" s="22">
        <v>1200</v>
      </c>
      <c r="D65" s="22">
        <v>1203</v>
      </c>
      <c r="E65" s="23">
        <f t="shared" si="8"/>
        <v>100.25</v>
      </c>
      <c r="F65" s="21"/>
      <c r="G65" s="22"/>
      <c r="H65" s="22"/>
      <c r="I65" s="23"/>
      <c r="J65" s="21">
        <v>100</v>
      </c>
      <c r="K65" s="22">
        <v>150</v>
      </c>
      <c r="L65" s="22">
        <v>186</v>
      </c>
      <c r="M65" s="23">
        <f t="shared" si="9"/>
        <v>124</v>
      </c>
    </row>
    <row r="66" spans="1:13" ht="17.100000000000001" customHeight="1" x14ac:dyDescent="0.25">
      <c r="A66" s="20" t="s">
        <v>163</v>
      </c>
      <c r="B66" s="21"/>
      <c r="C66" s="22">
        <v>3</v>
      </c>
      <c r="D66" s="22">
        <v>2</v>
      </c>
      <c r="E66" s="23">
        <f t="shared" si="8"/>
        <v>66.666666666666657</v>
      </c>
      <c r="F66" s="21"/>
      <c r="G66" s="22"/>
      <c r="H66" s="22"/>
      <c r="I66" s="23"/>
      <c r="J66" s="21">
        <v>100</v>
      </c>
      <c r="K66" s="22">
        <v>180</v>
      </c>
      <c r="L66" s="22">
        <v>170</v>
      </c>
      <c r="M66" s="23">
        <f t="shared" si="9"/>
        <v>94.444444444444443</v>
      </c>
    </row>
    <row r="67" spans="1:13" ht="17.100000000000001" customHeight="1" x14ac:dyDescent="0.25">
      <c r="A67" s="20" t="s">
        <v>164</v>
      </c>
      <c r="B67" s="21">
        <v>400</v>
      </c>
      <c r="C67" s="22">
        <v>400</v>
      </c>
      <c r="D67" s="22">
        <v>432</v>
      </c>
      <c r="E67" s="23">
        <f t="shared" si="8"/>
        <v>108</v>
      </c>
      <c r="F67" s="21"/>
      <c r="G67" s="22"/>
      <c r="H67" s="22"/>
      <c r="I67" s="23"/>
      <c r="J67" s="21">
        <v>50</v>
      </c>
      <c r="K67" s="22">
        <v>50</v>
      </c>
      <c r="L67" s="22">
        <v>45</v>
      </c>
      <c r="M67" s="23">
        <f t="shared" si="9"/>
        <v>90</v>
      </c>
    </row>
    <row r="68" spans="1:13" ht="17.100000000000001" customHeight="1" x14ac:dyDescent="0.25">
      <c r="A68" s="20" t="s">
        <v>165</v>
      </c>
      <c r="B68" s="21">
        <v>140</v>
      </c>
      <c r="C68" s="22">
        <v>140</v>
      </c>
      <c r="D68" s="22">
        <v>112</v>
      </c>
      <c r="E68" s="23">
        <f t="shared" si="8"/>
        <v>80</v>
      </c>
      <c r="F68" s="21"/>
      <c r="G68" s="22"/>
      <c r="H68" s="22"/>
      <c r="I68" s="23"/>
      <c r="J68" s="21">
        <v>17</v>
      </c>
      <c r="K68" s="22">
        <v>18</v>
      </c>
      <c r="L68" s="22">
        <v>17</v>
      </c>
      <c r="M68" s="23">
        <f t="shared" si="9"/>
        <v>94.444444444444443</v>
      </c>
    </row>
    <row r="69" spans="1:13" ht="17.100000000000001" customHeight="1" x14ac:dyDescent="0.25">
      <c r="A69" s="20" t="s">
        <v>166</v>
      </c>
      <c r="B69" s="21">
        <v>55</v>
      </c>
      <c r="C69" s="22">
        <v>103</v>
      </c>
      <c r="D69" s="22">
        <v>110</v>
      </c>
      <c r="E69" s="23">
        <f t="shared" si="8"/>
        <v>106.79611650485437</v>
      </c>
      <c r="F69" s="21">
        <v>50</v>
      </c>
      <c r="G69" s="22">
        <v>270</v>
      </c>
      <c r="H69" s="22">
        <v>269</v>
      </c>
      <c r="I69" s="23">
        <f>SUM(H69/G69*100)</f>
        <v>99.629629629629633</v>
      </c>
      <c r="J69" s="21">
        <v>8</v>
      </c>
      <c r="K69" s="22">
        <v>8</v>
      </c>
      <c r="L69" s="22">
        <v>8</v>
      </c>
      <c r="M69" s="23">
        <f t="shared" si="9"/>
        <v>100</v>
      </c>
    </row>
    <row r="70" spans="1:13" ht="17.100000000000001" customHeight="1" x14ac:dyDescent="0.25">
      <c r="A70" s="20" t="s">
        <v>167</v>
      </c>
      <c r="B70" s="21">
        <v>2200</v>
      </c>
      <c r="C70" s="22">
        <v>2716</v>
      </c>
      <c r="D70" s="22">
        <v>2906</v>
      </c>
      <c r="E70" s="23">
        <f t="shared" si="8"/>
        <v>106.99558173784978</v>
      </c>
      <c r="F70" s="21"/>
      <c r="G70" s="22"/>
      <c r="H70" s="22"/>
      <c r="I70" s="23"/>
      <c r="J70" s="21">
        <v>140</v>
      </c>
      <c r="K70" s="22">
        <v>155</v>
      </c>
      <c r="L70" s="22">
        <v>156</v>
      </c>
      <c r="M70" s="23">
        <f t="shared" si="9"/>
        <v>100.64516129032258</v>
      </c>
    </row>
    <row r="71" spans="1:13" ht="17.100000000000001" customHeight="1" x14ac:dyDescent="0.25">
      <c r="A71" s="20" t="s">
        <v>168</v>
      </c>
      <c r="B71" s="21">
        <v>50</v>
      </c>
      <c r="C71" s="22">
        <v>50</v>
      </c>
      <c r="D71" s="22">
        <v>287</v>
      </c>
      <c r="E71" s="23">
        <f t="shared" si="8"/>
        <v>574</v>
      </c>
      <c r="F71" s="21"/>
      <c r="G71" s="22"/>
      <c r="H71" s="22"/>
      <c r="I71" s="23"/>
      <c r="J71" s="21">
        <v>200</v>
      </c>
      <c r="K71" s="22">
        <v>200</v>
      </c>
      <c r="L71" s="22">
        <v>163</v>
      </c>
      <c r="M71" s="23">
        <f t="shared" si="9"/>
        <v>81.5</v>
      </c>
    </row>
    <row r="72" spans="1:13" ht="17.100000000000001" customHeight="1" x14ac:dyDescent="0.25">
      <c r="A72" s="20" t="s">
        <v>169</v>
      </c>
      <c r="B72" s="21">
        <v>1590</v>
      </c>
      <c r="C72" s="22">
        <v>1590</v>
      </c>
      <c r="D72" s="22">
        <v>1407</v>
      </c>
      <c r="E72" s="23">
        <f t="shared" si="8"/>
        <v>88.490566037735846</v>
      </c>
      <c r="F72" s="21"/>
      <c r="G72" s="22"/>
      <c r="H72" s="22"/>
      <c r="I72" s="23"/>
      <c r="J72" s="21">
        <v>80</v>
      </c>
      <c r="K72" s="22">
        <v>130</v>
      </c>
      <c r="L72" s="22">
        <v>129</v>
      </c>
      <c r="M72" s="23">
        <f t="shared" si="9"/>
        <v>99.230769230769226</v>
      </c>
    </row>
    <row r="73" spans="1:13" ht="17.100000000000001" customHeight="1" x14ac:dyDescent="0.25">
      <c r="A73" s="20" t="s">
        <v>170</v>
      </c>
      <c r="B73" s="21">
        <v>700</v>
      </c>
      <c r="C73" s="22">
        <v>892</v>
      </c>
      <c r="D73" s="22">
        <v>841</v>
      </c>
      <c r="E73" s="23">
        <f t="shared" si="8"/>
        <v>94.282511210762337</v>
      </c>
      <c r="F73" s="21"/>
      <c r="G73" s="22"/>
      <c r="H73" s="22"/>
      <c r="I73" s="23"/>
      <c r="J73" s="21">
        <v>30</v>
      </c>
      <c r="K73" s="22">
        <v>30</v>
      </c>
      <c r="L73" s="22">
        <v>20</v>
      </c>
      <c r="M73" s="23">
        <f t="shared" si="9"/>
        <v>66.666666666666657</v>
      </c>
    </row>
    <row r="74" spans="1:13" ht="17.100000000000001" customHeight="1" x14ac:dyDescent="0.25">
      <c r="A74" s="20" t="s">
        <v>171</v>
      </c>
      <c r="B74" s="21">
        <v>1000</v>
      </c>
      <c r="C74" s="22">
        <v>1000</v>
      </c>
      <c r="D74" s="22">
        <v>1062</v>
      </c>
      <c r="E74" s="23">
        <f t="shared" si="8"/>
        <v>106.2</v>
      </c>
      <c r="F74" s="21"/>
      <c r="G74" s="22"/>
      <c r="H74" s="22"/>
      <c r="I74" s="23"/>
      <c r="J74" s="21">
        <v>300</v>
      </c>
      <c r="K74" s="22">
        <v>300</v>
      </c>
      <c r="L74" s="22">
        <v>362</v>
      </c>
      <c r="M74" s="23">
        <f t="shared" si="9"/>
        <v>120.66666666666667</v>
      </c>
    </row>
    <row r="75" spans="1:13" ht="17.100000000000001" customHeight="1" x14ac:dyDescent="0.25">
      <c r="A75" s="20" t="s">
        <v>172</v>
      </c>
      <c r="B75" s="21">
        <v>400</v>
      </c>
      <c r="C75" s="22">
        <v>400</v>
      </c>
      <c r="D75" s="22">
        <v>422</v>
      </c>
      <c r="E75" s="23">
        <f t="shared" si="8"/>
        <v>105.5</v>
      </c>
      <c r="F75" s="21"/>
      <c r="G75" s="22"/>
      <c r="H75" s="22"/>
      <c r="I75" s="23"/>
      <c r="J75" s="21">
        <v>8</v>
      </c>
      <c r="K75" s="22">
        <v>16</v>
      </c>
      <c r="L75" s="22">
        <v>16</v>
      </c>
      <c r="M75" s="23">
        <f t="shared" si="9"/>
        <v>100</v>
      </c>
    </row>
    <row r="76" spans="1:13" ht="17.100000000000001" customHeight="1" x14ac:dyDescent="0.25">
      <c r="A76" s="20" t="s">
        <v>173</v>
      </c>
      <c r="B76" s="21">
        <v>650</v>
      </c>
      <c r="C76" s="22">
        <v>400</v>
      </c>
      <c r="D76" s="22">
        <v>447</v>
      </c>
      <c r="E76" s="23">
        <f t="shared" si="8"/>
        <v>111.75</v>
      </c>
      <c r="F76" s="21"/>
      <c r="G76" s="22"/>
      <c r="H76" s="22"/>
      <c r="I76" s="23"/>
      <c r="J76" s="21">
        <v>550</v>
      </c>
      <c r="K76" s="22">
        <v>573</v>
      </c>
      <c r="L76" s="22">
        <v>573</v>
      </c>
      <c r="M76" s="23">
        <f t="shared" si="9"/>
        <v>100</v>
      </c>
    </row>
    <row r="77" spans="1:13" ht="17.100000000000001" customHeight="1" x14ac:dyDescent="0.25">
      <c r="A77" s="20" t="s">
        <v>174</v>
      </c>
      <c r="B77" s="21">
        <v>280</v>
      </c>
      <c r="C77" s="22">
        <v>280</v>
      </c>
      <c r="D77" s="22">
        <v>335</v>
      </c>
      <c r="E77" s="23">
        <f t="shared" si="8"/>
        <v>119.64285714285714</v>
      </c>
      <c r="F77" s="21"/>
      <c r="G77" s="22"/>
      <c r="H77" s="22"/>
      <c r="I77" s="23"/>
      <c r="J77" s="21">
        <v>40</v>
      </c>
      <c r="K77" s="22">
        <v>40</v>
      </c>
      <c r="L77" s="22">
        <v>36</v>
      </c>
      <c r="M77" s="23">
        <f t="shared" si="9"/>
        <v>90</v>
      </c>
    </row>
    <row r="78" spans="1:13" ht="17.100000000000001" customHeight="1" x14ac:dyDescent="0.25">
      <c r="A78" s="20" t="s">
        <v>175</v>
      </c>
      <c r="B78" s="21">
        <v>70</v>
      </c>
      <c r="C78" s="22">
        <v>70</v>
      </c>
      <c r="D78" s="22">
        <v>108</v>
      </c>
      <c r="E78" s="23">
        <f t="shared" si="8"/>
        <v>154.28571428571431</v>
      </c>
      <c r="F78" s="21"/>
      <c r="G78" s="22"/>
      <c r="H78" s="22"/>
      <c r="I78" s="23"/>
      <c r="J78" s="21">
        <v>14</v>
      </c>
      <c r="K78" s="22">
        <v>22</v>
      </c>
      <c r="L78" s="22">
        <v>22</v>
      </c>
      <c r="M78" s="23">
        <f t="shared" si="9"/>
        <v>100</v>
      </c>
    </row>
    <row r="79" spans="1:13" ht="17.100000000000001" customHeight="1" x14ac:dyDescent="0.25">
      <c r="A79" s="20" t="s">
        <v>176</v>
      </c>
      <c r="B79" s="21">
        <v>55</v>
      </c>
      <c r="C79" s="22">
        <v>55</v>
      </c>
      <c r="D79" s="22">
        <v>36</v>
      </c>
      <c r="E79" s="23">
        <f t="shared" si="8"/>
        <v>65.454545454545453</v>
      </c>
      <c r="F79" s="21">
        <v>15</v>
      </c>
      <c r="G79" s="22">
        <v>26</v>
      </c>
      <c r="H79" s="22">
        <v>26</v>
      </c>
      <c r="I79" s="23">
        <f>SUM(H79/G79*100)</f>
        <v>100</v>
      </c>
      <c r="J79" s="21">
        <v>6</v>
      </c>
      <c r="K79" s="22">
        <v>6</v>
      </c>
      <c r="L79" s="22">
        <v>4</v>
      </c>
      <c r="M79" s="23">
        <f t="shared" si="9"/>
        <v>66.666666666666657</v>
      </c>
    </row>
    <row r="80" spans="1:13" ht="17.100000000000001" customHeight="1" x14ac:dyDescent="0.25">
      <c r="A80" s="20" t="s">
        <v>177</v>
      </c>
      <c r="B80" s="21">
        <v>2600</v>
      </c>
      <c r="C80" s="22">
        <v>2700</v>
      </c>
      <c r="D80" s="22">
        <v>2614</v>
      </c>
      <c r="E80" s="23">
        <f t="shared" si="8"/>
        <v>96.814814814814824</v>
      </c>
      <c r="F80" s="21"/>
      <c r="G80" s="22"/>
      <c r="H80" s="22"/>
      <c r="I80" s="23"/>
      <c r="J80" s="21">
        <v>500</v>
      </c>
      <c r="K80" s="22">
        <v>426</v>
      </c>
      <c r="L80" s="22">
        <v>425</v>
      </c>
      <c r="M80" s="23">
        <f t="shared" si="9"/>
        <v>99.765258215962433</v>
      </c>
    </row>
    <row r="81" spans="1:13" ht="17.100000000000001" customHeight="1" x14ac:dyDescent="0.25">
      <c r="A81" s="20" t="s">
        <v>178</v>
      </c>
      <c r="B81" s="21">
        <v>80</v>
      </c>
      <c r="C81" s="22">
        <v>98</v>
      </c>
      <c r="D81" s="22">
        <v>98</v>
      </c>
      <c r="E81" s="23">
        <f t="shared" si="8"/>
        <v>100</v>
      </c>
      <c r="F81" s="21"/>
      <c r="G81" s="22"/>
      <c r="H81" s="22"/>
      <c r="I81" s="23"/>
      <c r="J81" s="21">
        <v>60</v>
      </c>
      <c r="K81" s="22">
        <v>98</v>
      </c>
      <c r="L81" s="22">
        <v>97</v>
      </c>
      <c r="M81" s="23">
        <f t="shared" si="9"/>
        <v>98.979591836734699</v>
      </c>
    </row>
    <row r="82" spans="1:13" ht="17.100000000000001" customHeight="1" x14ac:dyDescent="0.25">
      <c r="A82" s="20" t="s">
        <v>179</v>
      </c>
      <c r="B82" s="21">
        <v>500</v>
      </c>
      <c r="C82" s="22">
        <v>500</v>
      </c>
      <c r="D82" s="22">
        <v>465</v>
      </c>
      <c r="E82" s="23">
        <f t="shared" si="8"/>
        <v>93</v>
      </c>
      <c r="F82" s="21"/>
      <c r="G82" s="22"/>
      <c r="H82" s="22"/>
      <c r="I82" s="23"/>
      <c r="J82" s="21">
        <v>14</v>
      </c>
      <c r="K82" s="22">
        <v>14</v>
      </c>
      <c r="L82" s="22">
        <v>17</v>
      </c>
      <c r="M82" s="23">
        <f t="shared" si="9"/>
        <v>121.42857142857142</v>
      </c>
    </row>
    <row r="83" spans="1:13" ht="17.100000000000001" customHeight="1" x14ac:dyDescent="0.25">
      <c r="A83" s="20" t="s">
        <v>180</v>
      </c>
      <c r="B83" s="21">
        <v>95</v>
      </c>
      <c r="C83" s="22">
        <v>120</v>
      </c>
      <c r="D83" s="22">
        <v>118</v>
      </c>
      <c r="E83" s="23">
        <f t="shared" si="8"/>
        <v>98.333333333333329</v>
      </c>
      <c r="F83" s="21"/>
      <c r="G83" s="22"/>
      <c r="H83" s="22"/>
      <c r="I83" s="23"/>
      <c r="J83" s="21">
        <v>5</v>
      </c>
      <c r="K83" s="22">
        <v>6</v>
      </c>
      <c r="L83" s="22">
        <v>6</v>
      </c>
      <c r="M83" s="23">
        <f t="shared" si="9"/>
        <v>100</v>
      </c>
    </row>
    <row r="84" spans="1:13" ht="17.100000000000001" customHeight="1" x14ac:dyDescent="0.25">
      <c r="A84" s="20" t="s">
        <v>181</v>
      </c>
      <c r="B84" s="21">
        <v>10</v>
      </c>
      <c r="C84" s="22">
        <v>11</v>
      </c>
      <c r="D84" s="22">
        <v>11</v>
      </c>
      <c r="E84" s="23">
        <f t="shared" si="8"/>
        <v>100</v>
      </c>
      <c r="F84" s="21"/>
      <c r="G84" s="22"/>
      <c r="H84" s="22"/>
      <c r="I84" s="23"/>
      <c r="J84" s="21"/>
      <c r="K84" s="22"/>
      <c r="L84" s="22"/>
      <c r="M84" s="23"/>
    </row>
    <row r="85" spans="1:13" ht="17.100000000000001" customHeight="1" x14ac:dyDescent="0.25">
      <c r="A85" s="20" t="s">
        <v>182</v>
      </c>
      <c r="B85" s="21">
        <v>316</v>
      </c>
      <c r="C85" s="22">
        <v>538</v>
      </c>
      <c r="D85" s="22">
        <v>538</v>
      </c>
      <c r="E85" s="23">
        <f t="shared" si="8"/>
        <v>100</v>
      </c>
      <c r="F85" s="21"/>
      <c r="G85" s="22"/>
      <c r="H85" s="22"/>
      <c r="I85" s="23"/>
      <c r="J85" s="21"/>
      <c r="K85" s="22"/>
      <c r="L85" s="22"/>
      <c r="M85" s="23"/>
    </row>
    <row r="86" spans="1:13" ht="17.100000000000001" customHeight="1" thickBot="1" x14ac:dyDescent="0.3">
      <c r="A86" s="24" t="s">
        <v>183</v>
      </c>
      <c r="B86" s="25">
        <v>3</v>
      </c>
      <c r="C86" s="26">
        <v>12</v>
      </c>
      <c r="D86" s="26">
        <v>12</v>
      </c>
      <c r="E86" s="27">
        <f t="shared" si="8"/>
        <v>100</v>
      </c>
      <c r="F86" s="25"/>
      <c r="G86" s="26"/>
      <c r="H86" s="26"/>
      <c r="I86" s="27"/>
      <c r="J86" s="25"/>
      <c r="K86" s="26"/>
      <c r="L86" s="26"/>
      <c r="M86" s="27"/>
    </row>
    <row r="87" spans="1:13" ht="17.100000000000001" customHeight="1" thickBot="1" x14ac:dyDescent="0.3">
      <c r="A87" s="44"/>
      <c r="B87" s="317"/>
      <c r="C87" s="318"/>
      <c r="D87" s="318"/>
      <c r="E87" s="35"/>
      <c r="F87" s="317"/>
      <c r="G87" s="318"/>
      <c r="H87" s="318"/>
      <c r="I87" s="35"/>
      <c r="J87" s="317"/>
      <c r="K87" s="318"/>
      <c r="L87" s="318"/>
      <c r="M87" s="35"/>
    </row>
    <row r="88" spans="1:13" s="229" customFormat="1" ht="21.75" customHeight="1" thickBot="1" x14ac:dyDescent="0.3">
      <c r="A88" s="45" t="s">
        <v>198</v>
      </c>
      <c r="B88" s="36">
        <f>SUM(B58:B86)</f>
        <v>45004</v>
      </c>
      <c r="C88" s="42">
        <f>SUM(C58:C86)</f>
        <v>47297</v>
      </c>
      <c r="D88" s="37">
        <f>SUM(D58:D86)</f>
        <v>45941</v>
      </c>
      <c r="E88" s="39">
        <f>SUM(D88/C88*100)</f>
        <v>97.133010550352026</v>
      </c>
      <c r="F88" s="41">
        <f>SUM(F58:F86)</f>
        <v>4575</v>
      </c>
      <c r="G88" s="42">
        <f>SUM(G58:G86)</f>
        <v>4806</v>
      </c>
      <c r="H88" s="37">
        <f>SUM(H58:H86)</f>
        <v>4289</v>
      </c>
      <c r="I88" s="39">
        <f>SUM(H88/G88*100)</f>
        <v>89.242613399916763</v>
      </c>
      <c r="J88" s="41">
        <f>SUM(J58:J86)</f>
        <v>6383</v>
      </c>
      <c r="K88" s="38">
        <f>SUM(K58:K86)</f>
        <v>6553</v>
      </c>
      <c r="L88" s="42">
        <f>SUM(L58:L86)</f>
        <v>6583</v>
      </c>
      <c r="M88" s="43">
        <f>SUM(L88/K88*100)</f>
        <v>100.45780558522814</v>
      </c>
    </row>
    <row r="89" spans="1:13" ht="15.75" hidden="1" customHeight="1" x14ac:dyDescent="0.25"/>
    <row r="90" spans="1:13" ht="15" hidden="1" customHeight="1" x14ac:dyDescent="0.25">
      <c r="B90" s="230">
        <v>16323</v>
      </c>
      <c r="C90" s="230">
        <v>12708</v>
      </c>
      <c r="D90" s="230">
        <v>9371878</v>
      </c>
      <c r="F90" s="230">
        <v>3188</v>
      </c>
      <c r="G90" s="230">
        <v>3385</v>
      </c>
      <c r="H90" s="230">
        <v>3727599</v>
      </c>
      <c r="J90" s="230">
        <v>42549</v>
      </c>
      <c r="K90" s="230">
        <v>49819</v>
      </c>
      <c r="L90" s="230">
        <v>51136393</v>
      </c>
    </row>
    <row r="91" spans="1:13" ht="15.75" hidden="1" customHeight="1" x14ac:dyDescent="0.25"/>
    <row r="92" spans="1:13" ht="2.25" customHeight="1" x14ac:dyDescent="0.25"/>
    <row r="94" spans="1:13" x14ac:dyDescent="0.25">
      <c r="B94" s="40"/>
      <c r="C94" s="40"/>
      <c r="D94" s="40">
        <f>ROUND(D96/1000,0)</f>
        <v>5737</v>
      </c>
      <c r="E94" s="40"/>
      <c r="F94" s="40"/>
      <c r="G94" s="40"/>
      <c r="H94" s="40">
        <f>ROUND(H96/1000,0)</f>
        <v>6252</v>
      </c>
      <c r="I94" s="40"/>
      <c r="J94" s="40"/>
      <c r="K94" s="40"/>
      <c r="L94" s="40">
        <f>ROUND(L96/1000,0)</f>
        <v>0</v>
      </c>
      <c r="M94" s="40"/>
    </row>
    <row r="95" spans="1:13" x14ac:dyDescent="0.25">
      <c r="A95" s="229">
        <v>2013</v>
      </c>
      <c r="B95" s="40">
        <v>6775</v>
      </c>
      <c r="C95" s="40">
        <v>6804</v>
      </c>
      <c r="D95" s="40">
        <v>4875075</v>
      </c>
      <c r="E95" s="40"/>
      <c r="F95" s="40">
        <v>6323</v>
      </c>
      <c r="G95" s="40">
        <v>6113</v>
      </c>
      <c r="H95" s="40">
        <v>6195913</v>
      </c>
      <c r="I95" s="40"/>
      <c r="J95" s="40">
        <v>10000</v>
      </c>
      <c r="K95" s="40">
        <v>18449</v>
      </c>
      <c r="L95" s="40">
        <v>18188053</v>
      </c>
      <c r="M95" s="40"/>
    </row>
    <row r="96" spans="1:13" x14ac:dyDescent="0.25">
      <c r="A96" s="229">
        <v>2014</v>
      </c>
      <c r="B96" s="40">
        <v>5275</v>
      </c>
      <c r="C96" s="40">
        <v>5313</v>
      </c>
      <c r="D96" s="40">
        <v>5737393</v>
      </c>
      <c r="E96" s="40"/>
      <c r="F96" s="40">
        <v>6212</v>
      </c>
      <c r="G96" s="40">
        <v>6183</v>
      </c>
      <c r="H96" s="40">
        <v>6252189</v>
      </c>
      <c r="I96" s="40"/>
      <c r="M96" s="40"/>
    </row>
  </sheetData>
  <mergeCells count="30">
    <mergeCell ref="A52:A55"/>
    <mergeCell ref="A49:M49"/>
    <mergeCell ref="H54:H55"/>
    <mergeCell ref="J54:J55"/>
    <mergeCell ref="B54:B55"/>
    <mergeCell ref="C54:C55"/>
    <mergeCell ref="D54:D55"/>
    <mergeCell ref="F54:F55"/>
    <mergeCell ref="A2:M2"/>
    <mergeCell ref="B53:E53"/>
    <mergeCell ref="F53:I53"/>
    <mergeCell ref="J53:M53"/>
    <mergeCell ref="B9:B10"/>
    <mergeCell ref="C9:C10"/>
    <mergeCell ref="D9:D10"/>
    <mergeCell ref="F9:F10"/>
    <mergeCell ref="G9:G10"/>
    <mergeCell ref="H9:H10"/>
    <mergeCell ref="J9:J10"/>
    <mergeCell ref="K9:K10"/>
    <mergeCell ref="A4:M4"/>
    <mergeCell ref="A7:A10"/>
    <mergeCell ref="B7:E7"/>
    <mergeCell ref="F8:I8"/>
    <mergeCell ref="J8:M8"/>
    <mergeCell ref="K54:K55"/>
    <mergeCell ref="L54:L55"/>
    <mergeCell ref="G54:G55"/>
    <mergeCell ref="B8:E8"/>
    <mergeCell ref="L9:L10"/>
  </mergeCells>
  <phoneticPr fontId="8" type="noConversion"/>
  <printOptions horizontalCentered="1" verticalCentered="1"/>
  <pageMargins left="0.19685039370078741" right="0.19685039370078741" top="0.74803149606299213" bottom="0.74803149606299213" header="0.51181102362204722" footer="0.51181102362204722"/>
  <pageSetup paperSize="9" scale="65" orientation="landscape" r:id="rId1"/>
  <headerFooter alignWithMargins="0"/>
  <rowBreaks count="1" manualBreakCount="1">
    <brk id="43" max="1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List5"/>
  <dimension ref="A1:AE53"/>
  <sheetViews>
    <sheetView showZeros="0" view="pageBreakPreview" zoomScaleNormal="70" zoomScaleSheetLayoutView="100" workbookViewId="0">
      <pane xSplit="1" ySplit="12" topLeftCell="F13" activePane="bottomRight" state="frozen"/>
      <selection pane="topRight"/>
      <selection pane="bottomLeft"/>
      <selection pane="bottomRight" activeCell="A5" sqref="A5"/>
    </sheetView>
  </sheetViews>
  <sheetFormatPr defaultRowHeight="15.75" x14ac:dyDescent="0.25"/>
  <cols>
    <col min="1" max="1" width="26.6640625" style="12" customWidth="1"/>
    <col min="2" max="3" width="7.77734375" style="13" customWidth="1"/>
    <col min="4" max="4" width="9.44140625" style="13" customWidth="1"/>
    <col min="5" max="5" width="6.5546875" style="13" customWidth="1"/>
    <col min="6" max="7" width="7.77734375" style="287" customWidth="1"/>
    <col min="8" max="8" width="9.6640625" style="287" customWidth="1"/>
    <col min="9" max="9" width="6.5546875" style="287" customWidth="1"/>
    <col min="10" max="11" width="7.77734375" style="13" customWidth="1"/>
    <col min="12" max="12" width="9.6640625" style="13" customWidth="1"/>
    <col min="13" max="13" width="6.5546875" style="13" customWidth="1"/>
    <col min="14" max="15" width="7.77734375" style="13" customWidth="1"/>
    <col min="16" max="16" width="10" style="13" customWidth="1"/>
    <col min="17" max="17" width="6.5546875" style="13" customWidth="1"/>
    <col min="18" max="19" width="7.77734375" style="13" customWidth="1"/>
    <col min="20" max="20" width="9.88671875" style="13" customWidth="1"/>
    <col min="21" max="21" width="6.21875" style="13" customWidth="1"/>
    <col min="22" max="23" width="7.77734375" style="13" customWidth="1"/>
    <col min="24" max="24" width="9.6640625" style="13" customWidth="1"/>
    <col min="25" max="25" width="6.5546875" style="13" customWidth="1"/>
    <col min="26" max="26" width="5.21875" style="1" customWidth="1"/>
    <col min="27" max="29" width="13.44140625" style="1" customWidth="1"/>
    <col min="30" max="47" width="7.77734375" style="1" customWidth="1"/>
    <col min="48" max="16384" width="8.88671875" style="1"/>
  </cols>
  <sheetData>
    <row r="1" spans="1:31" s="7" customFormat="1" ht="17.25" customHeight="1" x14ac:dyDescent="0.25">
      <c r="A1" s="12"/>
      <c r="B1" s="13"/>
      <c r="C1" s="13"/>
      <c r="D1" s="13"/>
      <c r="E1" s="13"/>
      <c r="F1" s="287"/>
      <c r="G1" s="287"/>
      <c r="H1" s="287"/>
      <c r="I1" s="287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31" s="9" customFormat="1" ht="24" customHeight="1" x14ac:dyDescent="0.35">
      <c r="A2" s="429" t="s">
        <v>222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</row>
    <row r="3" spans="1:31" s="9" customFormat="1" ht="15" customHeight="1" x14ac:dyDescent="0.35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14"/>
      <c r="W3" s="14"/>
      <c r="X3" s="14"/>
      <c r="Y3" s="14"/>
    </row>
    <row r="4" spans="1:31" s="9" customFormat="1" ht="21" customHeight="1" x14ac:dyDescent="0.35">
      <c r="A4" s="429" t="s">
        <v>56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</row>
    <row r="5" spans="1:31" s="7" customFormat="1" ht="22.5" customHeight="1" x14ac:dyDescent="0.25">
      <c r="A5" s="12"/>
      <c r="B5" s="13"/>
      <c r="C5" s="13"/>
      <c r="D5" s="13"/>
      <c r="E5" s="13"/>
      <c r="F5" s="287"/>
      <c r="G5" s="287"/>
      <c r="H5" s="287"/>
      <c r="I5" s="287"/>
      <c r="J5" s="13"/>
      <c r="K5" s="13" t="s">
        <v>57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31" s="7" customFormat="1" ht="22.5" customHeight="1" x14ac:dyDescent="0.25">
      <c r="A6" s="12"/>
      <c r="B6" s="13"/>
      <c r="C6" s="13"/>
      <c r="D6" s="13"/>
      <c r="E6" s="13"/>
      <c r="F6" s="287"/>
      <c r="G6" s="287"/>
      <c r="H6" s="287"/>
      <c r="I6" s="287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0" t="s">
        <v>201</v>
      </c>
    </row>
    <row r="7" spans="1:31" s="7" customFormat="1" ht="17.100000000000001" customHeight="1" thickBot="1" x14ac:dyDescent="0.3">
      <c r="A7" s="12"/>
      <c r="B7" s="13"/>
      <c r="C7" s="13"/>
      <c r="D7" s="13"/>
      <c r="E7" s="13"/>
      <c r="F7" s="287"/>
      <c r="G7" s="287"/>
      <c r="H7" s="287"/>
      <c r="I7" s="28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0" t="s">
        <v>1</v>
      </c>
    </row>
    <row r="8" spans="1:31" s="2" customFormat="1" ht="18" customHeight="1" thickBot="1" x14ac:dyDescent="0.3">
      <c r="A8" s="364" t="s">
        <v>192</v>
      </c>
      <c r="B8" s="361" t="s">
        <v>58</v>
      </c>
      <c r="C8" s="362"/>
      <c r="D8" s="362"/>
      <c r="E8" s="363"/>
      <c r="F8" s="376" t="s">
        <v>227</v>
      </c>
      <c r="G8" s="377"/>
      <c r="H8" s="377"/>
      <c r="I8" s="378"/>
      <c r="J8" s="361" t="s">
        <v>59</v>
      </c>
      <c r="K8" s="362"/>
      <c r="L8" s="362"/>
      <c r="M8" s="363"/>
      <c r="N8" s="361" t="s">
        <v>189</v>
      </c>
      <c r="O8" s="362"/>
      <c r="P8" s="362"/>
      <c r="Q8" s="363"/>
      <c r="R8" s="361" t="s">
        <v>60</v>
      </c>
      <c r="S8" s="362"/>
      <c r="T8" s="362"/>
      <c r="U8" s="363"/>
      <c r="V8" s="361" t="s">
        <v>139</v>
      </c>
      <c r="W8" s="362"/>
      <c r="X8" s="362"/>
      <c r="Y8" s="363"/>
    </row>
    <row r="9" spans="1:31" s="5" customFormat="1" ht="22.5" customHeight="1" x14ac:dyDescent="0.25">
      <c r="A9" s="365"/>
      <c r="B9" s="374" t="s">
        <v>196</v>
      </c>
      <c r="C9" s="355" t="s">
        <v>197</v>
      </c>
      <c r="D9" s="355" t="s">
        <v>223</v>
      </c>
      <c r="E9" s="56" t="s">
        <v>0</v>
      </c>
      <c r="F9" s="374" t="s">
        <v>196</v>
      </c>
      <c r="G9" s="355" t="s">
        <v>197</v>
      </c>
      <c r="H9" s="355" t="s">
        <v>223</v>
      </c>
      <c r="I9" s="56" t="s">
        <v>0</v>
      </c>
      <c r="J9" s="374" t="s">
        <v>196</v>
      </c>
      <c r="K9" s="355" t="s">
        <v>197</v>
      </c>
      <c r="L9" s="355" t="s">
        <v>223</v>
      </c>
      <c r="M9" s="56" t="s">
        <v>0</v>
      </c>
      <c r="N9" s="374" t="s">
        <v>196</v>
      </c>
      <c r="O9" s="355" t="s">
        <v>197</v>
      </c>
      <c r="P9" s="355" t="s">
        <v>223</v>
      </c>
      <c r="Q9" s="56" t="s">
        <v>0</v>
      </c>
      <c r="R9" s="374" t="s">
        <v>196</v>
      </c>
      <c r="S9" s="355" t="s">
        <v>197</v>
      </c>
      <c r="T9" s="355" t="s">
        <v>223</v>
      </c>
      <c r="U9" s="56" t="s">
        <v>0</v>
      </c>
      <c r="V9" s="374" t="s">
        <v>196</v>
      </c>
      <c r="W9" s="355" t="s">
        <v>197</v>
      </c>
      <c r="X9" s="355" t="s">
        <v>223</v>
      </c>
      <c r="Y9" s="56" t="s">
        <v>0</v>
      </c>
      <c r="AA9" s="370" t="s">
        <v>186</v>
      </c>
      <c r="AB9" s="370"/>
      <c r="AC9" s="370"/>
    </row>
    <row r="10" spans="1:31" s="5" customFormat="1" ht="23.25" customHeight="1" thickBot="1" x14ac:dyDescent="0.3">
      <c r="A10" s="366"/>
      <c r="B10" s="375"/>
      <c r="C10" s="356"/>
      <c r="D10" s="356"/>
      <c r="E10" s="57" t="s">
        <v>11</v>
      </c>
      <c r="F10" s="375"/>
      <c r="G10" s="356"/>
      <c r="H10" s="356"/>
      <c r="I10" s="57" t="s">
        <v>11</v>
      </c>
      <c r="J10" s="375"/>
      <c r="K10" s="356"/>
      <c r="L10" s="356"/>
      <c r="M10" s="57" t="s">
        <v>11</v>
      </c>
      <c r="N10" s="375"/>
      <c r="O10" s="356"/>
      <c r="P10" s="356"/>
      <c r="Q10" s="57" t="s">
        <v>11</v>
      </c>
      <c r="R10" s="375"/>
      <c r="S10" s="356"/>
      <c r="T10" s="356"/>
      <c r="U10" s="57" t="s">
        <v>11</v>
      </c>
      <c r="V10" s="375"/>
      <c r="W10" s="356"/>
      <c r="X10" s="356"/>
      <c r="Y10" s="57" t="s">
        <v>11</v>
      </c>
      <c r="AA10" s="5" t="s">
        <v>12</v>
      </c>
      <c r="AB10" s="5" t="s">
        <v>13</v>
      </c>
      <c r="AC10" s="5" t="s">
        <v>185</v>
      </c>
    </row>
    <row r="11" spans="1:31" ht="15.95" hidden="1" customHeight="1" thickTop="1" thickBot="1" x14ac:dyDescent="0.3">
      <c r="A11" s="44"/>
      <c r="B11" s="32"/>
      <c r="C11" s="33" t="s">
        <v>61</v>
      </c>
      <c r="D11" s="33"/>
      <c r="E11" s="34"/>
      <c r="F11" s="288"/>
      <c r="G11" s="288"/>
      <c r="H11" s="288"/>
      <c r="I11" s="288"/>
      <c r="J11" s="32"/>
      <c r="K11" s="33" t="s">
        <v>62</v>
      </c>
      <c r="L11" s="33"/>
      <c r="M11" s="34"/>
      <c r="N11" s="32"/>
      <c r="O11" s="33" t="s">
        <v>63</v>
      </c>
      <c r="P11" s="33"/>
      <c r="Q11" s="34"/>
      <c r="R11" s="32"/>
      <c r="S11" s="33" t="s">
        <v>64</v>
      </c>
      <c r="T11" s="33"/>
      <c r="U11" s="34"/>
      <c r="V11" s="32" t="s">
        <v>32</v>
      </c>
      <c r="W11" s="33"/>
      <c r="X11" s="33" t="s">
        <v>33</v>
      </c>
      <c r="Y11" s="34" t="s">
        <v>0</v>
      </c>
    </row>
    <row r="12" spans="1:31" ht="15.95" customHeight="1" x14ac:dyDescent="0.25">
      <c r="A12" s="44"/>
      <c r="B12" s="371" t="s">
        <v>65</v>
      </c>
      <c r="C12" s="372"/>
      <c r="D12" s="372"/>
      <c r="E12" s="373"/>
      <c r="F12" s="286"/>
      <c r="G12" s="286"/>
      <c r="H12" s="286"/>
      <c r="I12" s="286"/>
      <c r="J12" s="371" t="s">
        <v>66</v>
      </c>
      <c r="K12" s="372"/>
      <c r="L12" s="372"/>
      <c r="M12" s="373"/>
      <c r="N12" s="371" t="s">
        <v>116</v>
      </c>
      <c r="O12" s="372"/>
      <c r="P12" s="372"/>
      <c r="Q12" s="373"/>
      <c r="R12" s="371" t="s">
        <v>67</v>
      </c>
      <c r="S12" s="372"/>
      <c r="T12" s="372"/>
      <c r="U12" s="373"/>
      <c r="V12" s="371" t="s">
        <v>146</v>
      </c>
      <c r="W12" s="372"/>
      <c r="X12" s="372"/>
      <c r="Y12" s="373"/>
      <c r="AA12" s="369"/>
      <c r="AB12" s="369"/>
      <c r="AC12" s="369"/>
    </row>
    <row r="13" spans="1:31" ht="17.100000000000001" customHeight="1" thickBot="1" x14ac:dyDescent="0.3">
      <c r="A13" s="44"/>
      <c r="B13" s="32"/>
      <c r="C13" s="33"/>
      <c r="D13" s="33"/>
      <c r="E13" s="34"/>
      <c r="F13" s="288"/>
      <c r="G13" s="288"/>
      <c r="H13" s="288"/>
      <c r="I13" s="288"/>
      <c r="J13" s="32"/>
      <c r="K13" s="33"/>
      <c r="L13" s="33"/>
      <c r="M13" s="34"/>
      <c r="N13" s="32"/>
      <c r="O13" s="33"/>
      <c r="P13" s="33"/>
      <c r="Q13" s="34"/>
      <c r="R13" s="32"/>
      <c r="S13" s="33"/>
      <c r="T13" s="33"/>
      <c r="U13" s="34"/>
      <c r="V13" s="32"/>
      <c r="W13" s="33"/>
      <c r="X13" s="284"/>
      <c r="Y13" s="34"/>
    </row>
    <row r="14" spans="1:31" ht="17.100000000000001" customHeight="1" x14ac:dyDescent="0.25">
      <c r="A14" s="28" t="s">
        <v>155</v>
      </c>
      <c r="B14" s="29">
        <v>2905</v>
      </c>
      <c r="C14" s="30">
        <v>2905</v>
      </c>
      <c r="D14" s="30">
        <v>4538</v>
      </c>
      <c r="E14" s="31">
        <f t="shared" ref="E14:E32" si="0">D14/C14*100</f>
        <v>156.21342512908777</v>
      </c>
      <c r="F14" s="29"/>
      <c r="G14" s="30"/>
      <c r="H14" s="30"/>
      <c r="I14" s="31"/>
      <c r="J14" s="29">
        <v>6184</v>
      </c>
      <c r="K14" s="30">
        <v>6184</v>
      </c>
      <c r="L14" s="30">
        <v>5372</v>
      </c>
      <c r="M14" s="31">
        <f t="shared" ref="M14:M42" si="1">L14/K14*100</f>
        <v>86.869340232858988</v>
      </c>
      <c r="N14" s="29">
        <v>1000</v>
      </c>
      <c r="O14" s="30">
        <v>1000</v>
      </c>
      <c r="P14" s="30">
        <v>771</v>
      </c>
      <c r="Q14" s="31">
        <f>P14/O14*100</f>
        <v>77.100000000000009</v>
      </c>
      <c r="R14" s="29">
        <v>1750</v>
      </c>
      <c r="S14" s="30">
        <v>1950</v>
      </c>
      <c r="T14" s="30">
        <v>1994</v>
      </c>
      <c r="U14" s="31">
        <f t="shared" ref="U14:U22" si="2">T14/S14*100</f>
        <v>102.25641025641026</v>
      </c>
      <c r="V14" s="29">
        <f>AA14-B14-F14-J14-N14-R14</f>
        <v>1530</v>
      </c>
      <c r="W14" s="30">
        <f>AB14-C14-G14-K14-O14-S14</f>
        <v>5592</v>
      </c>
      <c r="X14" s="30">
        <f>AC14-T14-H14-P14-L14-D14</f>
        <v>5156</v>
      </c>
      <c r="Y14" s="31">
        <f t="shared" ref="Y14:Y42" si="3">X14/W14*100</f>
        <v>92.203147353361942</v>
      </c>
      <c r="AA14" s="4">
        <v>13369</v>
      </c>
      <c r="AB14" s="4">
        <v>17631</v>
      </c>
      <c r="AC14" s="4">
        <v>17831</v>
      </c>
      <c r="AD14" s="4">
        <f>ROUND(AC14/1000,0)</f>
        <v>18</v>
      </c>
      <c r="AE14" s="4"/>
    </row>
    <row r="15" spans="1:31" ht="17.100000000000001" customHeight="1" x14ac:dyDescent="0.25">
      <c r="A15" s="20" t="s">
        <v>156</v>
      </c>
      <c r="B15" s="21">
        <v>599</v>
      </c>
      <c r="C15" s="22">
        <v>639</v>
      </c>
      <c r="D15" s="22">
        <v>611</v>
      </c>
      <c r="E15" s="23">
        <f t="shared" si="0"/>
        <v>95.618153364632235</v>
      </c>
      <c r="F15" s="21"/>
      <c r="G15" s="22">
        <v>1972</v>
      </c>
      <c r="H15" s="22">
        <v>1972</v>
      </c>
      <c r="I15" s="23">
        <f t="shared" ref="I15" si="4">H15/G15*100</f>
        <v>100</v>
      </c>
      <c r="J15" s="21">
        <v>3567</v>
      </c>
      <c r="K15" s="22">
        <v>3582</v>
      </c>
      <c r="L15" s="22">
        <v>3569</v>
      </c>
      <c r="M15" s="23">
        <f t="shared" si="1"/>
        <v>99.637074260189834</v>
      </c>
      <c r="N15" s="21">
        <v>20</v>
      </c>
      <c r="O15" s="22">
        <v>5</v>
      </c>
      <c r="P15" s="22">
        <v>2</v>
      </c>
      <c r="Q15" s="23">
        <f>P15/O15*100</f>
        <v>40</v>
      </c>
      <c r="R15" s="21">
        <v>25</v>
      </c>
      <c r="S15" s="22">
        <v>25</v>
      </c>
      <c r="T15" s="22">
        <v>3</v>
      </c>
      <c r="U15" s="23">
        <f t="shared" si="2"/>
        <v>12</v>
      </c>
      <c r="V15" s="21">
        <f t="shared" ref="V15:V42" si="5">AA15-B15-F15-J15-N15-R15</f>
        <v>240</v>
      </c>
      <c r="W15" s="22">
        <f t="shared" ref="W15:W42" si="6">AB15-C15-G15-K15-O15-S15</f>
        <v>1339</v>
      </c>
      <c r="X15" s="22">
        <f t="shared" ref="X15:X42" si="7">AC15-T15-H15-P15-L15-D15</f>
        <v>1589</v>
      </c>
      <c r="Y15" s="23">
        <f t="shared" si="3"/>
        <v>118.6706497386109</v>
      </c>
      <c r="AA15" s="4">
        <v>4451</v>
      </c>
      <c r="AB15" s="4">
        <v>7562</v>
      </c>
      <c r="AC15" s="4">
        <v>7746</v>
      </c>
      <c r="AD15" s="4">
        <f t="shared" ref="AD15:AD42" si="8">ROUND(AC15/1000,0)</f>
        <v>8</v>
      </c>
      <c r="AE15" s="4"/>
    </row>
    <row r="16" spans="1:31" ht="17.100000000000001" customHeight="1" x14ac:dyDescent="0.25">
      <c r="A16" s="20" t="s">
        <v>157</v>
      </c>
      <c r="B16" s="21">
        <v>230</v>
      </c>
      <c r="C16" s="22">
        <v>270</v>
      </c>
      <c r="D16" s="22">
        <v>223</v>
      </c>
      <c r="E16" s="23">
        <f t="shared" si="0"/>
        <v>82.592592592592595</v>
      </c>
      <c r="F16" s="21"/>
      <c r="G16" s="22"/>
      <c r="H16" s="22"/>
      <c r="I16" s="23"/>
      <c r="J16" s="21">
        <v>2849</v>
      </c>
      <c r="K16" s="22">
        <v>3094</v>
      </c>
      <c r="L16" s="22">
        <v>3324</v>
      </c>
      <c r="M16" s="23">
        <f t="shared" si="1"/>
        <v>107.43374272786038</v>
      </c>
      <c r="N16" s="21">
        <v>250</v>
      </c>
      <c r="O16" s="22">
        <v>100</v>
      </c>
      <c r="P16" s="22">
        <v>81</v>
      </c>
      <c r="Q16" s="23">
        <f t="shared" ref="Q16:Q42" si="9">P16/O16*100</f>
        <v>81</v>
      </c>
      <c r="R16" s="21">
        <v>10</v>
      </c>
      <c r="S16" s="22">
        <v>60</v>
      </c>
      <c r="T16" s="22">
        <v>59</v>
      </c>
      <c r="U16" s="23">
        <f t="shared" si="2"/>
        <v>98.333333333333329</v>
      </c>
      <c r="V16" s="21">
        <f t="shared" si="5"/>
        <v>80</v>
      </c>
      <c r="W16" s="22">
        <f t="shared" si="6"/>
        <v>80</v>
      </c>
      <c r="X16" s="22">
        <f t="shared" si="7"/>
        <v>45</v>
      </c>
      <c r="Y16" s="23">
        <f t="shared" si="3"/>
        <v>56.25</v>
      </c>
      <c r="AA16" s="4">
        <v>3419</v>
      </c>
      <c r="AB16" s="4">
        <v>3604</v>
      </c>
      <c r="AC16" s="4">
        <v>3732</v>
      </c>
      <c r="AD16" s="4">
        <f t="shared" si="8"/>
        <v>4</v>
      </c>
      <c r="AE16" s="4"/>
    </row>
    <row r="17" spans="1:31" ht="17.100000000000001" customHeight="1" x14ac:dyDescent="0.25">
      <c r="A17" s="20" t="s">
        <v>158</v>
      </c>
      <c r="B17" s="21">
        <v>121</v>
      </c>
      <c r="C17" s="22">
        <v>137</v>
      </c>
      <c r="D17" s="22">
        <v>173</v>
      </c>
      <c r="E17" s="23">
        <f t="shared" si="0"/>
        <v>126.27737226277371</v>
      </c>
      <c r="F17" s="21"/>
      <c r="G17" s="22"/>
      <c r="H17" s="22"/>
      <c r="I17" s="23"/>
      <c r="J17" s="21">
        <v>1209</v>
      </c>
      <c r="K17" s="22">
        <v>1241</v>
      </c>
      <c r="L17" s="22">
        <v>1104</v>
      </c>
      <c r="M17" s="23">
        <f t="shared" si="1"/>
        <v>88.960515713134569</v>
      </c>
      <c r="N17" s="21">
        <v>350</v>
      </c>
      <c r="O17" s="22">
        <v>350</v>
      </c>
      <c r="P17" s="22">
        <v>372</v>
      </c>
      <c r="Q17" s="23">
        <f t="shared" si="9"/>
        <v>106.28571428571429</v>
      </c>
      <c r="R17" s="21"/>
      <c r="S17" s="22">
        <v>6</v>
      </c>
      <c r="T17" s="22">
        <v>197</v>
      </c>
      <c r="U17" s="23">
        <f t="shared" si="2"/>
        <v>3283.3333333333335</v>
      </c>
      <c r="V17" s="21">
        <f t="shared" si="5"/>
        <v>8000</v>
      </c>
      <c r="W17" s="22">
        <f t="shared" si="6"/>
        <v>29</v>
      </c>
      <c r="X17" s="22">
        <f t="shared" si="7"/>
        <v>36</v>
      </c>
      <c r="Y17" s="23">
        <f t="shared" si="3"/>
        <v>124.13793103448276</v>
      </c>
      <c r="AA17" s="4">
        <v>9680</v>
      </c>
      <c r="AB17" s="4">
        <v>1763</v>
      </c>
      <c r="AC17" s="4">
        <v>1882</v>
      </c>
      <c r="AD17" s="4">
        <f t="shared" si="8"/>
        <v>2</v>
      </c>
      <c r="AE17" s="4"/>
    </row>
    <row r="18" spans="1:31" ht="17.100000000000001" customHeight="1" x14ac:dyDescent="0.25">
      <c r="A18" s="20" t="s">
        <v>159</v>
      </c>
      <c r="B18" s="21">
        <v>100</v>
      </c>
      <c r="C18" s="22">
        <v>102</v>
      </c>
      <c r="D18" s="22">
        <v>127</v>
      </c>
      <c r="E18" s="23">
        <f t="shared" si="0"/>
        <v>124.50980392156863</v>
      </c>
      <c r="F18" s="21"/>
      <c r="G18" s="22">
        <v>2812</v>
      </c>
      <c r="H18" s="22">
        <v>2812</v>
      </c>
      <c r="I18" s="23">
        <f t="shared" ref="I18:I19" si="10">H18/G18*100</f>
        <v>100</v>
      </c>
      <c r="J18" s="21">
        <v>3056</v>
      </c>
      <c r="K18" s="22">
        <v>3061</v>
      </c>
      <c r="L18" s="22">
        <v>3492</v>
      </c>
      <c r="M18" s="23">
        <f t="shared" si="1"/>
        <v>114.08036589349886</v>
      </c>
      <c r="N18" s="21">
        <v>100</v>
      </c>
      <c r="O18" s="22">
        <v>70</v>
      </c>
      <c r="P18" s="22">
        <v>27</v>
      </c>
      <c r="Q18" s="23">
        <f t="shared" si="9"/>
        <v>38.571428571428577</v>
      </c>
      <c r="R18" s="21"/>
      <c r="S18" s="22">
        <v>5</v>
      </c>
      <c r="T18" s="22">
        <v>5</v>
      </c>
      <c r="U18" s="23">
        <f t="shared" si="2"/>
        <v>100</v>
      </c>
      <c r="V18" s="21">
        <f t="shared" si="5"/>
        <v>160</v>
      </c>
      <c r="W18" s="22">
        <f t="shared" si="6"/>
        <v>396</v>
      </c>
      <c r="X18" s="22">
        <f t="shared" si="7"/>
        <v>396</v>
      </c>
      <c r="Y18" s="23">
        <f t="shared" si="3"/>
        <v>100</v>
      </c>
      <c r="AA18" s="4">
        <v>3416</v>
      </c>
      <c r="AB18" s="4">
        <v>6446</v>
      </c>
      <c r="AC18" s="4">
        <v>6859</v>
      </c>
      <c r="AD18" s="4">
        <f t="shared" si="8"/>
        <v>7</v>
      </c>
      <c r="AE18" s="4"/>
    </row>
    <row r="19" spans="1:31" ht="17.100000000000001" customHeight="1" x14ac:dyDescent="0.25">
      <c r="A19" s="20" t="s">
        <v>160</v>
      </c>
      <c r="B19" s="21">
        <v>90</v>
      </c>
      <c r="C19" s="22">
        <v>90</v>
      </c>
      <c r="D19" s="22">
        <v>80</v>
      </c>
      <c r="E19" s="23">
        <f t="shared" si="0"/>
        <v>88.888888888888886</v>
      </c>
      <c r="F19" s="21">
        <v>505</v>
      </c>
      <c r="G19" s="22">
        <v>505</v>
      </c>
      <c r="H19" s="22">
        <v>470</v>
      </c>
      <c r="I19" s="23">
        <f t="shared" si="10"/>
        <v>93.069306930693074</v>
      </c>
      <c r="J19" s="21">
        <v>2545</v>
      </c>
      <c r="K19" s="22">
        <v>2545</v>
      </c>
      <c r="L19" s="22">
        <v>2783</v>
      </c>
      <c r="M19" s="23">
        <f t="shared" si="1"/>
        <v>109.35166994106092</v>
      </c>
      <c r="N19" s="21">
        <v>7</v>
      </c>
      <c r="O19" s="22">
        <v>7</v>
      </c>
      <c r="P19" s="22">
        <v>1</v>
      </c>
      <c r="Q19" s="23">
        <f t="shared" si="9"/>
        <v>14.285714285714285</v>
      </c>
      <c r="R19" s="21">
        <v>8</v>
      </c>
      <c r="S19" s="22">
        <v>28</v>
      </c>
      <c r="T19" s="22">
        <v>50</v>
      </c>
      <c r="U19" s="23">
        <f t="shared" si="2"/>
        <v>178.57142857142858</v>
      </c>
      <c r="V19" s="21">
        <f t="shared" si="5"/>
        <v>35</v>
      </c>
      <c r="W19" s="22">
        <f t="shared" si="6"/>
        <v>126</v>
      </c>
      <c r="X19" s="22">
        <f t="shared" si="7"/>
        <v>154</v>
      </c>
      <c r="Y19" s="23">
        <f t="shared" si="3"/>
        <v>122.22222222222223</v>
      </c>
      <c r="AA19" s="4">
        <v>3190</v>
      </c>
      <c r="AB19" s="4">
        <v>3301</v>
      </c>
      <c r="AC19" s="4">
        <v>3538</v>
      </c>
      <c r="AD19" s="3">
        <f>ROUND(AC19/1000,0)</f>
        <v>4</v>
      </c>
      <c r="AE19" s="4"/>
    </row>
    <row r="20" spans="1:31" ht="17.100000000000001" customHeight="1" x14ac:dyDescent="0.25">
      <c r="A20" s="20" t="s">
        <v>161</v>
      </c>
      <c r="B20" s="21">
        <v>6250</v>
      </c>
      <c r="C20" s="22">
        <v>6418</v>
      </c>
      <c r="D20" s="22">
        <v>7368</v>
      </c>
      <c r="E20" s="23">
        <f t="shared" si="0"/>
        <v>114.80211904019943</v>
      </c>
      <c r="F20" s="21"/>
      <c r="G20" s="22"/>
      <c r="H20" s="22"/>
      <c r="I20" s="23"/>
      <c r="J20" s="21">
        <v>4401</v>
      </c>
      <c r="K20" s="22">
        <v>4401</v>
      </c>
      <c r="L20" s="22">
        <v>4425</v>
      </c>
      <c r="M20" s="23">
        <f t="shared" si="1"/>
        <v>100.5453306066803</v>
      </c>
      <c r="N20" s="21">
        <v>120</v>
      </c>
      <c r="O20" s="22">
        <v>120</v>
      </c>
      <c r="P20" s="22">
        <v>111</v>
      </c>
      <c r="Q20" s="23">
        <f t="shared" si="9"/>
        <v>92.5</v>
      </c>
      <c r="R20" s="21">
        <v>110</v>
      </c>
      <c r="S20" s="22">
        <v>125</v>
      </c>
      <c r="T20" s="22">
        <v>107</v>
      </c>
      <c r="U20" s="23">
        <f t="shared" si="2"/>
        <v>85.6</v>
      </c>
      <c r="V20" s="21">
        <f t="shared" si="5"/>
        <v>5130</v>
      </c>
      <c r="W20" s="22">
        <f t="shared" si="6"/>
        <v>1145</v>
      </c>
      <c r="X20" s="22">
        <f t="shared" si="7"/>
        <v>474</v>
      </c>
      <c r="Y20" s="23">
        <f t="shared" si="3"/>
        <v>41.397379912663759</v>
      </c>
      <c r="AA20" s="4">
        <v>16011</v>
      </c>
      <c r="AB20" s="4">
        <v>12209</v>
      </c>
      <c r="AC20" s="4">
        <v>12485</v>
      </c>
      <c r="AD20" s="4">
        <f>ROUND(AC20/1000,0)</f>
        <v>12</v>
      </c>
      <c r="AE20" s="4"/>
    </row>
    <row r="21" spans="1:31" ht="17.100000000000001" customHeight="1" x14ac:dyDescent="0.25">
      <c r="A21" s="20" t="s">
        <v>162</v>
      </c>
      <c r="B21" s="21">
        <v>4477</v>
      </c>
      <c r="C21" s="22">
        <v>4577</v>
      </c>
      <c r="D21" s="22">
        <v>5035</v>
      </c>
      <c r="E21" s="23">
        <f t="shared" si="0"/>
        <v>110.00655451168888</v>
      </c>
      <c r="F21" s="21"/>
      <c r="G21" s="22"/>
      <c r="H21" s="22"/>
      <c r="I21" s="23"/>
      <c r="J21" s="21">
        <v>1610</v>
      </c>
      <c r="K21" s="22">
        <v>2163</v>
      </c>
      <c r="L21" s="22">
        <v>2301</v>
      </c>
      <c r="M21" s="23">
        <f t="shared" si="1"/>
        <v>106.38002773925103</v>
      </c>
      <c r="N21" s="21">
        <v>450</v>
      </c>
      <c r="O21" s="22">
        <v>910</v>
      </c>
      <c r="P21" s="22">
        <v>1195</v>
      </c>
      <c r="Q21" s="23">
        <f t="shared" si="9"/>
        <v>131.31868131868131</v>
      </c>
      <c r="R21" s="21">
        <v>100</v>
      </c>
      <c r="S21" s="22">
        <v>198</v>
      </c>
      <c r="T21" s="22">
        <v>342</v>
      </c>
      <c r="U21" s="23">
        <f t="shared" si="2"/>
        <v>172.72727272727272</v>
      </c>
      <c r="V21" s="21">
        <f t="shared" si="5"/>
        <v>3330</v>
      </c>
      <c r="W21" s="22">
        <f t="shared" si="6"/>
        <v>1648</v>
      </c>
      <c r="X21" s="22">
        <f t="shared" si="7"/>
        <v>1706</v>
      </c>
      <c r="Y21" s="23">
        <f t="shared" si="3"/>
        <v>103.51941747572815</v>
      </c>
      <c r="AA21" s="4">
        <v>9967</v>
      </c>
      <c r="AB21" s="4">
        <v>9496</v>
      </c>
      <c r="AC21" s="4">
        <v>10579</v>
      </c>
      <c r="AD21" s="4">
        <f t="shared" ref="AD21:AD30" si="11">ROUND(AC21/1000,0)</f>
        <v>11</v>
      </c>
      <c r="AE21" s="4"/>
    </row>
    <row r="22" spans="1:31" ht="17.100000000000001" customHeight="1" x14ac:dyDescent="0.25">
      <c r="A22" s="20" t="s">
        <v>163</v>
      </c>
      <c r="B22" s="21"/>
      <c r="C22" s="22">
        <v>11</v>
      </c>
      <c r="D22" s="22">
        <v>21</v>
      </c>
      <c r="E22" s="23">
        <f t="shared" si="0"/>
        <v>190.90909090909091</v>
      </c>
      <c r="F22" s="21"/>
      <c r="G22" s="22"/>
      <c r="H22" s="22"/>
      <c r="I22" s="23"/>
      <c r="J22" s="21">
        <v>191</v>
      </c>
      <c r="K22" s="22">
        <v>195</v>
      </c>
      <c r="L22" s="22">
        <v>129</v>
      </c>
      <c r="M22" s="23">
        <f t="shared" si="1"/>
        <v>66.153846153846146</v>
      </c>
      <c r="N22" s="21">
        <v>15</v>
      </c>
      <c r="O22" s="22">
        <v>15</v>
      </c>
      <c r="P22" s="22">
        <v>2</v>
      </c>
      <c r="Q22" s="23">
        <f t="shared" si="9"/>
        <v>13.333333333333334</v>
      </c>
      <c r="R22" s="21">
        <v>100</v>
      </c>
      <c r="S22" s="22">
        <v>223</v>
      </c>
      <c r="T22" s="22">
        <v>208</v>
      </c>
      <c r="U22" s="23">
        <f t="shared" si="2"/>
        <v>93.27354260089686</v>
      </c>
      <c r="V22" s="21">
        <f t="shared" si="5"/>
        <v>0</v>
      </c>
      <c r="W22" s="22">
        <f t="shared" si="6"/>
        <v>6</v>
      </c>
      <c r="X22" s="22">
        <f t="shared" si="7"/>
        <v>10</v>
      </c>
      <c r="Y22" s="23">
        <f t="shared" si="3"/>
        <v>166.66666666666669</v>
      </c>
      <c r="AA22" s="4">
        <v>306</v>
      </c>
      <c r="AB22" s="4">
        <v>450</v>
      </c>
      <c r="AC22" s="4">
        <v>370</v>
      </c>
      <c r="AD22" s="4">
        <f t="shared" si="11"/>
        <v>0</v>
      </c>
      <c r="AE22" s="4"/>
    </row>
    <row r="23" spans="1:31" ht="17.100000000000001" customHeight="1" x14ac:dyDescent="0.25">
      <c r="A23" s="20" t="s">
        <v>164</v>
      </c>
      <c r="B23" s="21">
        <v>210</v>
      </c>
      <c r="C23" s="22">
        <v>479</v>
      </c>
      <c r="D23" s="22">
        <v>401</v>
      </c>
      <c r="E23" s="23">
        <f t="shared" si="0"/>
        <v>83.716075156576196</v>
      </c>
      <c r="F23" s="21">
        <v>209</v>
      </c>
      <c r="G23" s="22">
        <v>209</v>
      </c>
      <c r="H23" s="22"/>
      <c r="I23" s="23">
        <f t="shared" ref="I23" si="12">H23/G23*100</f>
        <v>0</v>
      </c>
      <c r="J23" s="21">
        <v>1100</v>
      </c>
      <c r="K23" s="22">
        <v>1100</v>
      </c>
      <c r="L23" s="22">
        <v>1368</v>
      </c>
      <c r="M23" s="23">
        <f t="shared" si="1"/>
        <v>124.36363636363636</v>
      </c>
      <c r="N23" s="21">
        <v>100</v>
      </c>
      <c r="O23" s="22">
        <v>100</v>
      </c>
      <c r="P23" s="22">
        <v>5</v>
      </c>
      <c r="Q23" s="23">
        <f t="shared" si="9"/>
        <v>5</v>
      </c>
      <c r="R23" s="21">
        <v>50</v>
      </c>
      <c r="S23" s="22">
        <v>50</v>
      </c>
      <c r="T23" s="22">
        <v>174</v>
      </c>
      <c r="U23" s="23">
        <f>T23/S23*100</f>
        <v>348</v>
      </c>
      <c r="V23" s="21">
        <f t="shared" si="5"/>
        <v>0</v>
      </c>
      <c r="W23" s="22">
        <f t="shared" si="6"/>
        <v>75</v>
      </c>
      <c r="X23" s="22">
        <f t="shared" si="7"/>
        <v>286</v>
      </c>
      <c r="Y23" s="23">
        <f t="shared" si="3"/>
        <v>381.33333333333337</v>
      </c>
      <c r="AA23" s="4">
        <v>1669</v>
      </c>
      <c r="AB23" s="4">
        <v>2013</v>
      </c>
      <c r="AC23" s="4">
        <v>2234</v>
      </c>
      <c r="AD23" s="4">
        <f t="shared" si="11"/>
        <v>2</v>
      </c>
      <c r="AE23" s="4"/>
    </row>
    <row r="24" spans="1:31" ht="17.100000000000001" customHeight="1" x14ac:dyDescent="0.25">
      <c r="A24" s="20" t="s">
        <v>165</v>
      </c>
      <c r="B24" s="21">
        <v>359</v>
      </c>
      <c r="C24" s="22">
        <v>359</v>
      </c>
      <c r="D24" s="22">
        <v>307</v>
      </c>
      <c r="E24" s="23">
        <f t="shared" si="0"/>
        <v>85.51532033426183</v>
      </c>
      <c r="F24" s="21"/>
      <c r="G24" s="22"/>
      <c r="H24" s="22"/>
      <c r="I24" s="23"/>
      <c r="J24" s="21">
        <v>1325</v>
      </c>
      <c r="K24" s="22">
        <v>1375</v>
      </c>
      <c r="L24" s="22">
        <v>1375</v>
      </c>
      <c r="M24" s="23">
        <f t="shared" si="1"/>
        <v>100</v>
      </c>
      <c r="N24" s="21">
        <v>100</v>
      </c>
      <c r="O24" s="22">
        <v>100</v>
      </c>
      <c r="P24" s="22">
        <v>3</v>
      </c>
      <c r="Q24" s="23">
        <f t="shared" si="9"/>
        <v>3</v>
      </c>
      <c r="R24" s="21">
        <v>50</v>
      </c>
      <c r="S24" s="22">
        <v>105</v>
      </c>
      <c r="T24" s="22">
        <v>105</v>
      </c>
      <c r="U24" s="23">
        <f>T24/S24*100</f>
        <v>100</v>
      </c>
      <c r="V24" s="21">
        <f t="shared" si="5"/>
        <v>33</v>
      </c>
      <c r="W24" s="22">
        <f t="shared" si="6"/>
        <v>53</v>
      </c>
      <c r="X24" s="22">
        <f t="shared" si="7"/>
        <v>35</v>
      </c>
      <c r="Y24" s="23">
        <f t="shared" si="3"/>
        <v>66.037735849056602</v>
      </c>
      <c r="AA24" s="4">
        <v>1867</v>
      </c>
      <c r="AB24" s="4">
        <v>1992</v>
      </c>
      <c r="AC24" s="4">
        <v>1825</v>
      </c>
      <c r="AD24" s="4">
        <f t="shared" si="11"/>
        <v>2</v>
      </c>
      <c r="AE24" s="4"/>
    </row>
    <row r="25" spans="1:31" ht="17.100000000000001" customHeight="1" x14ac:dyDescent="0.25">
      <c r="A25" s="20" t="s">
        <v>166</v>
      </c>
      <c r="B25" s="21">
        <v>100</v>
      </c>
      <c r="C25" s="22">
        <v>185</v>
      </c>
      <c r="D25" s="22">
        <v>187</v>
      </c>
      <c r="E25" s="23">
        <f t="shared" si="0"/>
        <v>101.08108108108107</v>
      </c>
      <c r="F25" s="21"/>
      <c r="G25" s="22"/>
      <c r="H25" s="22"/>
      <c r="I25" s="23"/>
      <c r="J25" s="21">
        <v>240</v>
      </c>
      <c r="K25" s="22">
        <v>548</v>
      </c>
      <c r="L25" s="22">
        <v>526</v>
      </c>
      <c r="M25" s="23">
        <f t="shared" si="1"/>
        <v>95.985401459854018</v>
      </c>
      <c r="N25" s="21">
        <v>40</v>
      </c>
      <c r="O25" s="22">
        <v>40</v>
      </c>
      <c r="P25" s="22">
        <v>3</v>
      </c>
      <c r="Q25" s="23">
        <f t="shared" si="9"/>
        <v>7.5</v>
      </c>
      <c r="R25" s="21"/>
      <c r="S25" s="22">
        <v>50</v>
      </c>
      <c r="T25" s="22">
        <v>56</v>
      </c>
      <c r="U25" s="23">
        <f>T25/S25*100</f>
        <v>112.00000000000001</v>
      </c>
      <c r="V25" s="21">
        <f t="shared" si="5"/>
        <v>4</v>
      </c>
      <c r="W25" s="22">
        <f t="shared" si="6"/>
        <v>173</v>
      </c>
      <c r="X25" s="22">
        <f t="shared" si="7"/>
        <v>1473</v>
      </c>
      <c r="Y25" s="23">
        <f t="shared" si="3"/>
        <v>851.44508670520236</v>
      </c>
      <c r="AA25" s="4">
        <v>384</v>
      </c>
      <c r="AB25" s="4">
        <v>996</v>
      </c>
      <c r="AC25" s="4">
        <v>2245</v>
      </c>
      <c r="AD25" s="4">
        <f t="shared" si="11"/>
        <v>2</v>
      </c>
      <c r="AE25" s="4"/>
    </row>
    <row r="26" spans="1:31" ht="17.100000000000001" customHeight="1" x14ac:dyDescent="0.25">
      <c r="A26" s="20" t="s">
        <v>167</v>
      </c>
      <c r="B26" s="21">
        <v>5055</v>
      </c>
      <c r="C26" s="22">
        <v>5005</v>
      </c>
      <c r="D26" s="22">
        <v>4346</v>
      </c>
      <c r="E26" s="23">
        <f t="shared" si="0"/>
        <v>86.833166833166828</v>
      </c>
      <c r="F26" s="21"/>
      <c r="G26" s="22"/>
      <c r="H26" s="22"/>
      <c r="I26" s="23"/>
      <c r="J26" s="21">
        <v>3607</v>
      </c>
      <c r="K26" s="22">
        <v>3825</v>
      </c>
      <c r="L26" s="22">
        <v>4108</v>
      </c>
      <c r="M26" s="23">
        <f t="shared" si="1"/>
        <v>107.3986928104575</v>
      </c>
      <c r="N26" s="21">
        <v>1500</v>
      </c>
      <c r="O26" s="22">
        <v>336</v>
      </c>
      <c r="P26" s="22">
        <v>341</v>
      </c>
      <c r="Q26" s="23">
        <f t="shared" si="9"/>
        <v>101.48809523809523</v>
      </c>
      <c r="R26" s="21">
        <v>170</v>
      </c>
      <c r="S26" s="22">
        <v>190</v>
      </c>
      <c r="T26" s="22">
        <v>159</v>
      </c>
      <c r="U26" s="23">
        <f>T26/S26*100</f>
        <v>83.684210526315795</v>
      </c>
      <c r="V26" s="21">
        <f t="shared" si="5"/>
        <v>100</v>
      </c>
      <c r="W26" s="22">
        <f t="shared" si="6"/>
        <v>808</v>
      </c>
      <c r="X26" s="22">
        <f t="shared" si="7"/>
        <v>827</v>
      </c>
      <c r="Y26" s="23">
        <f t="shared" si="3"/>
        <v>102.35148514851484</v>
      </c>
      <c r="AA26" s="1">
        <v>10432</v>
      </c>
      <c r="AB26" s="4">
        <v>10164</v>
      </c>
      <c r="AC26" s="4">
        <v>9781</v>
      </c>
      <c r="AD26" s="4">
        <f t="shared" si="11"/>
        <v>10</v>
      </c>
      <c r="AE26" s="4"/>
    </row>
    <row r="27" spans="1:31" ht="17.100000000000001" customHeight="1" x14ac:dyDescent="0.25">
      <c r="A27" s="20" t="s">
        <v>168</v>
      </c>
      <c r="B27" s="21">
        <v>20</v>
      </c>
      <c r="C27" s="22">
        <v>20</v>
      </c>
      <c r="D27" s="22">
        <v>10</v>
      </c>
      <c r="E27" s="23">
        <f t="shared" si="0"/>
        <v>50</v>
      </c>
      <c r="F27" s="21"/>
      <c r="G27" s="22"/>
      <c r="H27" s="22"/>
      <c r="I27" s="23"/>
      <c r="J27" s="21">
        <v>558</v>
      </c>
      <c r="K27" s="22">
        <v>558</v>
      </c>
      <c r="L27" s="22">
        <v>717</v>
      </c>
      <c r="M27" s="23">
        <f t="shared" si="1"/>
        <v>128.49462365591398</v>
      </c>
      <c r="N27" s="21">
        <v>20</v>
      </c>
      <c r="O27" s="22">
        <v>20</v>
      </c>
      <c r="P27" s="22">
        <v>2</v>
      </c>
      <c r="Q27" s="23">
        <f t="shared" si="9"/>
        <v>10</v>
      </c>
      <c r="R27" s="21">
        <v>30</v>
      </c>
      <c r="S27" s="22">
        <v>30</v>
      </c>
      <c r="T27" s="22">
        <v>14</v>
      </c>
      <c r="U27" s="23">
        <f t="shared" ref="U27:U38" si="13">T27/S27*100</f>
        <v>46.666666666666664</v>
      </c>
      <c r="V27" s="21">
        <f t="shared" si="5"/>
        <v>4</v>
      </c>
      <c r="W27" s="22">
        <f t="shared" si="6"/>
        <v>4</v>
      </c>
      <c r="X27" s="22">
        <f t="shared" si="7"/>
        <v>27</v>
      </c>
      <c r="Y27" s="23">
        <f t="shared" si="3"/>
        <v>675</v>
      </c>
      <c r="AA27" s="1">
        <v>632</v>
      </c>
      <c r="AB27" s="4">
        <v>632</v>
      </c>
      <c r="AC27" s="4">
        <v>770</v>
      </c>
      <c r="AD27" s="4">
        <f t="shared" si="11"/>
        <v>1</v>
      </c>
      <c r="AE27" s="4"/>
    </row>
    <row r="28" spans="1:31" ht="17.100000000000001" customHeight="1" x14ac:dyDescent="0.25">
      <c r="A28" s="20" t="s">
        <v>169</v>
      </c>
      <c r="B28" s="21">
        <v>4680</v>
      </c>
      <c r="C28" s="22">
        <v>5252</v>
      </c>
      <c r="D28" s="22">
        <v>5538</v>
      </c>
      <c r="E28" s="23">
        <f t="shared" si="0"/>
        <v>105.44554455445545</v>
      </c>
      <c r="F28" s="21"/>
      <c r="G28" s="22">
        <v>535</v>
      </c>
      <c r="H28" s="22">
        <v>535</v>
      </c>
      <c r="I28" s="23">
        <f t="shared" ref="I28" si="14">H28/G28*100</f>
        <v>100</v>
      </c>
      <c r="J28" s="21">
        <v>2793</v>
      </c>
      <c r="K28" s="22">
        <v>3355</v>
      </c>
      <c r="L28" s="22">
        <v>3436</v>
      </c>
      <c r="M28" s="23">
        <f t="shared" si="1"/>
        <v>102.41430700447094</v>
      </c>
      <c r="N28" s="21">
        <v>70</v>
      </c>
      <c r="O28" s="22">
        <v>70</v>
      </c>
      <c r="P28" s="22">
        <v>18</v>
      </c>
      <c r="Q28" s="23">
        <f t="shared" si="9"/>
        <v>25.714285714285712</v>
      </c>
      <c r="R28" s="21">
        <v>65</v>
      </c>
      <c r="S28" s="22">
        <v>79</v>
      </c>
      <c r="T28" s="22">
        <v>49</v>
      </c>
      <c r="U28" s="23">
        <f t="shared" si="13"/>
        <v>62.025316455696199</v>
      </c>
      <c r="V28" s="21">
        <f t="shared" si="5"/>
        <v>215</v>
      </c>
      <c r="W28" s="22">
        <f t="shared" si="6"/>
        <v>3082</v>
      </c>
      <c r="X28" s="22">
        <f t="shared" si="7"/>
        <v>2957</v>
      </c>
      <c r="Y28" s="23">
        <f t="shared" si="3"/>
        <v>95.944192083062944</v>
      </c>
      <c r="AA28" s="1">
        <v>7823</v>
      </c>
      <c r="AB28" s="4">
        <v>12373</v>
      </c>
      <c r="AC28" s="4">
        <v>12533</v>
      </c>
      <c r="AD28" s="4">
        <f t="shared" si="11"/>
        <v>13</v>
      </c>
      <c r="AE28" s="4"/>
    </row>
    <row r="29" spans="1:31" ht="17.100000000000001" customHeight="1" x14ac:dyDescent="0.25">
      <c r="A29" s="20" t="s">
        <v>170</v>
      </c>
      <c r="B29" s="21">
        <v>170</v>
      </c>
      <c r="C29" s="22">
        <v>368</v>
      </c>
      <c r="D29" s="22">
        <v>394</v>
      </c>
      <c r="E29" s="23">
        <f t="shared" si="0"/>
        <v>107.06521739130434</v>
      </c>
      <c r="F29" s="21"/>
      <c r="G29" s="22"/>
      <c r="H29" s="22"/>
      <c r="I29" s="23"/>
      <c r="J29" s="21">
        <v>2806</v>
      </c>
      <c r="K29" s="22">
        <v>2806</v>
      </c>
      <c r="L29" s="22">
        <v>2778</v>
      </c>
      <c r="M29" s="23">
        <f t="shared" si="1"/>
        <v>99.002138275124736</v>
      </c>
      <c r="N29" s="21">
        <v>150</v>
      </c>
      <c r="O29" s="22">
        <v>150</v>
      </c>
      <c r="P29" s="22">
        <v>11</v>
      </c>
      <c r="Q29" s="23">
        <f t="shared" si="9"/>
        <v>7.333333333333333</v>
      </c>
      <c r="R29" s="21">
        <v>50</v>
      </c>
      <c r="S29" s="22">
        <v>50</v>
      </c>
      <c r="T29" s="22">
        <v>34</v>
      </c>
      <c r="U29" s="23">
        <f t="shared" si="13"/>
        <v>68</v>
      </c>
      <c r="V29" s="21">
        <f t="shared" si="5"/>
        <v>20</v>
      </c>
      <c r="W29" s="22">
        <f t="shared" si="6"/>
        <v>180</v>
      </c>
      <c r="X29" s="22">
        <f t="shared" si="7"/>
        <v>177</v>
      </c>
      <c r="Y29" s="23">
        <f t="shared" si="3"/>
        <v>98.333333333333329</v>
      </c>
      <c r="AA29" s="1">
        <v>3196</v>
      </c>
      <c r="AB29" s="4">
        <v>3554</v>
      </c>
      <c r="AC29" s="4">
        <v>3394</v>
      </c>
      <c r="AD29" s="4">
        <f t="shared" si="11"/>
        <v>3</v>
      </c>
      <c r="AE29" s="4"/>
    </row>
    <row r="30" spans="1:31" ht="17.100000000000001" customHeight="1" x14ac:dyDescent="0.25">
      <c r="A30" s="20" t="s">
        <v>171</v>
      </c>
      <c r="B30" s="21">
        <v>500</v>
      </c>
      <c r="C30" s="22">
        <v>501</v>
      </c>
      <c r="D30" s="22">
        <v>128</v>
      </c>
      <c r="E30" s="23">
        <f t="shared" si="0"/>
        <v>25.548902195608779</v>
      </c>
      <c r="F30" s="21"/>
      <c r="G30" s="22">
        <v>4072</v>
      </c>
      <c r="H30" s="22">
        <v>4039</v>
      </c>
      <c r="I30" s="23">
        <f t="shared" ref="I30" si="15">H30/G30*100</f>
        <v>99.189587426326128</v>
      </c>
      <c r="J30" s="21">
        <v>7990</v>
      </c>
      <c r="K30" s="22">
        <v>7918</v>
      </c>
      <c r="L30" s="22">
        <v>9415</v>
      </c>
      <c r="M30" s="23">
        <f t="shared" si="1"/>
        <v>118.90628946703714</v>
      </c>
      <c r="N30" s="21">
        <v>300</v>
      </c>
      <c r="O30" s="22">
        <v>300</v>
      </c>
      <c r="P30" s="22">
        <v>288</v>
      </c>
      <c r="Q30" s="23">
        <f t="shared" si="9"/>
        <v>96</v>
      </c>
      <c r="R30" s="21">
        <v>100</v>
      </c>
      <c r="S30" s="22">
        <v>214</v>
      </c>
      <c r="T30" s="22">
        <v>302</v>
      </c>
      <c r="U30" s="23">
        <f t="shared" si="13"/>
        <v>141.12149532710282</v>
      </c>
      <c r="V30" s="21">
        <f t="shared" si="5"/>
        <v>20</v>
      </c>
      <c r="W30" s="22">
        <f t="shared" si="6"/>
        <v>38</v>
      </c>
      <c r="X30" s="22">
        <f t="shared" si="7"/>
        <v>118</v>
      </c>
      <c r="Y30" s="23">
        <f t="shared" si="3"/>
        <v>310.5263157894737</v>
      </c>
      <c r="AA30" s="1">
        <v>8910</v>
      </c>
      <c r="AB30" s="4">
        <v>13043</v>
      </c>
      <c r="AC30" s="4">
        <v>14290</v>
      </c>
      <c r="AD30" s="4">
        <f t="shared" si="11"/>
        <v>14</v>
      </c>
      <c r="AE30" s="4"/>
    </row>
    <row r="31" spans="1:31" ht="17.100000000000001" customHeight="1" x14ac:dyDescent="0.25">
      <c r="A31" s="20" t="s">
        <v>172</v>
      </c>
      <c r="B31" s="21">
        <v>2160</v>
      </c>
      <c r="C31" s="22">
        <v>2160</v>
      </c>
      <c r="D31" s="22">
        <v>2026</v>
      </c>
      <c r="E31" s="23">
        <f t="shared" si="0"/>
        <v>93.796296296296305</v>
      </c>
      <c r="F31" s="21"/>
      <c r="G31" s="22"/>
      <c r="H31" s="22"/>
      <c r="I31" s="23"/>
      <c r="J31" s="21">
        <v>4725</v>
      </c>
      <c r="K31" s="22">
        <v>4918</v>
      </c>
      <c r="L31" s="22">
        <v>5194</v>
      </c>
      <c r="M31" s="23">
        <f t="shared" si="1"/>
        <v>105.61203741358275</v>
      </c>
      <c r="N31" s="21">
        <v>150</v>
      </c>
      <c r="O31" s="22">
        <v>100</v>
      </c>
      <c r="P31" s="22">
        <v>54</v>
      </c>
      <c r="Q31" s="23">
        <f t="shared" si="9"/>
        <v>54</v>
      </c>
      <c r="R31" s="21">
        <v>8</v>
      </c>
      <c r="S31" s="22">
        <v>29</v>
      </c>
      <c r="T31" s="22">
        <v>23</v>
      </c>
      <c r="U31" s="23">
        <f t="shared" si="13"/>
        <v>79.310344827586206</v>
      </c>
      <c r="V31" s="21">
        <f t="shared" si="5"/>
        <v>2</v>
      </c>
      <c r="W31" s="22">
        <f t="shared" si="6"/>
        <v>1734</v>
      </c>
      <c r="X31" s="22">
        <f t="shared" si="7"/>
        <v>1683</v>
      </c>
      <c r="Y31" s="23">
        <f t="shared" si="3"/>
        <v>97.058823529411768</v>
      </c>
      <c r="AA31" s="4">
        <v>7045</v>
      </c>
      <c r="AB31" s="4">
        <v>8941</v>
      </c>
      <c r="AC31" s="4">
        <v>8980</v>
      </c>
      <c r="AD31" s="4">
        <f t="shared" si="8"/>
        <v>9</v>
      </c>
      <c r="AE31" s="4"/>
    </row>
    <row r="32" spans="1:31" ht="17.100000000000001" customHeight="1" x14ac:dyDescent="0.25">
      <c r="A32" s="20" t="s">
        <v>173</v>
      </c>
      <c r="B32" s="21">
        <v>1075</v>
      </c>
      <c r="C32" s="22">
        <v>1240</v>
      </c>
      <c r="D32" s="22">
        <v>1138</v>
      </c>
      <c r="E32" s="23">
        <f t="shared" si="0"/>
        <v>91.774193548387089</v>
      </c>
      <c r="F32" s="21"/>
      <c r="G32" s="22"/>
      <c r="H32" s="22"/>
      <c r="I32" s="23"/>
      <c r="J32" s="21">
        <v>10015</v>
      </c>
      <c r="K32" s="22">
        <v>10117</v>
      </c>
      <c r="L32" s="22">
        <v>10161</v>
      </c>
      <c r="M32" s="23">
        <f t="shared" si="1"/>
        <v>100.43491153504003</v>
      </c>
      <c r="N32" s="21">
        <v>200</v>
      </c>
      <c r="O32" s="22">
        <v>50</v>
      </c>
      <c r="P32" s="22">
        <v>25</v>
      </c>
      <c r="Q32" s="23">
        <f t="shared" si="9"/>
        <v>50</v>
      </c>
      <c r="R32" s="21">
        <v>140</v>
      </c>
      <c r="S32" s="22">
        <v>110</v>
      </c>
      <c r="T32" s="22">
        <v>109</v>
      </c>
      <c r="U32" s="23">
        <f t="shared" si="13"/>
        <v>99.090909090909093</v>
      </c>
      <c r="V32" s="21">
        <f t="shared" si="5"/>
        <v>47</v>
      </c>
      <c r="W32" s="22">
        <f t="shared" si="6"/>
        <v>846</v>
      </c>
      <c r="X32" s="22">
        <f t="shared" si="7"/>
        <v>1067</v>
      </c>
      <c r="Y32" s="23">
        <f t="shared" si="3"/>
        <v>126.12293144208037</v>
      </c>
      <c r="AA32" s="4">
        <v>11477</v>
      </c>
      <c r="AB32" s="4">
        <v>12363</v>
      </c>
      <c r="AC32" s="4">
        <v>12500</v>
      </c>
      <c r="AD32" s="4">
        <f t="shared" si="8"/>
        <v>13</v>
      </c>
      <c r="AE32" s="4"/>
    </row>
    <row r="33" spans="1:31" ht="17.100000000000001" customHeight="1" x14ac:dyDescent="0.25">
      <c r="A33" s="20" t="s">
        <v>174</v>
      </c>
      <c r="B33" s="21">
        <v>150</v>
      </c>
      <c r="C33" s="22">
        <v>150</v>
      </c>
      <c r="D33" s="22">
        <v>131</v>
      </c>
      <c r="E33" s="23">
        <f t="shared" ref="E33:E42" si="16">D33/C33*100</f>
        <v>87.333333333333329</v>
      </c>
      <c r="F33" s="21"/>
      <c r="G33" s="22"/>
      <c r="H33" s="22"/>
      <c r="I33" s="23"/>
      <c r="J33" s="21">
        <v>1857</v>
      </c>
      <c r="K33" s="22">
        <v>1857</v>
      </c>
      <c r="L33" s="22">
        <v>1996</v>
      </c>
      <c r="M33" s="23">
        <f t="shared" si="1"/>
        <v>107.48519116855142</v>
      </c>
      <c r="N33" s="21">
        <v>50</v>
      </c>
      <c r="O33" s="22">
        <v>50</v>
      </c>
      <c r="P33" s="22">
        <v>9</v>
      </c>
      <c r="Q33" s="23">
        <f t="shared" si="9"/>
        <v>18</v>
      </c>
      <c r="R33" s="21">
        <v>100</v>
      </c>
      <c r="S33" s="22">
        <v>100</v>
      </c>
      <c r="T33" s="22">
        <v>113</v>
      </c>
      <c r="U33" s="23">
        <f t="shared" si="13"/>
        <v>112.99999999999999</v>
      </c>
      <c r="V33" s="21">
        <f t="shared" si="5"/>
        <v>180</v>
      </c>
      <c r="W33" s="22">
        <f t="shared" si="6"/>
        <v>385</v>
      </c>
      <c r="X33" s="22">
        <f t="shared" si="7"/>
        <v>505</v>
      </c>
      <c r="Y33" s="23">
        <f t="shared" si="3"/>
        <v>131.16883116883119</v>
      </c>
      <c r="AA33" s="4">
        <v>2337</v>
      </c>
      <c r="AB33" s="4">
        <v>2542</v>
      </c>
      <c r="AC33" s="4">
        <v>2754</v>
      </c>
      <c r="AD33" s="4">
        <f t="shared" si="8"/>
        <v>3</v>
      </c>
      <c r="AE33" s="4"/>
    </row>
    <row r="34" spans="1:31" ht="17.100000000000001" customHeight="1" x14ac:dyDescent="0.25">
      <c r="A34" s="20" t="s">
        <v>175</v>
      </c>
      <c r="B34" s="21">
        <v>30</v>
      </c>
      <c r="C34" s="22">
        <v>30</v>
      </c>
      <c r="D34" s="22">
        <v>30</v>
      </c>
      <c r="E34" s="23">
        <f t="shared" si="16"/>
        <v>100</v>
      </c>
      <c r="F34" s="21"/>
      <c r="G34" s="22"/>
      <c r="H34" s="22"/>
      <c r="I34" s="23"/>
      <c r="J34" s="21">
        <v>2262</v>
      </c>
      <c r="K34" s="22">
        <v>2262</v>
      </c>
      <c r="L34" s="22">
        <v>2307</v>
      </c>
      <c r="M34" s="23">
        <f t="shared" si="1"/>
        <v>101.98938992042441</v>
      </c>
      <c r="N34" s="21">
        <v>20</v>
      </c>
      <c r="O34" s="22">
        <v>20</v>
      </c>
      <c r="P34" s="22">
        <v>2</v>
      </c>
      <c r="Q34" s="23">
        <f t="shared" si="9"/>
        <v>10</v>
      </c>
      <c r="R34" s="21"/>
      <c r="S34" s="22"/>
      <c r="T34" s="22">
        <v>5</v>
      </c>
      <c r="U34" s="23"/>
      <c r="V34" s="21">
        <f t="shared" si="5"/>
        <v>30</v>
      </c>
      <c r="W34" s="22">
        <f t="shared" si="6"/>
        <v>236</v>
      </c>
      <c r="X34" s="22">
        <f t="shared" si="7"/>
        <v>269</v>
      </c>
      <c r="Y34" s="23">
        <f t="shared" si="3"/>
        <v>113.98305084745763</v>
      </c>
      <c r="AA34" s="4">
        <v>2342</v>
      </c>
      <c r="AB34" s="4">
        <v>2548</v>
      </c>
      <c r="AC34" s="4">
        <v>2613</v>
      </c>
      <c r="AD34" s="4">
        <f t="shared" si="8"/>
        <v>3</v>
      </c>
      <c r="AE34" s="4"/>
    </row>
    <row r="35" spans="1:31" ht="17.100000000000001" customHeight="1" x14ac:dyDescent="0.25">
      <c r="A35" s="20" t="s">
        <v>176</v>
      </c>
      <c r="B35" s="21">
        <v>54</v>
      </c>
      <c r="C35" s="22">
        <v>57</v>
      </c>
      <c r="D35" s="22">
        <v>33</v>
      </c>
      <c r="E35" s="23">
        <f t="shared" si="16"/>
        <v>57.894736842105267</v>
      </c>
      <c r="F35" s="21"/>
      <c r="G35" s="22"/>
      <c r="H35" s="22"/>
      <c r="I35" s="23"/>
      <c r="J35" s="21">
        <v>1130</v>
      </c>
      <c r="K35" s="22">
        <v>1130</v>
      </c>
      <c r="L35" s="22">
        <v>1054</v>
      </c>
      <c r="M35" s="23">
        <f t="shared" si="1"/>
        <v>93.274336283185846</v>
      </c>
      <c r="N35" s="21">
        <v>25</v>
      </c>
      <c r="O35" s="22">
        <v>25</v>
      </c>
      <c r="P35" s="22">
        <v>2</v>
      </c>
      <c r="Q35" s="23">
        <f t="shared" si="9"/>
        <v>8</v>
      </c>
      <c r="R35" s="21"/>
      <c r="S35" s="22">
        <v>83</v>
      </c>
      <c r="T35" s="22">
        <v>24</v>
      </c>
      <c r="U35" s="23">
        <f t="shared" si="13"/>
        <v>28.915662650602407</v>
      </c>
      <c r="V35" s="21">
        <f t="shared" si="5"/>
        <v>60</v>
      </c>
      <c r="W35" s="22">
        <f t="shared" si="6"/>
        <v>776</v>
      </c>
      <c r="X35" s="22">
        <f t="shared" si="7"/>
        <v>634</v>
      </c>
      <c r="Y35" s="23">
        <f t="shared" si="3"/>
        <v>81.701030927835049</v>
      </c>
      <c r="AA35" s="4">
        <v>1269</v>
      </c>
      <c r="AB35" s="4">
        <v>2071</v>
      </c>
      <c r="AC35" s="4">
        <v>1747</v>
      </c>
      <c r="AD35" s="4">
        <f t="shared" si="8"/>
        <v>2</v>
      </c>
      <c r="AE35" s="4"/>
    </row>
    <row r="36" spans="1:31" ht="17.100000000000001" customHeight="1" x14ac:dyDescent="0.25">
      <c r="A36" s="20" t="s">
        <v>177</v>
      </c>
      <c r="B36" s="21">
        <v>3215</v>
      </c>
      <c r="C36" s="22">
        <v>3746</v>
      </c>
      <c r="D36" s="22">
        <v>3710</v>
      </c>
      <c r="E36" s="23">
        <f t="shared" si="16"/>
        <v>99.038974906567006</v>
      </c>
      <c r="F36" s="21">
        <v>3397</v>
      </c>
      <c r="G36" s="22">
        <v>3510</v>
      </c>
      <c r="H36" s="22">
        <v>3509</v>
      </c>
      <c r="I36" s="23">
        <f t="shared" ref="I36:I37" si="17">H36/G36*100</f>
        <v>99.971509971509974</v>
      </c>
      <c r="J36" s="21">
        <v>4820</v>
      </c>
      <c r="K36" s="22">
        <v>5359</v>
      </c>
      <c r="L36" s="22">
        <v>5395</v>
      </c>
      <c r="M36" s="23">
        <f t="shared" si="1"/>
        <v>100.67176712073147</v>
      </c>
      <c r="N36" s="21">
        <v>400</v>
      </c>
      <c r="O36" s="22">
        <v>350</v>
      </c>
      <c r="P36" s="22">
        <v>194</v>
      </c>
      <c r="Q36" s="23">
        <f t="shared" si="9"/>
        <v>55.428571428571431</v>
      </c>
      <c r="R36" s="21">
        <v>365</v>
      </c>
      <c r="S36" s="22">
        <v>567</v>
      </c>
      <c r="T36" s="22">
        <v>561</v>
      </c>
      <c r="U36" s="23">
        <f t="shared" si="13"/>
        <v>98.941798941798936</v>
      </c>
      <c r="V36" s="21">
        <f t="shared" si="5"/>
        <v>951</v>
      </c>
      <c r="W36" s="22">
        <f t="shared" si="6"/>
        <v>1444</v>
      </c>
      <c r="X36" s="22">
        <f t="shared" si="7"/>
        <v>1624</v>
      </c>
      <c r="Y36" s="23">
        <f t="shared" si="3"/>
        <v>112.46537396121883</v>
      </c>
      <c r="AA36" s="4">
        <v>13148</v>
      </c>
      <c r="AB36" s="4">
        <v>14976</v>
      </c>
      <c r="AC36" s="4">
        <v>14993</v>
      </c>
      <c r="AD36" s="3">
        <f>ROUND(AC36/1000,0)</f>
        <v>15</v>
      </c>
      <c r="AE36" s="4"/>
    </row>
    <row r="37" spans="1:31" ht="17.100000000000001" customHeight="1" x14ac:dyDescent="0.25">
      <c r="A37" s="20" t="s">
        <v>178</v>
      </c>
      <c r="B37" s="21">
        <v>200</v>
      </c>
      <c r="C37" s="22">
        <v>701</v>
      </c>
      <c r="D37" s="22">
        <v>699</v>
      </c>
      <c r="E37" s="23">
        <f t="shared" si="16"/>
        <v>99.714693295292449</v>
      </c>
      <c r="F37" s="21"/>
      <c r="G37" s="22">
        <v>290</v>
      </c>
      <c r="H37" s="22">
        <v>290</v>
      </c>
      <c r="I37" s="23">
        <f t="shared" si="17"/>
        <v>100</v>
      </c>
      <c r="J37" s="21">
        <v>470</v>
      </c>
      <c r="K37" s="22">
        <v>669</v>
      </c>
      <c r="L37" s="22">
        <v>668</v>
      </c>
      <c r="M37" s="23">
        <f t="shared" si="1"/>
        <v>99.850523168908822</v>
      </c>
      <c r="N37" s="21">
        <v>25</v>
      </c>
      <c r="O37" s="22">
        <v>25</v>
      </c>
      <c r="P37" s="22">
        <v>4</v>
      </c>
      <c r="Q37" s="23">
        <f t="shared" si="9"/>
        <v>16</v>
      </c>
      <c r="R37" s="21"/>
      <c r="S37" s="22">
        <v>41</v>
      </c>
      <c r="T37" s="22">
        <v>40</v>
      </c>
      <c r="U37" s="23">
        <f t="shared" si="13"/>
        <v>97.560975609756099</v>
      </c>
      <c r="V37" s="21">
        <f t="shared" si="5"/>
        <v>20</v>
      </c>
      <c r="W37" s="22">
        <f t="shared" si="6"/>
        <v>51</v>
      </c>
      <c r="X37" s="22">
        <f t="shared" si="7"/>
        <v>52</v>
      </c>
      <c r="Y37" s="23">
        <f t="shared" si="3"/>
        <v>101.96078431372548</v>
      </c>
      <c r="AA37" s="4">
        <v>715</v>
      </c>
      <c r="AB37" s="4">
        <v>1777</v>
      </c>
      <c r="AC37" s="4">
        <v>1753</v>
      </c>
      <c r="AD37" s="4">
        <f t="shared" si="8"/>
        <v>2</v>
      </c>
      <c r="AE37" s="4"/>
    </row>
    <row r="38" spans="1:31" ht="17.100000000000001" customHeight="1" x14ac:dyDescent="0.25">
      <c r="A38" s="20" t="s">
        <v>179</v>
      </c>
      <c r="B38" s="21">
        <v>300</v>
      </c>
      <c r="C38" s="22">
        <v>300</v>
      </c>
      <c r="D38" s="22">
        <v>232</v>
      </c>
      <c r="E38" s="23">
        <f t="shared" si="16"/>
        <v>77.333333333333329</v>
      </c>
      <c r="F38" s="21"/>
      <c r="G38" s="22"/>
      <c r="H38" s="22"/>
      <c r="I38" s="23"/>
      <c r="J38" s="21">
        <v>4050</v>
      </c>
      <c r="K38" s="22">
        <v>4056</v>
      </c>
      <c r="L38" s="22">
        <v>3995</v>
      </c>
      <c r="M38" s="23">
        <f t="shared" si="1"/>
        <v>98.496055226824453</v>
      </c>
      <c r="N38" s="21">
        <v>250</v>
      </c>
      <c r="O38" s="22">
        <v>245</v>
      </c>
      <c r="P38" s="22">
        <v>81</v>
      </c>
      <c r="Q38" s="23">
        <f t="shared" si="9"/>
        <v>33.061224489795919</v>
      </c>
      <c r="R38" s="21">
        <v>78</v>
      </c>
      <c r="S38" s="22">
        <v>78</v>
      </c>
      <c r="T38" s="22">
        <v>99</v>
      </c>
      <c r="U38" s="23">
        <f t="shared" si="13"/>
        <v>126.92307692307692</v>
      </c>
      <c r="V38" s="21">
        <f t="shared" si="5"/>
        <v>1495</v>
      </c>
      <c r="W38" s="22">
        <f t="shared" si="6"/>
        <v>1504</v>
      </c>
      <c r="X38" s="22">
        <f t="shared" si="7"/>
        <v>1063</v>
      </c>
      <c r="Y38" s="23">
        <f t="shared" si="3"/>
        <v>70.678191489361694</v>
      </c>
      <c r="AA38" s="4">
        <v>6173</v>
      </c>
      <c r="AB38" s="4">
        <v>6183</v>
      </c>
      <c r="AC38" s="4">
        <v>5470</v>
      </c>
      <c r="AD38" s="4">
        <f t="shared" si="8"/>
        <v>5</v>
      </c>
      <c r="AE38" s="4"/>
    </row>
    <row r="39" spans="1:31" ht="17.100000000000001" customHeight="1" x14ac:dyDescent="0.25">
      <c r="A39" s="20" t="s">
        <v>180</v>
      </c>
      <c r="B39" s="21">
        <v>50</v>
      </c>
      <c r="C39" s="22">
        <v>206</v>
      </c>
      <c r="D39" s="22">
        <v>205</v>
      </c>
      <c r="E39" s="23">
        <f t="shared" si="16"/>
        <v>99.514563106796118</v>
      </c>
      <c r="F39" s="21"/>
      <c r="G39" s="22"/>
      <c r="H39" s="22"/>
      <c r="I39" s="23"/>
      <c r="J39" s="21">
        <v>136</v>
      </c>
      <c r="K39" s="22">
        <v>141</v>
      </c>
      <c r="L39" s="22">
        <v>133</v>
      </c>
      <c r="M39" s="23">
        <f t="shared" si="1"/>
        <v>94.326241134751783</v>
      </c>
      <c r="N39" s="21">
        <v>3</v>
      </c>
      <c r="O39" s="22">
        <v>3</v>
      </c>
      <c r="P39" s="22"/>
      <c r="Q39" s="23">
        <f t="shared" si="9"/>
        <v>0</v>
      </c>
      <c r="R39" s="21"/>
      <c r="S39" s="22">
        <v>107</v>
      </c>
      <c r="T39" s="22">
        <v>107</v>
      </c>
      <c r="U39" s="23">
        <f>T39/S39*100</f>
        <v>100</v>
      </c>
      <c r="V39" s="21">
        <f t="shared" si="5"/>
        <v>148</v>
      </c>
      <c r="W39" s="22">
        <f t="shared" si="6"/>
        <v>153</v>
      </c>
      <c r="X39" s="22">
        <f t="shared" si="7"/>
        <v>134</v>
      </c>
      <c r="Y39" s="23">
        <f t="shared" si="3"/>
        <v>87.58169934640523</v>
      </c>
      <c r="AA39" s="4">
        <v>337</v>
      </c>
      <c r="AB39" s="4">
        <v>610</v>
      </c>
      <c r="AC39" s="4">
        <v>579</v>
      </c>
      <c r="AD39" s="65">
        <f>ROUND(AC39/1000,0)</f>
        <v>1</v>
      </c>
      <c r="AE39" s="4"/>
    </row>
    <row r="40" spans="1:31" ht="17.100000000000001" customHeight="1" x14ac:dyDescent="0.25">
      <c r="A40" s="20" t="s">
        <v>181</v>
      </c>
      <c r="B40" s="21">
        <v>115</v>
      </c>
      <c r="C40" s="22">
        <v>141</v>
      </c>
      <c r="D40" s="22">
        <v>137</v>
      </c>
      <c r="E40" s="23">
        <f t="shared" si="16"/>
        <v>97.163120567375884</v>
      </c>
      <c r="F40" s="21"/>
      <c r="G40" s="22"/>
      <c r="H40" s="22"/>
      <c r="I40" s="23"/>
      <c r="J40" s="21">
        <v>275</v>
      </c>
      <c r="K40" s="22">
        <v>373</v>
      </c>
      <c r="L40" s="22">
        <v>355</v>
      </c>
      <c r="M40" s="23">
        <f t="shared" si="1"/>
        <v>95.174262734584445</v>
      </c>
      <c r="N40" s="21">
        <v>3</v>
      </c>
      <c r="O40" s="22">
        <v>3</v>
      </c>
      <c r="P40" s="22"/>
      <c r="Q40" s="23">
        <f t="shared" si="9"/>
        <v>0</v>
      </c>
      <c r="R40" s="21"/>
      <c r="S40" s="22"/>
      <c r="T40" s="22"/>
      <c r="U40" s="23"/>
      <c r="V40" s="21">
        <f t="shared" si="5"/>
        <v>0</v>
      </c>
      <c r="W40" s="22">
        <f t="shared" si="6"/>
        <v>6</v>
      </c>
      <c r="X40" s="22">
        <f t="shared" si="7"/>
        <v>6</v>
      </c>
      <c r="Y40" s="23">
        <f t="shared" si="3"/>
        <v>100</v>
      </c>
      <c r="AA40" s="4">
        <v>393</v>
      </c>
      <c r="AB40" s="4">
        <v>523</v>
      </c>
      <c r="AC40" s="4">
        <v>498</v>
      </c>
      <c r="AD40" s="4">
        <f t="shared" si="8"/>
        <v>0</v>
      </c>
      <c r="AE40" s="4"/>
    </row>
    <row r="41" spans="1:31" ht="15" customHeight="1" x14ac:dyDescent="0.25">
      <c r="A41" s="20" t="s">
        <v>182</v>
      </c>
      <c r="B41" s="21">
        <v>1</v>
      </c>
      <c r="C41" s="22">
        <v>13</v>
      </c>
      <c r="D41" s="22">
        <v>12</v>
      </c>
      <c r="E41" s="23">
        <f t="shared" si="16"/>
        <v>92.307692307692307</v>
      </c>
      <c r="F41" s="21"/>
      <c r="G41" s="22"/>
      <c r="H41" s="22"/>
      <c r="I41" s="23"/>
      <c r="J41" s="21">
        <v>33</v>
      </c>
      <c r="K41" s="22">
        <v>49</v>
      </c>
      <c r="L41" s="22">
        <v>43</v>
      </c>
      <c r="M41" s="23">
        <f t="shared" si="1"/>
        <v>87.755102040816325</v>
      </c>
      <c r="N41" s="21"/>
      <c r="O41" s="22">
        <v>2</v>
      </c>
      <c r="P41" s="22">
        <v>2</v>
      </c>
      <c r="Q41" s="23">
        <f t="shared" si="9"/>
        <v>100</v>
      </c>
      <c r="R41" s="21"/>
      <c r="S41" s="22"/>
      <c r="T41" s="22"/>
      <c r="U41" s="23"/>
      <c r="V41" s="21">
        <f t="shared" si="5"/>
        <v>0</v>
      </c>
      <c r="W41" s="22">
        <f t="shared" si="6"/>
        <v>113</v>
      </c>
      <c r="X41" s="22">
        <f t="shared" si="7"/>
        <v>111</v>
      </c>
      <c r="Y41" s="23">
        <f t="shared" si="3"/>
        <v>98.230088495575217</v>
      </c>
      <c r="AA41" s="4">
        <v>34</v>
      </c>
      <c r="AB41" s="4">
        <v>177</v>
      </c>
      <c r="AC41" s="4">
        <v>168</v>
      </c>
      <c r="AD41" s="4">
        <f t="shared" si="8"/>
        <v>0</v>
      </c>
      <c r="AE41" s="4"/>
    </row>
    <row r="42" spans="1:31" ht="15" customHeight="1" thickBot="1" x14ac:dyDescent="0.3">
      <c r="A42" s="24" t="s">
        <v>183</v>
      </c>
      <c r="B42" s="25">
        <v>38</v>
      </c>
      <c r="C42" s="26">
        <v>68</v>
      </c>
      <c r="D42" s="26">
        <v>59</v>
      </c>
      <c r="E42" s="27">
        <f t="shared" si="16"/>
        <v>86.764705882352942</v>
      </c>
      <c r="F42" s="25"/>
      <c r="G42" s="26"/>
      <c r="H42" s="26"/>
      <c r="I42" s="27"/>
      <c r="J42" s="25">
        <v>67</v>
      </c>
      <c r="K42" s="26">
        <v>70</v>
      </c>
      <c r="L42" s="26">
        <v>69</v>
      </c>
      <c r="M42" s="27">
        <f t="shared" si="1"/>
        <v>98.571428571428584</v>
      </c>
      <c r="N42" s="25">
        <v>8</v>
      </c>
      <c r="O42" s="26">
        <v>2</v>
      </c>
      <c r="P42" s="26">
        <v>2</v>
      </c>
      <c r="Q42" s="27">
        <f t="shared" si="9"/>
        <v>100</v>
      </c>
      <c r="R42" s="25"/>
      <c r="S42" s="26"/>
      <c r="T42" s="26"/>
      <c r="U42" s="27"/>
      <c r="V42" s="25">
        <f t="shared" si="5"/>
        <v>0</v>
      </c>
      <c r="W42" s="26">
        <f t="shared" si="6"/>
        <v>8</v>
      </c>
      <c r="X42" s="26">
        <f t="shared" si="7"/>
        <v>8</v>
      </c>
      <c r="Y42" s="27">
        <f t="shared" si="3"/>
        <v>100</v>
      </c>
      <c r="AA42" s="4">
        <v>113</v>
      </c>
      <c r="AB42" s="4">
        <v>148</v>
      </c>
      <c r="AC42" s="4">
        <v>138</v>
      </c>
      <c r="AD42" s="4">
        <f t="shared" si="8"/>
        <v>0</v>
      </c>
      <c r="AE42" s="4"/>
    </row>
    <row r="43" spans="1:31" ht="17.100000000000001" customHeight="1" thickBot="1" x14ac:dyDescent="0.3">
      <c r="A43" s="44"/>
      <c r="B43" s="50"/>
      <c r="C43" s="51"/>
      <c r="D43" s="51"/>
      <c r="E43" s="35"/>
      <c r="F43" s="293"/>
      <c r="G43" s="293"/>
      <c r="H43" s="293"/>
      <c r="I43" s="293"/>
      <c r="J43" s="50"/>
      <c r="K43" s="51"/>
      <c r="L43" s="51"/>
      <c r="M43" s="35"/>
      <c r="N43" s="50"/>
      <c r="O43" s="51"/>
      <c r="P43" s="51"/>
      <c r="Q43" s="35"/>
      <c r="R43" s="50"/>
      <c r="S43" s="51"/>
      <c r="T43" s="51"/>
      <c r="U43" s="35"/>
      <c r="V43" s="50"/>
      <c r="W43" s="51"/>
      <c r="X43" s="51"/>
      <c r="Y43" s="35"/>
      <c r="AA43" s="4"/>
      <c r="AB43" s="4"/>
      <c r="AC43" s="4"/>
      <c r="AD43" s="4"/>
      <c r="AE43" s="4"/>
    </row>
    <row r="44" spans="1:31" s="2" customFormat="1" ht="18" customHeight="1" thickBot="1" x14ac:dyDescent="0.3">
      <c r="A44" s="45" t="s">
        <v>198</v>
      </c>
      <c r="B44" s="36">
        <f>SUM(B14:B42)</f>
        <v>33254</v>
      </c>
      <c r="C44" s="42">
        <f>SUM(C14:C42)</f>
        <v>36130</v>
      </c>
      <c r="D44" s="42">
        <f>SUM(D14:D42)</f>
        <v>37899</v>
      </c>
      <c r="E44" s="43">
        <f>D44/C44*100</f>
        <v>104.89620813728204</v>
      </c>
      <c r="F44" s="36">
        <f>SUM(F14:F42)</f>
        <v>4111</v>
      </c>
      <c r="G44" s="42">
        <f>SUM(G14:G42)</f>
        <v>13905</v>
      </c>
      <c r="H44" s="42">
        <f>SUM(H14:H42)</f>
        <v>13627</v>
      </c>
      <c r="I44" s="43">
        <f>H44/G44*100</f>
        <v>98.00071916576772</v>
      </c>
      <c r="J44" s="36">
        <f>SUM(J14:J42)</f>
        <v>75871</v>
      </c>
      <c r="K44" s="42">
        <f>SUM(K14:K42)</f>
        <v>78952</v>
      </c>
      <c r="L44" s="42">
        <f>SUM(L14:L42)</f>
        <v>81592</v>
      </c>
      <c r="M44" s="43">
        <f>L44/K44*100</f>
        <v>103.34380383017529</v>
      </c>
      <c r="N44" s="36">
        <f>SUM(N14:N42)</f>
        <v>5726</v>
      </c>
      <c r="O44" s="42">
        <f>SUM(O14:O42)</f>
        <v>4568</v>
      </c>
      <c r="P44" s="42">
        <f>SUM(P14:P42)</f>
        <v>3608</v>
      </c>
      <c r="Q44" s="43">
        <f>P44/O44*100</f>
        <v>78.984238178633987</v>
      </c>
      <c r="R44" s="36">
        <f>SUM(R14:R42)</f>
        <v>3309</v>
      </c>
      <c r="S44" s="42">
        <f>SUM(S14:S42)</f>
        <v>4503</v>
      </c>
      <c r="T44" s="42">
        <f>SUM(T14:T42)</f>
        <v>4939</v>
      </c>
      <c r="U44" s="43">
        <f>T44/S44*100</f>
        <v>109.68243393293361</v>
      </c>
      <c r="V44" s="36">
        <f>SUM(V14:V43)</f>
        <v>21834</v>
      </c>
      <c r="W44" s="42">
        <f>SUM(W14:W43)</f>
        <v>22030</v>
      </c>
      <c r="X44" s="42">
        <f>SUM(X14:X42)</f>
        <v>22622</v>
      </c>
      <c r="Y44" s="43">
        <f>X44/W44*100</f>
        <v>102.68724466636405</v>
      </c>
      <c r="AA44" s="6">
        <f>SUM(AA14:AA42)</f>
        <v>144105</v>
      </c>
      <c r="AB44" s="6">
        <f>SUM(AB14:AB42)</f>
        <v>160088</v>
      </c>
      <c r="AC44" s="6">
        <f>SUM(AC14:AC42)</f>
        <v>164287</v>
      </c>
      <c r="AD44" s="6">
        <f>SUM(AD14:AD42)</f>
        <v>166</v>
      </c>
      <c r="AE44" s="6"/>
    </row>
    <row r="45" spans="1:31" ht="15.95" customHeight="1" x14ac:dyDescent="0.25">
      <c r="AA45" s="4"/>
      <c r="AB45" s="4"/>
      <c r="AC45" s="4"/>
      <c r="AD45" s="4"/>
      <c r="AE45" s="4"/>
    </row>
    <row r="46" spans="1:31" s="4" customFormat="1" ht="15.95" customHeight="1" x14ac:dyDescent="0.25">
      <c r="A46" s="66">
        <v>2013</v>
      </c>
      <c r="B46" s="58">
        <v>34338</v>
      </c>
      <c r="C46" s="58">
        <v>32787</v>
      </c>
      <c r="D46" s="58">
        <v>33115</v>
      </c>
      <c r="E46" s="40"/>
      <c r="F46" s="40"/>
      <c r="G46" s="40"/>
      <c r="H46" s="40"/>
      <c r="I46" s="40"/>
      <c r="J46" s="58">
        <v>86571</v>
      </c>
      <c r="K46" s="58">
        <v>90684</v>
      </c>
      <c r="L46" s="58">
        <v>88090</v>
      </c>
      <c r="M46" s="51"/>
      <c r="N46" s="58">
        <v>10235</v>
      </c>
      <c r="O46" s="58">
        <v>14115</v>
      </c>
      <c r="P46" s="58">
        <v>14029</v>
      </c>
      <c r="Q46" s="51"/>
      <c r="R46" s="58">
        <v>3858</v>
      </c>
      <c r="S46" s="58">
        <v>6201</v>
      </c>
      <c r="T46" s="58">
        <v>5668</v>
      </c>
      <c r="U46" s="51"/>
      <c r="V46" s="51">
        <v>16137</v>
      </c>
      <c r="W46" s="51">
        <v>27122</v>
      </c>
      <c r="X46" s="51">
        <v>25977</v>
      </c>
      <c r="Y46" s="40"/>
      <c r="AA46" s="4">
        <v>151139</v>
      </c>
      <c r="AB46" s="4">
        <v>376176</v>
      </c>
      <c r="AC46" s="4">
        <v>372146043.45999998</v>
      </c>
    </row>
    <row r="47" spans="1:31" s="4" customFormat="1" ht="15.95" customHeight="1" x14ac:dyDescent="0.25">
      <c r="A47" s="66">
        <v>2014</v>
      </c>
      <c r="B47" s="58">
        <v>31128</v>
      </c>
      <c r="C47" s="58">
        <v>33762</v>
      </c>
      <c r="D47" s="58">
        <v>34978</v>
      </c>
      <c r="E47" s="40"/>
      <c r="F47" s="40"/>
      <c r="G47" s="40"/>
      <c r="H47" s="40"/>
      <c r="I47" s="40"/>
      <c r="J47" s="58">
        <v>79577</v>
      </c>
      <c r="K47" s="58">
        <v>81216</v>
      </c>
      <c r="L47" s="58">
        <v>77480</v>
      </c>
      <c r="M47" s="51"/>
      <c r="N47" s="58">
        <v>10052</v>
      </c>
      <c r="O47" s="58">
        <v>11164</v>
      </c>
      <c r="P47" s="58">
        <v>7423</v>
      </c>
      <c r="Q47" s="51"/>
      <c r="R47" s="58">
        <v>3633</v>
      </c>
      <c r="S47" s="58">
        <v>7711</v>
      </c>
      <c r="T47" s="58">
        <v>7036</v>
      </c>
      <c r="U47" s="51"/>
      <c r="V47" s="51">
        <f>3964+11528</f>
        <v>15492</v>
      </c>
      <c r="W47" s="51">
        <f>19507+10396</f>
        <v>29903</v>
      </c>
      <c r="X47" s="51">
        <f>10818+20935</f>
        <v>31753</v>
      </c>
      <c r="Y47" s="40"/>
      <c r="AA47" s="4">
        <v>139882</v>
      </c>
      <c r="AB47" s="4">
        <v>281629</v>
      </c>
      <c r="AC47" s="4">
        <v>276543</v>
      </c>
    </row>
    <row r="48" spans="1:31" ht="15.95" customHeight="1" x14ac:dyDescent="0.25">
      <c r="X48" s="40" t="e">
        <f>AD44-#REF!-T47-P47-L47-D47</f>
        <v>#REF!</v>
      </c>
    </row>
    <row r="49" spans="2:24" ht="15.95" customHeight="1" x14ac:dyDescent="0.25"/>
    <row r="51" spans="2:24" x14ac:dyDescent="0.25">
      <c r="D51" s="13">
        <f>D46-D47</f>
        <v>-1863</v>
      </c>
      <c r="E51" s="13">
        <f t="shared" ref="E51:W51" si="18">E47-E49</f>
        <v>0</v>
      </c>
      <c r="J51" s="13">
        <f t="shared" si="18"/>
        <v>79577</v>
      </c>
      <c r="K51" s="13">
        <f t="shared" si="18"/>
        <v>81216</v>
      </c>
      <c r="L51" s="13">
        <f>L46-L47</f>
        <v>10610</v>
      </c>
      <c r="M51" s="13">
        <f t="shared" si="18"/>
        <v>0</v>
      </c>
      <c r="N51" s="13">
        <f t="shared" si="18"/>
        <v>10052</v>
      </c>
      <c r="O51" s="13">
        <f t="shared" si="18"/>
        <v>11164</v>
      </c>
      <c r="P51" s="13">
        <f>P46-P47</f>
        <v>6606</v>
      </c>
      <c r="Q51" s="13">
        <f t="shared" si="18"/>
        <v>0</v>
      </c>
      <c r="R51" s="13">
        <f t="shared" si="18"/>
        <v>3633</v>
      </c>
      <c r="S51" s="13">
        <f t="shared" si="18"/>
        <v>7711</v>
      </c>
      <c r="T51" s="13">
        <f>T46-T47</f>
        <v>-1368</v>
      </c>
      <c r="U51" s="13">
        <f t="shared" si="18"/>
        <v>0</v>
      </c>
      <c r="V51" s="13">
        <f t="shared" si="18"/>
        <v>15492</v>
      </c>
      <c r="W51" s="13">
        <f t="shared" si="18"/>
        <v>29903</v>
      </c>
      <c r="X51" s="13">
        <f>X46-X47</f>
        <v>-5776</v>
      </c>
    </row>
    <row r="52" spans="2:24" x14ac:dyDescent="0.25">
      <c r="B52" s="13" t="s">
        <v>195</v>
      </c>
      <c r="D52" s="13">
        <f>D51/D47*100</f>
        <v>-5.3262050431699928</v>
      </c>
      <c r="J52" s="13" t="s">
        <v>188</v>
      </c>
      <c r="L52" s="13">
        <f>L51/L47*100</f>
        <v>13.693856479091378</v>
      </c>
      <c r="P52" s="13">
        <f>P51/P47*100</f>
        <v>88.993668328169207</v>
      </c>
      <c r="T52" s="13">
        <f>T51/T47*100</f>
        <v>-19.442865264354747</v>
      </c>
      <c r="X52" s="13">
        <f>X51/X47*100</f>
        <v>-18.190407205618367</v>
      </c>
    </row>
    <row r="53" spans="2:24" x14ac:dyDescent="0.25">
      <c r="L53" s="13" t="e">
        <f>L47/L49*100</f>
        <v>#DIV/0!</v>
      </c>
    </row>
  </sheetData>
  <mergeCells count="35">
    <mergeCell ref="A2:Y2"/>
    <mergeCell ref="A4:Y4"/>
    <mergeCell ref="L9:L10"/>
    <mergeCell ref="N9:N10"/>
    <mergeCell ref="O9:O10"/>
    <mergeCell ref="P9:P10"/>
    <mergeCell ref="R9:R10"/>
    <mergeCell ref="B9:B10"/>
    <mergeCell ref="C9:C10"/>
    <mergeCell ref="D9:D10"/>
    <mergeCell ref="J9:J10"/>
    <mergeCell ref="K9:K10"/>
    <mergeCell ref="V9:V10"/>
    <mergeCell ref="W9:W10"/>
    <mergeCell ref="X9:X10"/>
    <mergeCell ref="A3:U3"/>
    <mergeCell ref="N12:Q12"/>
    <mergeCell ref="J12:M12"/>
    <mergeCell ref="B12:E12"/>
    <mergeCell ref="A8:A10"/>
    <mergeCell ref="B8:E8"/>
    <mergeCell ref="J8:M8"/>
    <mergeCell ref="N8:Q8"/>
    <mergeCell ref="F9:F10"/>
    <mergeCell ref="G9:G10"/>
    <mergeCell ref="H9:H10"/>
    <mergeCell ref="F8:I8"/>
    <mergeCell ref="AA12:AC12"/>
    <mergeCell ref="AA9:AC9"/>
    <mergeCell ref="V12:Y12"/>
    <mergeCell ref="V8:Y8"/>
    <mergeCell ref="R12:U12"/>
    <mergeCell ref="R8:U8"/>
    <mergeCell ref="S9:S10"/>
    <mergeCell ref="T9:T10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List6"/>
  <dimension ref="A1:S48"/>
  <sheetViews>
    <sheetView showZeros="0" view="pageBreakPreview" zoomScaleNormal="85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ColWidth="9.77734375" defaultRowHeight="15.75" x14ac:dyDescent="0.25"/>
  <cols>
    <col min="1" max="1" width="28.6640625" style="12" customWidth="1"/>
    <col min="2" max="4" width="17.88671875" style="13" customWidth="1"/>
    <col min="5" max="5" width="11" style="13" customWidth="1"/>
    <col min="6" max="8" width="17.88671875" style="13" customWidth="1"/>
    <col min="9" max="9" width="10.77734375" style="13" customWidth="1"/>
    <col min="10" max="10" width="4.21875" style="13" customWidth="1"/>
    <col min="11" max="11" width="11.77734375" style="13" customWidth="1"/>
    <col min="12" max="12" width="9.21875" style="13" customWidth="1"/>
    <col min="13" max="13" width="9.6640625" style="13" customWidth="1"/>
    <col min="14" max="14" width="3.5546875" style="13" customWidth="1"/>
    <col min="15" max="16" width="7.77734375" style="13" customWidth="1"/>
    <col min="17" max="17" width="10.88671875" style="13" bestFit="1" customWidth="1"/>
    <col min="18" max="18" width="12.6640625" style="13" customWidth="1"/>
    <col min="19" max="19" width="9.77734375" style="13"/>
    <col min="20" max="20" width="16.77734375" style="13" customWidth="1"/>
    <col min="21" max="28" width="12.77734375" style="13" customWidth="1"/>
    <col min="29" max="16384" width="9.77734375" style="13"/>
  </cols>
  <sheetData>
    <row r="1" spans="1:19" ht="17.25" customHeight="1" x14ac:dyDescent="0.25"/>
    <row r="2" spans="1:19" ht="24" customHeight="1" x14ac:dyDescent="0.25">
      <c r="A2" s="335" t="s">
        <v>244</v>
      </c>
      <c r="B2" s="335"/>
      <c r="C2" s="335"/>
      <c r="D2" s="335"/>
      <c r="E2" s="335"/>
      <c r="F2" s="335"/>
      <c r="G2" s="335"/>
      <c r="H2" s="335"/>
      <c r="I2" s="335"/>
    </row>
    <row r="3" spans="1:19" ht="15" customHeight="1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19" ht="21" customHeight="1" x14ac:dyDescent="0.25">
      <c r="A4" s="335" t="s">
        <v>68</v>
      </c>
      <c r="B4" s="335"/>
      <c r="C4" s="335"/>
      <c r="D4" s="335"/>
      <c r="E4" s="335"/>
      <c r="F4" s="335"/>
      <c r="G4" s="335"/>
      <c r="H4" s="335"/>
      <c r="I4" s="335"/>
    </row>
    <row r="5" spans="1:19" ht="22.5" customHeight="1" x14ac:dyDescent="0.25">
      <c r="I5" s="10" t="s">
        <v>202</v>
      </c>
    </row>
    <row r="6" spans="1:19" ht="22.5" customHeight="1" thickBot="1" x14ac:dyDescent="0.3">
      <c r="I6" s="10" t="s">
        <v>1</v>
      </c>
      <c r="O6" s="387" t="s">
        <v>125</v>
      </c>
      <c r="P6" s="387"/>
      <c r="Q6" s="387"/>
    </row>
    <row r="7" spans="1:19" s="12" customFormat="1" ht="18" customHeight="1" thickBot="1" x14ac:dyDescent="0.3">
      <c r="A7" s="364" t="s">
        <v>192</v>
      </c>
      <c r="B7" s="383" t="s">
        <v>105</v>
      </c>
      <c r="C7" s="384"/>
      <c r="D7" s="384"/>
      <c r="E7" s="385"/>
      <c r="F7" s="383" t="s">
        <v>211</v>
      </c>
      <c r="G7" s="384"/>
      <c r="H7" s="384"/>
      <c r="I7" s="385"/>
      <c r="L7" s="12" t="s">
        <v>124</v>
      </c>
      <c r="O7" s="386" t="s">
        <v>126</v>
      </c>
      <c r="P7" s="386"/>
      <c r="Q7" s="386"/>
    </row>
    <row r="8" spans="1:19" ht="18" customHeight="1" x14ac:dyDescent="0.25">
      <c r="A8" s="365"/>
      <c r="B8" s="368" t="s">
        <v>196</v>
      </c>
      <c r="C8" s="354" t="s">
        <v>197</v>
      </c>
      <c r="D8" s="355" t="s">
        <v>223</v>
      </c>
      <c r="E8" s="17" t="s">
        <v>0</v>
      </c>
      <c r="F8" s="368" t="s">
        <v>196</v>
      </c>
      <c r="G8" s="354" t="s">
        <v>197</v>
      </c>
      <c r="H8" s="355" t="s">
        <v>223</v>
      </c>
      <c r="I8" s="17" t="s">
        <v>0</v>
      </c>
      <c r="K8" s="387" t="s">
        <v>152</v>
      </c>
      <c r="L8" s="387"/>
      <c r="M8" s="387"/>
    </row>
    <row r="9" spans="1:19" ht="18" customHeight="1" thickBot="1" x14ac:dyDescent="0.3">
      <c r="A9" s="366"/>
      <c r="B9" s="333"/>
      <c r="C9" s="331"/>
      <c r="D9" s="356"/>
      <c r="E9" s="18" t="s">
        <v>11</v>
      </c>
      <c r="F9" s="333"/>
      <c r="G9" s="331"/>
      <c r="H9" s="356"/>
      <c r="I9" s="18" t="s">
        <v>11</v>
      </c>
      <c r="O9" s="13" t="s">
        <v>12</v>
      </c>
      <c r="P9" s="13" t="s">
        <v>13</v>
      </c>
      <c r="Q9" s="13" t="s">
        <v>81</v>
      </c>
    </row>
    <row r="10" spans="1:19" ht="17.25" customHeight="1" x14ac:dyDescent="0.25">
      <c r="A10" s="44"/>
      <c r="B10" s="380" t="s">
        <v>69</v>
      </c>
      <c r="C10" s="381"/>
      <c r="D10" s="381"/>
      <c r="E10" s="382"/>
      <c r="F10" s="380" t="s">
        <v>70</v>
      </c>
      <c r="G10" s="381"/>
      <c r="H10" s="381"/>
      <c r="I10" s="382"/>
      <c r="K10" s="13" t="s">
        <v>12</v>
      </c>
      <c r="L10" s="13" t="s">
        <v>13</v>
      </c>
      <c r="M10" s="13" t="s">
        <v>21</v>
      </c>
    </row>
    <row r="11" spans="1:19" ht="16.5" customHeight="1" thickBot="1" x14ac:dyDescent="0.3">
      <c r="A11" s="44"/>
      <c r="B11" s="32"/>
      <c r="C11" s="33"/>
      <c r="D11" s="33"/>
      <c r="E11" s="34"/>
      <c r="F11" s="32"/>
      <c r="G11" s="33"/>
      <c r="H11" s="33"/>
      <c r="I11" s="35"/>
    </row>
    <row r="12" spans="1:19" ht="16.5" customHeight="1" x14ac:dyDescent="0.25">
      <c r="A12" s="28" t="s">
        <v>155</v>
      </c>
      <c r="B12" s="29"/>
      <c r="C12" s="30"/>
      <c r="D12" s="30">
        <v>13</v>
      </c>
      <c r="E12" s="31"/>
      <c r="F12" s="29"/>
      <c r="G12" s="30"/>
      <c r="H12" s="30"/>
      <c r="I12" s="31"/>
      <c r="K12" s="13">
        <f t="shared" ref="K12:K40" si="0">SUM(B12+F12)</f>
        <v>0</v>
      </c>
      <c r="L12" s="13">
        <f t="shared" ref="L12:L40" si="1">SUM(C12+G12)</f>
        <v>0</v>
      </c>
      <c r="M12" s="13">
        <f t="shared" ref="M12:M40" si="2">SUM(D12+H12)</f>
        <v>13</v>
      </c>
      <c r="O12" s="13">
        <f>'Příjmy '!B11+'Příjmy '!H11+'Příjmy '!L11</f>
        <v>70769</v>
      </c>
      <c r="P12" s="13">
        <f>'Příjmy '!C11+'Příjmy '!I11+'Příjmy '!M11</f>
        <v>82183</v>
      </c>
      <c r="Q12" s="13">
        <f>'Příjmy '!D11+'Příjmy '!J11+'Příjmy '!N11</f>
        <v>81027</v>
      </c>
      <c r="R12" s="13">
        <v>136597078</v>
      </c>
      <c r="S12" s="13">
        <f>(R12/1000)-Q12</f>
        <v>55570.078000000009</v>
      </c>
    </row>
    <row r="13" spans="1:19" ht="16.5" customHeight="1" x14ac:dyDescent="0.25">
      <c r="A13" s="20" t="s">
        <v>156</v>
      </c>
      <c r="B13" s="21"/>
      <c r="C13" s="22"/>
      <c r="D13" s="22"/>
      <c r="E13" s="23"/>
      <c r="F13" s="21"/>
      <c r="G13" s="22"/>
      <c r="H13" s="22"/>
      <c r="I13" s="23"/>
      <c r="K13" s="13">
        <f t="shared" si="0"/>
        <v>0</v>
      </c>
      <c r="L13" s="13">
        <f t="shared" si="1"/>
        <v>0</v>
      </c>
      <c r="M13" s="13">
        <f t="shared" si="2"/>
        <v>0</v>
      </c>
      <c r="O13" s="13">
        <f>'Příjmy '!B12+'Příjmy '!H12+'Příjmy '!L12</f>
        <v>7452</v>
      </c>
      <c r="P13" s="13">
        <f>'Příjmy '!C12+'Příjmy '!I12+'Příjmy '!M12</f>
        <v>11559</v>
      </c>
      <c r="Q13" s="13">
        <f>'Příjmy '!D12+'Příjmy '!J12+'Příjmy '!N12</f>
        <v>11749</v>
      </c>
      <c r="R13" s="13">
        <v>14702981</v>
      </c>
      <c r="S13" s="13">
        <f t="shared" ref="S13:S40" si="3">(R13/1000)-Q13</f>
        <v>2953.9809999999998</v>
      </c>
    </row>
    <row r="14" spans="1:19" ht="16.5" customHeight="1" x14ac:dyDescent="0.25">
      <c r="A14" s="20" t="s">
        <v>157</v>
      </c>
      <c r="B14" s="21"/>
      <c r="C14" s="22"/>
      <c r="D14" s="22"/>
      <c r="E14" s="23"/>
      <c r="F14" s="21"/>
      <c r="G14" s="22"/>
      <c r="H14" s="22"/>
      <c r="I14" s="23"/>
      <c r="K14" s="13">
        <f t="shared" si="0"/>
        <v>0</v>
      </c>
      <c r="L14" s="13">
        <f t="shared" si="1"/>
        <v>0</v>
      </c>
      <c r="M14" s="13">
        <f t="shared" si="2"/>
        <v>0</v>
      </c>
      <c r="O14" s="13">
        <f>'Příjmy '!B13+'Příjmy '!H13+'Příjmy '!L13</f>
        <v>10579</v>
      </c>
      <c r="P14" s="13">
        <f>'Příjmy '!C13+'Příjmy '!I13+'Příjmy '!M13</f>
        <v>10318</v>
      </c>
      <c r="Q14" s="13">
        <f>'Příjmy '!D13+'Příjmy '!J13+'Příjmy '!N13</f>
        <v>10412</v>
      </c>
      <c r="R14" s="13">
        <v>17330772</v>
      </c>
      <c r="S14" s="13">
        <f t="shared" si="3"/>
        <v>6918.7720000000008</v>
      </c>
    </row>
    <row r="15" spans="1:19" ht="16.5" customHeight="1" x14ac:dyDescent="0.25">
      <c r="A15" s="20" t="s">
        <v>158</v>
      </c>
      <c r="B15" s="21"/>
      <c r="C15" s="22">
        <v>9300</v>
      </c>
      <c r="D15" s="22">
        <v>9300</v>
      </c>
      <c r="E15" s="23">
        <f>D15/C15*100</f>
        <v>100</v>
      </c>
      <c r="F15" s="21"/>
      <c r="G15" s="22"/>
      <c r="H15" s="22"/>
      <c r="I15" s="23"/>
      <c r="K15" s="13">
        <f t="shared" si="0"/>
        <v>0</v>
      </c>
      <c r="L15" s="13">
        <f t="shared" si="1"/>
        <v>9300</v>
      </c>
      <c r="M15" s="13">
        <f t="shared" si="2"/>
        <v>9300</v>
      </c>
      <c r="O15" s="13">
        <f>'Příjmy '!B14+'Příjmy '!H14+'Příjmy '!L14</f>
        <v>10311</v>
      </c>
      <c r="P15" s="13">
        <f>'Příjmy '!C14+'Příjmy '!I14+'Příjmy '!M14</f>
        <v>15058</v>
      </c>
      <c r="Q15" s="13">
        <f>'Příjmy '!D14+'Příjmy '!J14+'Příjmy '!N14</f>
        <v>15163</v>
      </c>
      <c r="R15" s="13">
        <v>8681708</v>
      </c>
      <c r="S15" s="13">
        <f t="shared" si="3"/>
        <v>-6481.2919999999995</v>
      </c>
    </row>
    <row r="16" spans="1:19" ht="16.5" customHeight="1" x14ac:dyDescent="0.25">
      <c r="A16" s="20" t="s">
        <v>159</v>
      </c>
      <c r="B16" s="21"/>
      <c r="C16" s="22"/>
      <c r="D16" s="22"/>
      <c r="E16" s="23"/>
      <c r="F16" s="21"/>
      <c r="G16" s="22"/>
      <c r="H16" s="22"/>
      <c r="I16" s="23"/>
      <c r="K16" s="13">
        <f t="shared" si="0"/>
        <v>0</v>
      </c>
      <c r="L16" s="13">
        <f t="shared" si="1"/>
        <v>0</v>
      </c>
      <c r="M16" s="13">
        <f t="shared" si="2"/>
        <v>0</v>
      </c>
      <c r="O16" s="13">
        <f>'Příjmy '!B15+'Příjmy '!H15+'Příjmy '!L15</f>
        <v>4452</v>
      </c>
      <c r="P16" s="13">
        <f>'Příjmy '!C15+'Příjmy '!I15+'Příjmy '!M15</f>
        <v>14096</v>
      </c>
      <c r="Q16" s="13">
        <f>'Příjmy '!D15+'Příjmy '!J15+'Příjmy '!N15</f>
        <v>14529</v>
      </c>
      <c r="R16" s="13">
        <v>10822968</v>
      </c>
      <c r="S16" s="13">
        <f t="shared" si="3"/>
        <v>-3706.0319999999992</v>
      </c>
    </row>
    <row r="17" spans="1:19" ht="16.5" customHeight="1" x14ac:dyDescent="0.25">
      <c r="A17" s="20" t="s">
        <v>160</v>
      </c>
      <c r="B17" s="21"/>
      <c r="C17" s="22"/>
      <c r="D17" s="22"/>
      <c r="E17" s="23"/>
      <c r="F17" s="21"/>
      <c r="G17" s="22"/>
      <c r="H17" s="22"/>
      <c r="I17" s="23"/>
      <c r="K17" s="13">
        <f t="shared" si="0"/>
        <v>0</v>
      </c>
      <c r="L17" s="13">
        <f t="shared" si="1"/>
        <v>0</v>
      </c>
      <c r="M17" s="13">
        <f t="shared" si="2"/>
        <v>0</v>
      </c>
      <c r="O17" s="13">
        <f>'Příjmy '!B16+'Příjmy '!H16+'Příjmy '!L16</f>
        <v>3992</v>
      </c>
      <c r="P17" s="13">
        <f>'Příjmy '!C16+'Příjmy '!I16+'Příjmy '!M16</f>
        <v>4264</v>
      </c>
      <c r="Q17" s="13">
        <f>'Příjmy '!D16+'Příjmy '!J16+'Příjmy '!N16</f>
        <v>4509</v>
      </c>
      <c r="R17" s="13">
        <v>4218021</v>
      </c>
      <c r="S17" s="13">
        <f t="shared" si="3"/>
        <v>-290.97900000000027</v>
      </c>
    </row>
    <row r="18" spans="1:19" ht="16.5" customHeight="1" x14ac:dyDescent="0.25">
      <c r="A18" s="20" t="s">
        <v>161</v>
      </c>
      <c r="B18" s="21"/>
      <c r="C18" s="22"/>
      <c r="D18" s="22"/>
      <c r="E18" s="23"/>
      <c r="F18" s="21"/>
      <c r="G18" s="22"/>
      <c r="H18" s="22"/>
      <c r="I18" s="23"/>
      <c r="K18" s="13">
        <f t="shared" si="0"/>
        <v>0</v>
      </c>
      <c r="L18" s="13">
        <f t="shared" si="1"/>
        <v>0</v>
      </c>
      <c r="M18" s="13">
        <f t="shared" si="2"/>
        <v>0</v>
      </c>
      <c r="O18" s="13">
        <f>'Příjmy '!B17+'Příjmy '!H17+'Příjmy '!L17</f>
        <v>28611</v>
      </c>
      <c r="P18" s="13">
        <f>'Příjmy '!C17+'Příjmy '!I17+'Příjmy '!M17</f>
        <v>25516</v>
      </c>
      <c r="Q18" s="13">
        <f>'Příjmy '!D17+'Příjmy '!J17+'Příjmy '!N17</f>
        <v>25289</v>
      </c>
      <c r="R18" s="13">
        <v>22513258</v>
      </c>
      <c r="S18" s="13">
        <f t="shared" si="3"/>
        <v>-2775.7419999999984</v>
      </c>
    </row>
    <row r="19" spans="1:19" ht="16.5" customHeight="1" x14ac:dyDescent="0.25">
      <c r="A19" s="20" t="s">
        <v>162</v>
      </c>
      <c r="B19" s="21"/>
      <c r="C19" s="22"/>
      <c r="D19" s="22"/>
      <c r="E19" s="23"/>
      <c r="F19" s="21"/>
      <c r="G19" s="22"/>
      <c r="H19" s="22"/>
      <c r="I19" s="23"/>
      <c r="K19" s="13">
        <f t="shared" si="0"/>
        <v>0</v>
      </c>
      <c r="L19" s="13">
        <f t="shared" si="1"/>
        <v>0</v>
      </c>
      <c r="M19" s="13">
        <f t="shared" si="2"/>
        <v>0</v>
      </c>
      <c r="O19" s="13">
        <f>'Příjmy '!B18+'Příjmy '!H18+'Příjmy '!L18</f>
        <v>12537</v>
      </c>
      <c r="P19" s="13">
        <f>'Příjmy '!C18+'Příjmy '!I18+'Příjmy '!M18</f>
        <v>22709</v>
      </c>
      <c r="Q19" s="13">
        <f>'Příjmy '!D18+'Příjmy '!J18+'Příjmy '!N18</f>
        <v>23978</v>
      </c>
      <c r="R19" s="13">
        <v>35131312</v>
      </c>
      <c r="S19" s="13">
        <f t="shared" si="3"/>
        <v>11153.311999999998</v>
      </c>
    </row>
    <row r="20" spans="1:19" ht="16.5" customHeight="1" x14ac:dyDescent="0.25">
      <c r="A20" s="20" t="s">
        <v>163</v>
      </c>
      <c r="B20" s="21"/>
      <c r="C20" s="22"/>
      <c r="D20" s="22"/>
      <c r="E20" s="23"/>
      <c r="F20" s="21"/>
      <c r="G20" s="22"/>
      <c r="H20" s="22"/>
      <c r="I20" s="23"/>
      <c r="K20" s="13">
        <f t="shared" si="0"/>
        <v>0</v>
      </c>
      <c r="L20" s="13">
        <f t="shared" si="1"/>
        <v>0</v>
      </c>
      <c r="M20" s="13">
        <f t="shared" si="2"/>
        <v>0</v>
      </c>
      <c r="O20" s="13">
        <f>'Příjmy '!B19+'Příjmy '!H19+'Příjmy '!L19</f>
        <v>697</v>
      </c>
      <c r="P20" s="13">
        <f>'Příjmy '!C19+'Příjmy '!I19+'Příjmy '!M19</f>
        <v>1243</v>
      </c>
      <c r="Q20" s="13">
        <f>'Příjmy '!D19+'Příjmy '!J19+'Příjmy '!N19</f>
        <v>1138</v>
      </c>
      <c r="R20" s="13">
        <v>808187</v>
      </c>
      <c r="S20" s="13">
        <f t="shared" si="3"/>
        <v>-329.81299999999999</v>
      </c>
    </row>
    <row r="21" spans="1:19" ht="16.5" customHeight="1" x14ac:dyDescent="0.25">
      <c r="A21" s="20" t="s">
        <v>164</v>
      </c>
      <c r="B21" s="21"/>
      <c r="C21" s="22"/>
      <c r="D21" s="22"/>
      <c r="E21" s="23"/>
      <c r="F21" s="21"/>
      <c r="G21" s="22"/>
      <c r="H21" s="22"/>
      <c r="I21" s="23"/>
      <c r="K21" s="13">
        <f t="shared" si="0"/>
        <v>0</v>
      </c>
      <c r="L21" s="13">
        <f t="shared" si="1"/>
        <v>0</v>
      </c>
      <c r="M21" s="13">
        <f t="shared" si="2"/>
        <v>0</v>
      </c>
      <c r="O21" s="13">
        <f>'Příjmy '!B20+'Příjmy '!H20+'Příjmy '!L20</f>
        <v>3175</v>
      </c>
      <c r="P21" s="13">
        <f>'Příjmy '!C20+'Příjmy '!I20+'Příjmy '!M20</f>
        <v>3767</v>
      </c>
      <c r="Q21" s="13">
        <f>'Příjmy '!D20+'Příjmy '!J20+'Příjmy '!N20</f>
        <v>3989</v>
      </c>
      <c r="R21" s="13">
        <v>5231534</v>
      </c>
      <c r="S21" s="13">
        <f t="shared" si="3"/>
        <v>1242.5339999999997</v>
      </c>
    </row>
    <row r="22" spans="1:19" ht="16.5" customHeight="1" x14ac:dyDescent="0.25">
      <c r="A22" s="20" t="s">
        <v>165</v>
      </c>
      <c r="B22" s="21"/>
      <c r="C22" s="22"/>
      <c r="D22" s="22"/>
      <c r="E22" s="23"/>
      <c r="F22" s="21"/>
      <c r="G22" s="22"/>
      <c r="H22" s="22"/>
      <c r="I22" s="23"/>
      <c r="K22" s="13">
        <f t="shared" si="0"/>
        <v>0</v>
      </c>
      <c r="L22" s="13">
        <f t="shared" si="1"/>
        <v>0</v>
      </c>
      <c r="M22" s="13">
        <f t="shared" si="2"/>
        <v>0</v>
      </c>
      <c r="O22" s="13">
        <f>'Příjmy '!B21+'Příjmy '!H21+'Příjmy '!L21</f>
        <v>3971</v>
      </c>
      <c r="P22" s="13">
        <f>'Příjmy '!C21+'Příjmy '!I21+'Příjmy '!M21</f>
        <v>4380</v>
      </c>
      <c r="Q22" s="13">
        <f>'Příjmy '!D21+'Příjmy '!J21+'Příjmy '!N21</f>
        <v>4195</v>
      </c>
      <c r="R22" s="13">
        <v>5725258</v>
      </c>
      <c r="S22" s="13">
        <f t="shared" si="3"/>
        <v>1530.2579999999998</v>
      </c>
    </row>
    <row r="23" spans="1:19" ht="16.5" customHeight="1" x14ac:dyDescent="0.25">
      <c r="A23" s="20" t="s">
        <v>166</v>
      </c>
      <c r="B23" s="21"/>
      <c r="C23" s="22"/>
      <c r="D23" s="22"/>
      <c r="E23" s="23"/>
      <c r="F23" s="21"/>
      <c r="G23" s="22"/>
      <c r="H23" s="22"/>
      <c r="I23" s="23"/>
      <c r="K23" s="13">
        <f t="shared" si="0"/>
        <v>0</v>
      </c>
      <c r="L23" s="13">
        <f t="shared" si="1"/>
        <v>0</v>
      </c>
      <c r="M23" s="13">
        <f t="shared" si="2"/>
        <v>0</v>
      </c>
      <c r="O23" s="13">
        <f>'Příjmy '!B22+'Příjmy '!H22+'Příjmy '!L22</f>
        <v>754</v>
      </c>
      <c r="P23" s="13">
        <f>'Příjmy '!C22+'Příjmy '!I22+'Příjmy '!M22</f>
        <v>1955</v>
      </c>
      <c r="Q23" s="13">
        <f>'Příjmy '!D22+'Příjmy '!J22+'Příjmy '!N22</f>
        <v>3217</v>
      </c>
      <c r="R23" s="13">
        <v>2225522</v>
      </c>
      <c r="S23" s="13">
        <f t="shared" si="3"/>
        <v>-991.47800000000007</v>
      </c>
    </row>
    <row r="24" spans="1:19" ht="16.5" customHeight="1" x14ac:dyDescent="0.25">
      <c r="A24" s="20" t="s">
        <v>167</v>
      </c>
      <c r="B24" s="21"/>
      <c r="C24" s="22"/>
      <c r="D24" s="22"/>
      <c r="E24" s="23"/>
      <c r="F24" s="21"/>
      <c r="G24" s="22"/>
      <c r="H24" s="22"/>
      <c r="I24" s="23"/>
      <c r="K24" s="13">
        <f t="shared" si="0"/>
        <v>0</v>
      </c>
      <c r="L24" s="13">
        <f t="shared" si="1"/>
        <v>0</v>
      </c>
      <c r="M24" s="13">
        <f t="shared" si="2"/>
        <v>0</v>
      </c>
      <c r="O24" s="13">
        <f>'Příjmy '!B23+'Příjmy '!H23+'Příjmy '!L23</f>
        <v>14780</v>
      </c>
      <c r="P24" s="13">
        <f>'Příjmy '!C23+'Příjmy '!I23+'Příjmy '!M23</f>
        <v>32198</v>
      </c>
      <c r="Q24" s="13">
        <f>'Příjmy '!D23+'Příjmy '!J23+'Příjmy '!N23</f>
        <v>32175</v>
      </c>
      <c r="R24" s="13">
        <v>31613514</v>
      </c>
      <c r="S24" s="13">
        <f t="shared" si="3"/>
        <v>-561.48600000000079</v>
      </c>
    </row>
    <row r="25" spans="1:19" ht="16.5" customHeight="1" x14ac:dyDescent="0.25">
      <c r="A25" s="20" t="s">
        <v>168</v>
      </c>
      <c r="B25" s="21"/>
      <c r="C25" s="22"/>
      <c r="D25" s="22"/>
      <c r="E25" s="23"/>
      <c r="F25" s="21"/>
      <c r="G25" s="22"/>
      <c r="H25" s="22"/>
      <c r="I25" s="23"/>
      <c r="K25" s="13">
        <f t="shared" si="0"/>
        <v>0</v>
      </c>
      <c r="L25" s="13">
        <f t="shared" si="1"/>
        <v>0</v>
      </c>
      <c r="M25" s="13">
        <f t="shared" si="2"/>
        <v>0</v>
      </c>
      <c r="O25" s="13">
        <f>'Příjmy '!B24+'Příjmy '!H24+'Příjmy '!L24</f>
        <v>1562</v>
      </c>
      <c r="P25" s="13">
        <f>'Příjmy '!C24+'Příjmy '!I24+'Příjmy '!M24</f>
        <v>1669</v>
      </c>
      <c r="Q25" s="13">
        <f>'Příjmy '!D24+'Příjmy '!J24+'Příjmy '!N24</f>
        <v>2255</v>
      </c>
      <c r="R25" s="13">
        <v>2525950</v>
      </c>
      <c r="S25" s="13">
        <f t="shared" si="3"/>
        <v>270.94999999999982</v>
      </c>
    </row>
    <row r="26" spans="1:19" ht="16.5" customHeight="1" x14ac:dyDescent="0.25">
      <c r="A26" s="20" t="s">
        <v>169</v>
      </c>
      <c r="B26" s="21"/>
      <c r="C26" s="22">
        <v>90</v>
      </c>
      <c r="D26" s="22">
        <v>90</v>
      </c>
      <c r="E26" s="23">
        <f>D26/C26*100</f>
        <v>100</v>
      </c>
      <c r="F26" s="21"/>
      <c r="G26" s="22"/>
      <c r="H26" s="22"/>
      <c r="I26" s="23"/>
      <c r="K26" s="13">
        <f t="shared" si="0"/>
        <v>0</v>
      </c>
      <c r="L26" s="13">
        <f t="shared" si="1"/>
        <v>90</v>
      </c>
      <c r="M26" s="13">
        <f t="shared" si="2"/>
        <v>90</v>
      </c>
      <c r="O26" s="13">
        <f>'Příjmy '!B25+'Příjmy '!H25+'Příjmy '!L25</f>
        <v>26497</v>
      </c>
      <c r="P26" s="13">
        <f>'Příjmy '!C25+'Příjmy '!I25+'Příjmy '!M25</f>
        <v>31567</v>
      </c>
      <c r="Q26" s="13">
        <f>'Příjmy '!D25+'Příjmy '!J25+'Příjmy '!N25</f>
        <v>31453</v>
      </c>
      <c r="R26" s="13">
        <v>29404151</v>
      </c>
      <c r="S26" s="13">
        <f t="shared" si="3"/>
        <v>-2048.8489999999983</v>
      </c>
    </row>
    <row r="27" spans="1:19" ht="16.5" customHeight="1" x14ac:dyDescent="0.25">
      <c r="A27" s="20" t="s">
        <v>170</v>
      </c>
      <c r="B27" s="21"/>
      <c r="C27" s="22"/>
      <c r="D27" s="22"/>
      <c r="E27" s="23"/>
      <c r="F27" s="21"/>
      <c r="G27" s="22"/>
      <c r="H27" s="22"/>
      <c r="I27" s="23"/>
      <c r="K27" s="13">
        <f t="shared" si="0"/>
        <v>0</v>
      </c>
      <c r="L27" s="13">
        <f t="shared" si="1"/>
        <v>0</v>
      </c>
      <c r="M27" s="13">
        <f t="shared" si="2"/>
        <v>0</v>
      </c>
      <c r="O27" s="13">
        <f>'Příjmy '!B26+'Příjmy '!H26+'Příjmy '!L26</f>
        <v>4676</v>
      </c>
      <c r="P27" s="13">
        <f>'Příjmy '!C26+'Příjmy '!I26+'Příjmy '!M26</f>
        <v>8925</v>
      </c>
      <c r="Q27" s="13">
        <f>'Příjmy '!D26+'Příjmy '!J26+'Příjmy '!N26</f>
        <v>8716</v>
      </c>
      <c r="R27" s="13">
        <v>17273660</v>
      </c>
      <c r="S27" s="13">
        <f t="shared" si="3"/>
        <v>8557.66</v>
      </c>
    </row>
    <row r="28" spans="1:19" ht="16.5" customHeight="1" x14ac:dyDescent="0.25">
      <c r="A28" s="20" t="s">
        <v>171</v>
      </c>
      <c r="B28" s="21"/>
      <c r="C28" s="22"/>
      <c r="D28" s="22"/>
      <c r="E28" s="23"/>
      <c r="F28" s="21"/>
      <c r="G28" s="22"/>
      <c r="H28" s="22"/>
      <c r="I28" s="23"/>
      <c r="K28" s="13">
        <f t="shared" si="0"/>
        <v>0</v>
      </c>
      <c r="L28" s="13">
        <f t="shared" si="1"/>
        <v>0</v>
      </c>
      <c r="M28" s="13">
        <f t="shared" si="2"/>
        <v>0</v>
      </c>
      <c r="O28" s="13">
        <f>'Příjmy '!B27+'Příjmy '!H27+'Příjmy '!L27</f>
        <v>11080</v>
      </c>
      <c r="P28" s="13">
        <f>'Příjmy '!C27+'Příjmy '!I27+'Příjmy '!M27</f>
        <v>22046</v>
      </c>
      <c r="Q28" s="13">
        <f>'Příjmy '!D27+'Příjmy '!J27+'Příjmy '!N27</f>
        <v>23704</v>
      </c>
      <c r="R28" s="13">
        <v>19064233</v>
      </c>
      <c r="S28" s="13">
        <f t="shared" si="3"/>
        <v>-4639.7669999999998</v>
      </c>
    </row>
    <row r="29" spans="1:19" ht="16.5" customHeight="1" x14ac:dyDescent="0.25">
      <c r="A29" s="20" t="s">
        <v>172</v>
      </c>
      <c r="B29" s="21"/>
      <c r="C29" s="22"/>
      <c r="D29" s="22"/>
      <c r="E29" s="23"/>
      <c r="F29" s="21"/>
      <c r="G29" s="22"/>
      <c r="H29" s="22"/>
      <c r="I29" s="23"/>
      <c r="K29" s="13">
        <f t="shared" si="0"/>
        <v>0</v>
      </c>
      <c r="L29" s="13">
        <f t="shared" si="1"/>
        <v>0</v>
      </c>
      <c r="M29" s="13">
        <f t="shared" si="2"/>
        <v>0</v>
      </c>
      <c r="O29" s="13">
        <f>'Příjmy '!B28+'Příjmy '!H28+'Příjmy '!L28</f>
        <v>8107</v>
      </c>
      <c r="P29" s="13">
        <f>'Příjmy '!C28+'Příjmy '!I28+'Příjmy '!M28</f>
        <v>15534</v>
      </c>
      <c r="Q29" s="13">
        <f>'Příjmy '!D28+'Příjmy '!J28+'Příjmy '!N28</f>
        <v>15615</v>
      </c>
      <c r="R29" s="13">
        <v>25410425</v>
      </c>
      <c r="S29" s="13">
        <f t="shared" si="3"/>
        <v>9795.4249999999993</v>
      </c>
    </row>
    <row r="30" spans="1:19" ht="16.5" customHeight="1" x14ac:dyDescent="0.25">
      <c r="A30" s="20" t="s">
        <v>173</v>
      </c>
      <c r="B30" s="21"/>
      <c r="C30" s="22"/>
      <c r="D30" s="22"/>
      <c r="E30" s="23"/>
      <c r="F30" s="21"/>
      <c r="G30" s="22"/>
      <c r="H30" s="22"/>
      <c r="I30" s="23"/>
      <c r="K30" s="13">
        <f t="shared" si="0"/>
        <v>0</v>
      </c>
      <c r="L30" s="13">
        <f t="shared" si="1"/>
        <v>0</v>
      </c>
      <c r="M30" s="13">
        <f t="shared" si="2"/>
        <v>0</v>
      </c>
      <c r="O30" s="13">
        <f>'Příjmy '!B29+'Příjmy '!H29+'Příjmy '!L29</f>
        <v>26412</v>
      </c>
      <c r="P30" s="13">
        <f>'Příjmy '!C29+'Příjmy '!I29+'Příjmy '!M29</f>
        <v>32420</v>
      </c>
      <c r="Q30" s="13">
        <f>'Příjmy '!D29+'Příjmy '!J29+'Příjmy '!N29</f>
        <v>32589</v>
      </c>
      <c r="R30" s="13">
        <v>36104781</v>
      </c>
      <c r="S30" s="13">
        <f t="shared" si="3"/>
        <v>3515.7810000000027</v>
      </c>
    </row>
    <row r="31" spans="1:19" ht="16.5" customHeight="1" x14ac:dyDescent="0.25">
      <c r="A31" s="20" t="s">
        <v>174</v>
      </c>
      <c r="B31" s="21"/>
      <c r="C31" s="22"/>
      <c r="D31" s="22"/>
      <c r="E31" s="23"/>
      <c r="F31" s="21"/>
      <c r="G31" s="22"/>
      <c r="H31" s="22"/>
      <c r="I31" s="23"/>
      <c r="K31" s="13">
        <f t="shared" si="0"/>
        <v>0</v>
      </c>
      <c r="L31" s="13">
        <f t="shared" si="1"/>
        <v>0</v>
      </c>
      <c r="M31" s="13">
        <f t="shared" si="2"/>
        <v>0</v>
      </c>
      <c r="O31" s="13">
        <f>'Příjmy '!B30+'Příjmy '!H30+'Příjmy '!L30</f>
        <v>7188</v>
      </c>
      <c r="P31" s="13">
        <f>'Příjmy '!C30+'Příjmy '!I30+'Příjmy '!M30</f>
        <v>7651</v>
      </c>
      <c r="Q31" s="13">
        <f>'Příjmy '!D30+'Příjmy '!J30+'Příjmy '!N30</f>
        <v>7860</v>
      </c>
      <c r="R31" s="13">
        <v>11431324</v>
      </c>
      <c r="S31" s="13">
        <f t="shared" si="3"/>
        <v>3571.3240000000005</v>
      </c>
    </row>
    <row r="32" spans="1:19" ht="16.5" customHeight="1" x14ac:dyDescent="0.25">
      <c r="A32" s="20" t="s">
        <v>175</v>
      </c>
      <c r="B32" s="21"/>
      <c r="C32" s="22"/>
      <c r="D32" s="22"/>
      <c r="E32" s="23"/>
      <c r="F32" s="21"/>
      <c r="G32" s="22"/>
      <c r="H32" s="22"/>
      <c r="I32" s="23"/>
      <c r="K32" s="13">
        <f t="shared" si="0"/>
        <v>0</v>
      </c>
      <c r="L32" s="13">
        <f t="shared" si="1"/>
        <v>0</v>
      </c>
      <c r="M32" s="13">
        <f t="shared" si="2"/>
        <v>0</v>
      </c>
      <c r="O32" s="13">
        <f>'Příjmy '!B31+'Příjmy '!H31+'Příjmy '!L31</f>
        <v>3061</v>
      </c>
      <c r="P32" s="13">
        <f>'Příjmy '!C31+'Příjmy '!I31+'Příjmy '!M31</f>
        <v>3734</v>
      </c>
      <c r="Q32" s="13">
        <f>'Příjmy '!D31+'Příjmy '!J31+'Příjmy '!N31</f>
        <v>4161</v>
      </c>
      <c r="R32" s="13">
        <v>5164500</v>
      </c>
      <c r="S32" s="13">
        <f t="shared" si="3"/>
        <v>1003.5</v>
      </c>
    </row>
    <row r="33" spans="1:19" ht="16.5" customHeight="1" x14ac:dyDescent="0.25">
      <c r="A33" s="20" t="s">
        <v>176</v>
      </c>
      <c r="B33" s="21"/>
      <c r="C33" s="22"/>
      <c r="D33" s="22"/>
      <c r="E33" s="23"/>
      <c r="F33" s="21"/>
      <c r="G33" s="22"/>
      <c r="H33" s="22"/>
      <c r="I33" s="23"/>
      <c r="K33" s="13">
        <f t="shared" si="0"/>
        <v>0</v>
      </c>
      <c r="L33" s="13">
        <f t="shared" si="1"/>
        <v>0</v>
      </c>
      <c r="M33" s="13">
        <f t="shared" si="2"/>
        <v>0</v>
      </c>
      <c r="O33" s="13">
        <f>'Příjmy '!B32+'Příjmy '!H32+'Příjmy '!L32</f>
        <v>1640</v>
      </c>
      <c r="P33" s="13">
        <f>'Příjmy '!C32+'Příjmy '!I32+'Příjmy '!M32</f>
        <v>2788</v>
      </c>
      <c r="Q33" s="13">
        <f>'Příjmy '!D32+'Příjmy '!J32+'Příjmy '!N32</f>
        <v>2450</v>
      </c>
      <c r="R33" s="13">
        <v>2754345</v>
      </c>
      <c r="S33" s="13">
        <f t="shared" si="3"/>
        <v>304.3449999999998</v>
      </c>
    </row>
    <row r="34" spans="1:19" ht="16.5" customHeight="1" x14ac:dyDescent="0.25">
      <c r="A34" s="20" t="s">
        <v>177</v>
      </c>
      <c r="B34" s="21"/>
      <c r="C34" s="22">
        <v>195</v>
      </c>
      <c r="D34" s="22">
        <v>195</v>
      </c>
      <c r="E34" s="23">
        <f>D34/C34*100</f>
        <v>100</v>
      </c>
      <c r="F34" s="21"/>
      <c r="G34" s="22"/>
      <c r="H34" s="22"/>
      <c r="I34" s="23"/>
      <c r="K34" s="13">
        <f t="shared" si="0"/>
        <v>0</v>
      </c>
      <c r="L34" s="13">
        <f t="shared" si="1"/>
        <v>195</v>
      </c>
      <c r="M34" s="13">
        <f t="shared" si="2"/>
        <v>195</v>
      </c>
      <c r="O34" s="13">
        <f>'Příjmy '!B33+'Příjmy '!H33+'Příjmy '!L33</f>
        <v>28085</v>
      </c>
      <c r="P34" s="13">
        <f>'Příjmy '!C33+'Příjmy '!I33+'Příjmy '!M33</f>
        <v>32904</v>
      </c>
      <c r="Q34" s="13">
        <f>'Příjmy '!D33+'Příjmy '!J33+'Příjmy '!N33</f>
        <v>32919</v>
      </c>
      <c r="R34" s="13">
        <v>64095880</v>
      </c>
      <c r="S34" s="13">
        <f t="shared" si="3"/>
        <v>31176.879999999997</v>
      </c>
    </row>
    <row r="35" spans="1:19" ht="16.5" customHeight="1" x14ac:dyDescent="0.25">
      <c r="A35" s="20" t="s">
        <v>178</v>
      </c>
      <c r="B35" s="21"/>
      <c r="C35" s="22"/>
      <c r="D35" s="22"/>
      <c r="E35" s="23"/>
      <c r="F35" s="21"/>
      <c r="G35" s="22"/>
      <c r="H35" s="22"/>
      <c r="I35" s="23"/>
      <c r="K35" s="13">
        <f t="shared" si="0"/>
        <v>0</v>
      </c>
      <c r="L35" s="13">
        <f t="shared" si="1"/>
        <v>0</v>
      </c>
      <c r="M35" s="13">
        <f t="shared" si="2"/>
        <v>0</v>
      </c>
      <c r="O35" s="13">
        <f>'Příjmy '!B34+'Příjmy '!H34+'Příjmy '!L34</f>
        <v>1514</v>
      </c>
      <c r="P35" s="13">
        <f>'Příjmy '!C34+'Příjmy '!I34+'Příjmy '!M34</f>
        <v>4398</v>
      </c>
      <c r="Q35" s="13">
        <f>'Příjmy '!D34+'Příjmy '!J34+'Příjmy '!N34</f>
        <v>4330</v>
      </c>
      <c r="R35" s="13">
        <v>4014889</v>
      </c>
      <c r="S35" s="13">
        <f t="shared" si="3"/>
        <v>-315.11099999999988</v>
      </c>
    </row>
    <row r="36" spans="1:19" ht="16.5" customHeight="1" x14ac:dyDescent="0.25">
      <c r="A36" s="20" t="s">
        <v>179</v>
      </c>
      <c r="B36" s="21"/>
      <c r="C36" s="22"/>
      <c r="D36" s="22"/>
      <c r="E36" s="23"/>
      <c r="F36" s="21">
        <v>5</v>
      </c>
      <c r="G36" s="22">
        <v>5</v>
      </c>
      <c r="H36" s="22">
        <v>9</v>
      </c>
      <c r="I36" s="23">
        <f>H36/G36*100</f>
        <v>180</v>
      </c>
      <c r="K36" s="13">
        <f t="shared" si="0"/>
        <v>5</v>
      </c>
      <c r="L36" s="13">
        <f t="shared" si="1"/>
        <v>5</v>
      </c>
      <c r="M36" s="13">
        <f t="shared" si="2"/>
        <v>9</v>
      </c>
      <c r="O36" s="13">
        <f>'Příjmy '!B35+'Příjmy '!H35+'Příjmy '!L35</f>
        <v>10552</v>
      </c>
      <c r="P36" s="13">
        <f>'Příjmy '!C35+'Příjmy '!I35+'Příjmy '!M35</f>
        <v>10323</v>
      </c>
      <c r="Q36" s="13">
        <f>'Příjmy '!D35+'Příjmy '!J35+'Příjmy '!N35</f>
        <v>9836</v>
      </c>
      <c r="R36" s="13">
        <v>15736057</v>
      </c>
      <c r="S36" s="13">
        <f t="shared" si="3"/>
        <v>5900.0570000000007</v>
      </c>
    </row>
    <row r="37" spans="1:19" ht="16.5" customHeight="1" x14ac:dyDescent="0.25">
      <c r="A37" s="20" t="s">
        <v>180</v>
      </c>
      <c r="B37" s="21"/>
      <c r="C37" s="22"/>
      <c r="D37" s="22"/>
      <c r="E37" s="23"/>
      <c r="F37" s="21"/>
      <c r="G37" s="22"/>
      <c r="H37" s="22"/>
      <c r="I37" s="23"/>
      <c r="K37" s="13">
        <f t="shared" si="0"/>
        <v>0</v>
      </c>
      <c r="L37" s="13">
        <f t="shared" si="1"/>
        <v>0</v>
      </c>
      <c r="M37" s="13">
        <f t="shared" si="2"/>
        <v>0</v>
      </c>
      <c r="O37" s="13">
        <f>'Příjmy '!B36+'Příjmy '!H36+'Příjmy '!L36</f>
        <v>589</v>
      </c>
      <c r="P37" s="13">
        <f>'Příjmy '!C36+'Příjmy '!I36+'Příjmy '!M36</f>
        <v>1294</v>
      </c>
      <c r="Q37" s="13">
        <f>'Příjmy '!D36+'Příjmy '!J36+'Příjmy '!N36</f>
        <v>1228</v>
      </c>
      <c r="R37" s="13">
        <v>657156</v>
      </c>
      <c r="S37" s="13">
        <f t="shared" si="3"/>
        <v>-570.84400000000005</v>
      </c>
    </row>
    <row r="38" spans="1:19" ht="16.5" customHeight="1" x14ac:dyDescent="0.25">
      <c r="A38" s="20" t="s">
        <v>181</v>
      </c>
      <c r="B38" s="21"/>
      <c r="C38" s="22"/>
      <c r="D38" s="22"/>
      <c r="E38" s="23"/>
      <c r="F38" s="21"/>
      <c r="G38" s="22"/>
      <c r="H38" s="22"/>
      <c r="I38" s="23"/>
      <c r="K38" s="13">
        <f t="shared" si="0"/>
        <v>0</v>
      </c>
      <c r="L38" s="13">
        <f t="shared" si="1"/>
        <v>0</v>
      </c>
      <c r="M38" s="13">
        <f t="shared" si="2"/>
        <v>0</v>
      </c>
      <c r="O38" s="13">
        <f>'Příjmy '!B37+'Příjmy '!H37+'Příjmy '!L37</f>
        <v>426</v>
      </c>
      <c r="P38" s="13">
        <f>'Příjmy '!C37+'Příjmy '!I37+'Příjmy '!M37</f>
        <v>652</v>
      </c>
      <c r="Q38" s="13">
        <f>'Příjmy '!D37+'Příjmy '!J37+'Příjmy '!N37</f>
        <v>627</v>
      </c>
      <c r="R38" s="13">
        <v>632521</v>
      </c>
      <c r="S38" s="13">
        <f t="shared" si="3"/>
        <v>5.5209999999999582</v>
      </c>
    </row>
    <row r="39" spans="1:19" ht="16.5" customHeight="1" x14ac:dyDescent="0.25">
      <c r="A39" s="20" t="s">
        <v>182</v>
      </c>
      <c r="B39" s="21"/>
      <c r="C39" s="22"/>
      <c r="D39" s="22"/>
      <c r="E39" s="23"/>
      <c r="F39" s="21"/>
      <c r="G39" s="22"/>
      <c r="H39" s="22"/>
      <c r="I39" s="23"/>
      <c r="K39" s="13">
        <f t="shared" si="0"/>
        <v>0</v>
      </c>
      <c r="L39" s="13">
        <f t="shared" si="1"/>
        <v>0</v>
      </c>
      <c r="M39" s="13">
        <f t="shared" si="2"/>
        <v>0</v>
      </c>
      <c r="O39" s="13">
        <f>'Příjmy '!B38+'Příjmy '!H38+'Příjmy '!L38</f>
        <v>376</v>
      </c>
      <c r="P39" s="13">
        <f>'Příjmy '!C38+'Příjmy '!I38+'Příjmy '!M38</f>
        <v>824</v>
      </c>
      <c r="Q39" s="13">
        <f>'Příjmy '!D38+'Příjmy '!J38+'Příjmy '!N38</f>
        <v>814</v>
      </c>
      <c r="R39" s="13">
        <v>248420</v>
      </c>
      <c r="S39" s="13">
        <f t="shared" si="3"/>
        <v>-565.58000000000004</v>
      </c>
    </row>
    <row r="40" spans="1:19" ht="16.5" customHeight="1" thickBot="1" x14ac:dyDescent="0.3">
      <c r="A40" s="24" t="s">
        <v>183</v>
      </c>
      <c r="B40" s="25"/>
      <c r="C40" s="26"/>
      <c r="D40" s="26"/>
      <c r="E40" s="27"/>
      <c r="F40" s="25"/>
      <c r="G40" s="26"/>
      <c r="H40" s="26"/>
      <c r="I40" s="27"/>
      <c r="K40" s="13">
        <f t="shared" si="0"/>
        <v>0</v>
      </c>
      <c r="L40" s="13">
        <f t="shared" si="1"/>
        <v>0</v>
      </c>
      <c r="M40" s="13">
        <f t="shared" si="2"/>
        <v>0</v>
      </c>
      <c r="O40" s="13">
        <f>'Příjmy '!B39+'Příjmy '!H39+'Příjmy '!L39</f>
        <v>153</v>
      </c>
      <c r="P40" s="13">
        <f>'Příjmy '!C39+'Příjmy '!I39+'Příjmy '!M39</f>
        <v>218</v>
      </c>
      <c r="Q40" s="13">
        <f>'Příjmy '!D39+'Příjmy '!J39+'Příjmy '!N39</f>
        <v>207</v>
      </c>
      <c r="R40" s="13">
        <v>305399</v>
      </c>
      <c r="S40" s="13">
        <f t="shared" si="3"/>
        <v>98.399000000000001</v>
      </c>
    </row>
    <row r="41" spans="1:19" ht="15" customHeight="1" thickBot="1" x14ac:dyDescent="0.3">
      <c r="A41" s="44"/>
      <c r="B41" s="50"/>
      <c r="C41" s="51"/>
      <c r="D41" s="51"/>
      <c r="E41" s="35"/>
      <c r="F41" s="50"/>
      <c r="G41" s="51"/>
      <c r="H41" s="51"/>
      <c r="I41" s="35"/>
    </row>
    <row r="42" spans="1:19" s="12" customFormat="1" ht="18" customHeight="1" thickBot="1" x14ac:dyDescent="0.3">
      <c r="A42" s="45" t="s">
        <v>207</v>
      </c>
      <c r="B42" s="36">
        <f>SUM(B12:B40)</f>
        <v>0</v>
      </c>
      <c r="C42" s="42">
        <f>SUM(C11:C40)</f>
        <v>9585</v>
      </c>
      <c r="D42" s="42">
        <f>SUM(D12:D40)</f>
        <v>9598</v>
      </c>
      <c r="E42" s="39">
        <f>D42/C42*100</f>
        <v>100.1356285863328</v>
      </c>
      <c r="F42" s="36">
        <f>SUM(F11:F40)</f>
        <v>5</v>
      </c>
      <c r="G42" s="42">
        <f>SUM(G11:G40)</f>
        <v>5</v>
      </c>
      <c r="H42" s="42">
        <f>SUM(H11:H40)</f>
        <v>9</v>
      </c>
      <c r="I42" s="39">
        <f>H42/G42*100</f>
        <v>180</v>
      </c>
      <c r="K42" s="12">
        <f t="shared" ref="K42:R42" si="4">SUM(K12:K41)</f>
        <v>5</v>
      </c>
      <c r="L42" s="12">
        <f t="shared" si="4"/>
        <v>9590</v>
      </c>
      <c r="M42" s="12">
        <f t="shared" si="4"/>
        <v>9607</v>
      </c>
      <c r="N42" s="12">
        <f t="shared" si="4"/>
        <v>0</v>
      </c>
      <c r="O42" s="12">
        <f t="shared" si="4"/>
        <v>303998</v>
      </c>
      <c r="P42" s="12">
        <f t="shared" si="4"/>
        <v>406193</v>
      </c>
      <c r="Q42" s="12">
        <f t="shared" si="4"/>
        <v>410134</v>
      </c>
      <c r="R42" s="12">
        <f t="shared" si="4"/>
        <v>530425804</v>
      </c>
    </row>
    <row r="43" spans="1:19" x14ac:dyDescent="0.25">
      <c r="E43" s="75"/>
      <c r="I43" s="75"/>
    </row>
    <row r="44" spans="1:19" x14ac:dyDescent="0.25">
      <c r="E44" s="75"/>
      <c r="O44" s="13">
        <v>365965</v>
      </c>
      <c r="P44" s="13">
        <v>523605</v>
      </c>
      <c r="Q44" s="13">
        <v>530426</v>
      </c>
    </row>
    <row r="46" spans="1:19" x14ac:dyDescent="0.25">
      <c r="A46" s="12">
        <v>2013</v>
      </c>
      <c r="C46" s="13">
        <v>143</v>
      </c>
      <c r="D46" s="13">
        <v>401</v>
      </c>
      <c r="F46" s="13">
        <v>10</v>
      </c>
      <c r="G46" s="13">
        <v>257</v>
      </c>
      <c r="H46" s="13">
        <v>255</v>
      </c>
    </row>
    <row r="48" spans="1:19" x14ac:dyDescent="0.25">
      <c r="A48" s="12">
        <v>2014</v>
      </c>
      <c r="C48" s="13">
        <v>109</v>
      </c>
      <c r="D48" s="13">
        <v>110</v>
      </c>
      <c r="F48" s="13">
        <v>10</v>
      </c>
      <c r="G48" s="13">
        <v>126</v>
      </c>
      <c r="H48" s="13">
        <v>181</v>
      </c>
    </row>
  </sheetData>
  <mergeCells count="16">
    <mergeCell ref="A4:I4"/>
    <mergeCell ref="A2:I2"/>
    <mergeCell ref="A7:A9"/>
    <mergeCell ref="B7:E7"/>
    <mergeCell ref="B8:B9"/>
    <mergeCell ref="C8:C9"/>
    <mergeCell ref="D8:D9"/>
    <mergeCell ref="F8:F9"/>
    <mergeCell ref="G8:G9"/>
    <mergeCell ref="H8:H9"/>
    <mergeCell ref="B10:E10"/>
    <mergeCell ref="F10:I10"/>
    <mergeCell ref="F7:I7"/>
    <mergeCell ref="O7:Q7"/>
    <mergeCell ref="O6:Q6"/>
    <mergeCell ref="K8:M8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List7"/>
  <dimension ref="A1:U55"/>
  <sheetViews>
    <sheetView showZeros="0" view="pageBreakPreview" zoomScaleNormal="70" zoomScaleSheetLayoutView="100" workbookViewId="0">
      <pane xSplit="1" topLeftCell="B1" activePane="topRight" state="frozen"/>
      <selection pane="topRight"/>
    </sheetView>
  </sheetViews>
  <sheetFormatPr defaultRowHeight="15.75" x14ac:dyDescent="0.25"/>
  <cols>
    <col min="1" max="1" width="27.33203125" style="48" customWidth="1"/>
    <col min="2" max="3" width="9.21875" style="49" customWidth="1"/>
    <col min="4" max="4" width="9.88671875" style="49" customWidth="1"/>
    <col min="5" max="5" width="7.44140625" style="49" customWidth="1"/>
    <col min="6" max="7" width="9.21875" style="49" customWidth="1"/>
    <col min="8" max="8" width="9.88671875" style="49" customWidth="1"/>
    <col min="9" max="9" width="7.44140625" style="49" customWidth="1"/>
    <col min="10" max="11" width="9.21875" style="49" customWidth="1"/>
    <col min="12" max="12" width="9.5546875" style="49" customWidth="1"/>
    <col min="13" max="13" width="7.44140625" style="49" customWidth="1"/>
    <col min="14" max="15" width="9" style="49" customWidth="1"/>
    <col min="16" max="16" width="10" style="49" customWidth="1"/>
    <col min="17" max="17" width="7.33203125" style="49" customWidth="1"/>
    <col min="18" max="20" width="9" style="49" customWidth="1"/>
    <col min="21" max="21" width="7.33203125" style="49" customWidth="1"/>
    <col min="22" max="22" width="8.77734375" style="49" customWidth="1"/>
    <col min="23" max="23" width="6.77734375" style="49" customWidth="1"/>
    <col min="24" max="26" width="8.77734375" style="49" customWidth="1"/>
    <col min="27" max="27" width="6.77734375" style="49" customWidth="1"/>
    <col min="28" max="30" width="8.77734375" style="49" customWidth="1"/>
    <col min="31" max="31" width="6.77734375" style="49" customWidth="1"/>
    <col min="32" max="34" width="8.77734375" style="49" customWidth="1"/>
    <col min="35" max="35" width="6.77734375" style="49" customWidth="1"/>
    <col min="36" max="38" width="8.77734375" style="49" customWidth="1"/>
    <col min="39" max="39" width="6.77734375" style="49" customWidth="1"/>
    <col min="40" max="40" width="9.77734375" style="49"/>
    <col min="41" max="16384" width="8.88671875" style="49"/>
  </cols>
  <sheetData>
    <row r="1" spans="1:21" ht="17.25" customHeight="1" x14ac:dyDescent="0.25"/>
    <row r="2" spans="1:21" s="47" customFormat="1" ht="24" customHeight="1" x14ac:dyDescent="0.35">
      <c r="A2" s="335" t="s">
        <v>244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</row>
    <row r="3" spans="1:21" s="47" customFormat="1" ht="15" customHeight="1" x14ac:dyDescent="0.35"/>
    <row r="4" spans="1:21" s="47" customFormat="1" ht="21" customHeight="1" x14ac:dyDescent="0.35">
      <c r="A4" s="335" t="s">
        <v>194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</row>
    <row r="5" spans="1:21" ht="22.5" customHeight="1" x14ac:dyDescent="0.25">
      <c r="Q5" s="10"/>
      <c r="U5" s="10" t="s">
        <v>200</v>
      </c>
    </row>
    <row r="6" spans="1:21" ht="22.5" customHeight="1" thickBot="1" x14ac:dyDescent="0.3">
      <c r="Q6" s="10"/>
      <c r="U6" s="10" t="s">
        <v>199</v>
      </c>
    </row>
    <row r="7" spans="1:21" ht="18" customHeight="1" thickBot="1" x14ac:dyDescent="0.3">
      <c r="A7" s="364" t="s">
        <v>192</v>
      </c>
      <c r="B7" s="384" t="s">
        <v>239</v>
      </c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43" t="s">
        <v>78</v>
      </c>
      <c r="O7" s="367"/>
      <c r="P7" s="367"/>
      <c r="Q7" s="344"/>
      <c r="R7" s="343" t="s">
        <v>213</v>
      </c>
      <c r="S7" s="367"/>
      <c r="T7" s="367"/>
      <c r="U7" s="344"/>
    </row>
    <row r="8" spans="1:21" ht="17.100000000000001" customHeight="1" thickBot="1" x14ac:dyDescent="0.3">
      <c r="A8" s="391"/>
      <c r="B8" s="388" t="s">
        <v>240</v>
      </c>
      <c r="C8" s="389"/>
      <c r="D8" s="389"/>
      <c r="E8" s="390"/>
      <c r="F8" s="388" t="s">
        <v>71</v>
      </c>
      <c r="G8" s="389"/>
      <c r="H8" s="389"/>
      <c r="I8" s="390"/>
      <c r="J8" s="388" t="s">
        <v>121</v>
      </c>
      <c r="K8" s="389"/>
      <c r="L8" s="389"/>
      <c r="M8" s="390"/>
      <c r="N8" s="357" t="s">
        <v>80</v>
      </c>
      <c r="O8" s="358"/>
      <c r="P8" s="358"/>
      <c r="Q8" s="359"/>
      <c r="R8" s="357" t="s">
        <v>214</v>
      </c>
      <c r="S8" s="358"/>
      <c r="T8" s="358"/>
      <c r="U8" s="359"/>
    </row>
    <row r="9" spans="1:21" ht="17.100000000000001" customHeight="1" x14ac:dyDescent="0.25">
      <c r="A9" s="391"/>
      <c r="B9" s="374" t="s">
        <v>196</v>
      </c>
      <c r="C9" s="355" t="s">
        <v>197</v>
      </c>
      <c r="D9" s="355" t="s">
        <v>223</v>
      </c>
      <c r="E9" s="56" t="s">
        <v>0</v>
      </c>
      <c r="F9" s="374" t="s">
        <v>196</v>
      </c>
      <c r="G9" s="355" t="s">
        <v>197</v>
      </c>
      <c r="H9" s="355" t="s">
        <v>223</v>
      </c>
      <c r="I9" s="56" t="s">
        <v>0</v>
      </c>
      <c r="J9" s="374" t="s">
        <v>196</v>
      </c>
      <c r="K9" s="355" t="s">
        <v>197</v>
      </c>
      <c r="L9" s="355" t="s">
        <v>223</v>
      </c>
      <c r="M9" s="56" t="s">
        <v>0</v>
      </c>
      <c r="N9" s="374" t="s">
        <v>196</v>
      </c>
      <c r="O9" s="355" t="s">
        <v>197</v>
      </c>
      <c r="P9" s="355" t="s">
        <v>223</v>
      </c>
      <c r="Q9" s="56" t="s">
        <v>0</v>
      </c>
      <c r="R9" s="374" t="s">
        <v>196</v>
      </c>
      <c r="S9" s="355" t="s">
        <v>197</v>
      </c>
      <c r="T9" s="355" t="s">
        <v>223</v>
      </c>
      <c r="U9" s="56" t="s">
        <v>0</v>
      </c>
    </row>
    <row r="10" spans="1:21" ht="17.100000000000001" customHeight="1" thickBot="1" x14ac:dyDescent="0.3">
      <c r="A10" s="392"/>
      <c r="B10" s="375"/>
      <c r="C10" s="356"/>
      <c r="D10" s="356"/>
      <c r="E10" s="57" t="s">
        <v>11</v>
      </c>
      <c r="F10" s="375"/>
      <c r="G10" s="356"/>
      <c r="H10" s="356"/>
      <c r="I10" s="57" t="s">
        <v>11</v>
      </c>
      <c r="J10" s="375"/>
      <c r="K10" s="356"/>
      <c r="L10" s="356"/>
      <c r="M10" s="57" t="s">
        <v>11</v>
      </c>
      <c r="N10" s="375"/>
      <c r="O10" s="356"/>
      <c r="P10" s="356"/>
      <c r="Q10" s="57" t="s">
        <v>11</v>
      </c>
      <c r="R10" s="375"/>
      <c r="S10" s="356"/>
      <c r="T10" s="356"/>
      <c r="U10" s="57" t="s">
        <v>11</v>
      </c>
    </row>
    <row r="11" spans="1:21" ht="17.100000000000001" customHeight="1" x14ac:dyDescent="0.25">
      <c r="A11" s="96"/>
      <c r="B11" s="380" t="s">
        <v>72</v>
      </c>
      <c r="C11" s="381"/>
      <c r="D11" s="381"/>
      <c r="E11" s="382"/>
      <c r="F11" s="380" t="s">
        <v>73</v>
      </c>
      <c r="G11" s="381"/>
      <c r="H11" s="381"/>
      <c r="I11" s="382"/>
      <c r="J11" s="380" t="s">
        <v>74</v>
      </c>
      <c r="K11" s="381"/>
      <c r="L11" s="381"/>
      <c r="M11" s="382"/>
      <c r="N11" s="380" t="s">
        <v>77</v>
      </c>
      <c r="O11" s="381"/>
      <c r="P11" s="381"/>
      <c r="Q11" s="382"/>
      <c r="R11" s="380" t="s">
        <v>82</v>
      </c>
      <c r="S11" s="381"/>
      <c r="T11" s="381"/>
      <c r="U11" s="382"/>
    </row>
    <row r="12" spans="1:21" ht="17.100000000000001" customHeight="1" thickBot="1" x14ac:dyDescent="0.3">
      <c r="A12" s="96"/>
      <c r="B12" s="32"/>
      <c r="C12" s="288"/>
      <c r="D12" s="288"/>
      <c r="E12" s="289"/>
      <c r="F12" s="32"/>
      <c r="G12" s="288"/>
      <c r="H12" s="288"/>
      <c r="I12" s="289"/>
      <c r="J12" s="32"/>
      <c r="K12" s="288"/>
      <c r="L12" s="288"/>
      <c r="M12" s="61"/>
      <c r="N12" s="32"/>
      <c r="O12" s="288"/>
      <c r="P12" s="288"/>
      <c r="Q12" s="289"/>
      <c r="R12" s="288"/>
      <c r="S12" s="288"/>
      <c r="T12" s="288"/>
      <c r="U12" s="289"/>
    </row>
    <row r="13" spans="1:21" ht="17.100000000000001" customHeight="1" x14ac:dyDescent="0.25">
      <c r="A13" s="105" t="s">
        <v>155</v>
      </c>
      <c r="B13" s="29">
        <v>38282</v>
      </c>
      <c r="C13" s="30">
        <v>38282</v>
      </c>
      <c r="D13" s="30">
        <v>38282</v>
      </c>
      <c r="E13" s="31">
        <f t="shared" ref="E13:E41" si="0">D13/C13*100</f>
        <v>100</v>
      </c>
      <c r="F13" s="29"/>
      <c r="G13" s="30"/>
      <c r="H13" s="30"/>
      <c r="I13" s="31"/>
      <c r="J13" s="29"/>
      <c r="K13" s="30">
        <v>20989</v>
      </c>
      <c r="L13" s="30">
        <v>19674</v>
      </c>
      <c r="M13" s="64">
        <f t="shared" ref="M13:M21" si="1">L13/K13*100</f>
        <v>93.73481347372433</v>
      </c>
      <c r="N13" s="29">
        <v>75000</v>
      </c>
      <c r="O13" s="30">
        <v>70000</v>
      </c>
      <c r="P13" s="30">
        <v>34754</v>
      </c>
      <c r="Q13" s="31">
        <f>P13/O13*100</f>
        <v>49.648571428571429</v>
      </c>
      <c r="R13" s="113"/>
      <c r="S13" s="30"/>
      <c r="T13" s="30"/>
      <c r="U13" s="31"/>
    </row>
    <row r="14" spans="1:21" ht="17.100000000000001" customHeight="1" x14ac:dyDescent="0.25">
      <c r="A14" s="103" t="s">
        <v>156</v>
      </c>
      <c r="B14" s="21">
        <v>5693</v>
      </c>
      <c r="C14" s="22">
        <v>5693</v>
      </c>
      <c r="D14" s="22">
        <v>5693</v>
      </c>
      <c r="E14" s="23">
        <f t="shared" si="0"/>
        <v>100</v>
      </c>
      <c r="F14" s="21"/>
      <c r="G14" s="22"/>
      <c r="H14" s="22"/>
      <c r="I14" s="23"/>
      <c r="J14" s="21"/>
      <c r="K14" s="22">
        <v>2181</v>
      </c>
      <c r="L14" s="22">
        <v>2181</v>
      </c>
      <c r="M14" s="23">
        <f t="shared" si="1"/>
        <v>100</v>
      </c>
      <c r="N14" s="21"/>
      <c r="O14" s="22"/>
      <c r="P14" s="22"/>
      <c r="Q14" s="23"/>
      <c r="R14" s="114"/>
      <c r="S14" s="22"/>
      <c r="T14" s="22"/>
      <c r="U14" s="23"/>
    </row>
    <row r="15" spans="1:21" ht="17.100000000000001" customHeight="1" x14ac:dyDescent="0.25">
      <c r="A15" s="103" t="s">
        <v>157</v>
      </c>
      <c r="B15" s="21">
        <v>5289</v>
      </c>
      <c r="C15" s="22">
        <v>5289</v>
      </c>
      <c r="D15" s="22">
        <v>5289</v>
      </c>
      <c r="E15" s="23">
        <f t="shared" si="0"/>
        <v>100</v>
      </c>
      <c r="F15" s="21"/>
      <c r="G15" s="22"/>
      <c r="H15" s="22"/>
      <c r="I15" s="23"/>
      <c r="J15" s="21"/>
      <c r="K15" s="22">
        <v>1348</v>
      </c>
      <c r="L15" s="22">
        <v>1348</v>
      </c>
      <c r="M15" s="23">
        <f t="shared" si="1"/>
        <v>100</v>
      </c>
      <c r="N15" s="21">
        <v>111</v>
      </c>
      <c r="O15" s="22">
        <v>8265</v>
      </c>
      <c r="P15" s="22">
        <v>8264</v>
      </c>
      <c r="Q15" s="23">
        <f t="shared" ref="Q15:Q20" si="2">P15/O15*100</f>
        <v>99.987900786448876</v>
      </c>
      <c r="R15" s="114"/>
      <c r="S15" s="22"/>
      <c r="T15" s="22"/>
      <c r="U15" s="23"/>
    </row>
    <row r="16" spans="1:21" ht="17.100000000000001" customHeight="1" x14ac:dyDescent="0.25">
      <c r="A16" s="103" t="s">
        <v>158</v>
      </c>
      <c r="B16" s="21">
        <v>4355</v>
      </c>
      <c r="C16" s="22">
        <v>4355</v>
      </c>
      <c r="D16" s="22">
        <v>4355</v>
      </c>
      <c r="E16" s="23">
        <f t="shared" si="0"/>
        <v>100</v>
      </c>
      <c r="F16" s="21"/>
      <c r="G16" s="22">
        <v>2001</v>
      </c>
      <c r="H16" s="22">
        <v>2001</v>
      </c>
      <c r="I16" s="23">
        <f>H16/G16*100</f>
        <v>100</v>
      </c>
      <c r="J16" s="21"/>
      <c r="K16" s="22">
        <v>1527</v>
      </c>
      <c r="L16" s="22">
        <v>1527</v>
      </c>
      <c r="M16" s="23">
        <f t="shared" si="1"/>
        <v>100</v>
      </c>
      <c r="N16" s="21">
        <v>10402</v>
      </c>
      <c r="O16" s="22">
        <v>11874</v>
      </c>
      <c r="P16" s="22">
        <v>11875</v>
      </c>
      <c r="Q16" s="23">
        <f t="shared" si="2"/>
        <v>100.00842176183258</v>
      </c>
      <c r="R16" s="114"/>
      <c r="S16" s="22"/>
      <c r="T16" s="22"/>
      <c r="U16" s="23"/>
    </row>
    <row r="17" spans="1:21" ht="17.100000000000001" customHeight="1" x14ac:dyDescent="0.25">
      <c r="A17" s="103" t="s">
        <v>159</v>
      </c>
      <c r="B17" s="21">
        <v>5237</v>
      </c>
      <c r="C17" s="22">
        <v>5237</v>
      </c>
      <c r="D17" s="22">
        <v>5237</v>
      </c>
      <c r="E17" s="23">
        <f t="shared" si="0"/>
        <v>100</v>
      </c>
      <c r="F17" s="21"/>
      <c r="G17" s="22"/>
      <c r="H17" s="22"/>
      <c r="I17" s="23"/>
      <c r="J17" s="21"/>
      <c r="K17" s="22">
        <v>1442</v>
      </c>
      <c r="L17" s="22">
        <v>1442</v>
      </c>
      <c r="M17" s="23">
        <f t="shared" si="1"/>
        <v>100</v>
      </c>
      <c r="N17" s="21">
        <v>13500</v>
      </c>
      <c r="O17" s="22">
        <v>38500</v>
      </c>
      <c r="P17" s="22">
        <v>38500</v>
      </c>
      <c r="Q17" s="23">
        <f t="shared" si="2"/>
        <v>100</v>
      </c>
      <c r="R17" s="114"/>
      <c r="S17" s="22"/>
      <c r="T17" s="22"/>
      <c r="U17" s="23"/>
    </row>
    <row r="18" spans="1:21" ht="17.100000000000001" customHeight="1" x14ac:dyDescent="0.25">
      <c r="A18" s="103" t="s">
        <v>160</v>
      </c>
      <c r="B18" s="21">
        <v>990</v>
      </c>
      <c r="C18" s="22">
        <v>990</v>
      </c>
      <c r="D18" s="22">
        <v>990</v>
      </c>
      <c r="E18" s="23">
        <f t="shared" si="0"/>
        <v>100</v>
      </c>
      <c r="F18" s="21"/>
      <c r="G18" s="22"/>
      <c r="H18" s="22"/>
      <c r="I18" s="23"/>
      <c r="J18" s="21"/>
      <c r="K18" s="22">
        <v>479</v>
      </c>
      <c r="L18" s="22">
        <v>513</v>
      </c>
      <c r="M18" s="23">
        <f t="shared" si="1"/>
        <v>107.098121085595</v>
      </c>
      <c r="N18" s="21">
        <v>100</v>
      </c>
      <c r="O18" s="22">
        <v>150</v>
      </c>
      <c r="P18" s="22">
        <v>150</v>
      </c>
      <c r="Q18" s="23">
        <f t="shared" si="2"/>
        <v>100</v>
      </c>
      <c r="R18" s="114"/>
      <c r="S18" s="22"/>
      <c r="T18" s="22"/>
      <c r="U18" s="23"/>
    </row>
    <row r="19" spans="1:21" ht="17.100000000000001" customHeight="1" x14ac:dyDescent="0.25">
      <c r="A19" s="103" t="s">
        <v>161</v>
      </c>
      <c r="B19" s="21">
        <v>8479</v>
      </c>
      <c r="C19" s="22">
        <v>8479</v>
      </c>
      <c r="D19" s="22">
        <v>8479</v>
      </c>
      <c r="E19" s="23">
        <f t="shared" si="0"/>
        <v>100</v>
      </c>
      <c r="F19" s="21"/>
      <c r="G19" s="22"/>
      <c r="H19" s="22"/>
      <c r="I19" s="23"/>
      <c r="J19" s="21"/>
      <c r="K19" s="22">
        <v>3089</v>
      </c>
      <c r="L19" s="22">
        <v>3089</v>
      </c>
      <c r="M19" s="23">
        <f t="shared" si="1"/>
        <v>100</v>
      </c>
      <c r="N19" s="21">
        <v>19850</v>
      </c>
      <c r="O19" s="22">
        <v>19267</v>
      </c>
      <c r="P19" s="22">
        <v>5715</v>
      </c>
      <c r="Q19" s="23">
        <f t="shared" si="2"/>
        <v>29.662116572377638</v>
      </c>
      <c r="R19" s="114"/>
      <c r="S19" s="22"/>
      <c r="T19" s="22"/>
      <c r="U19" s="23"/>
    </row>
    <row r="20" spans="1:21" ht="17.100000000000001" customHeight="1" x14ac:dyDescent="0.25">
      <c r="A20" s="103" t="s">
        <v>162</v>
      </c>
      <c r="B20" s="21">
        <v>9979</v>
      </c>
      <c r="C20" s="22">
        <v>9979</v>
      </c>
      <c r="D20" s="22">
        <v>9979</v>
      </c>
      <c r="E20" s="23">
        <f t="shared" si="0"/>
        <v>100</v>
      </c>
      <c r="F20" s="21"/>
      <c r="G20" s="22"/>
      <c r="H20" s="22"/>
      <c r="I20" s="23"/>
      <c r="J20" s="21"/>
      <c r="K20" s="22">
        <v>3100</v>
      </c>
      <c r="L20" s="22">
        <v>3100</v>
      </c>
      <c r="M20" s="23">
        <f t="shared" si="1"/>
        <v>100</v>
      </c>
      <c r="N20" s="21">
        <v>34000</v>
      </c>
      <c r="O20" s="22">
        <v>37661</v>
      </c>
      <c r="P20" s="22">
        <v>37661</v>
      </c>
      <c r="Q20" s="23">
        <f t="shared" si="2"/>
        <v>100</v>
      </c>
      <c r="R20" s="114"/>
      <c r="S20" s="22"/>
      <c r="T20" s="22"/>
      <c r="U20" s="23"/>
    </row>
    <row r="21" spans="1:21" ht="17.100000000000001" customHeight="1" x14ac:dyDescent="0.25">
      <c r="A21" s="103" t="s">
        <v>163</v>
      </c>
      <c r="B21" s="21">
        <v>421</v>
      </c>
      <c r="C21" s="22">
        <v>421</v>
      </c>
      <c r="D21" s="22">
        <v>421</v>
      </c>
      <c r="E21" s="23">
        <f t="shared" si="0"/>
        <v>100</v>
      </c>
      <c r="F21" s="21"/>
      <c r="G21" s="22"/>
      <c r="H21" s="22"/>
      <c r="I21" s="23"/>
      <c r="J21" s="21"/>
      <c r="K21" s="22">
        <v>197</v>
      </c>
      <c r="L21" s="22">
        <v>197</v>
      </c>
      <c r="M21" s="23">
        <f t="shared" si="1"/>
        <v>100</v>
      </c>
      <c r="N21" s="21"/>
      <c r="O21" s="22"/>
      <c r="P21" s="22"/>
      <c r="Q21" s="23"/>
      <c r="R21" s="114"/>
      <c r="S21" s="22"/>
      <c r="T21" s="22"/>
      <c r="U21" s="23"/>
    </row>
    <row r="22" spans="1:21" ht="17.100000000000001" customHeight="1" x14ac:dyDescent="0.25">
      <c r="A22" s="103" t="s">
        <v>164</v>
      </c>
      <c r="B22" s="21">
        <v>3009</v>
      </c>
      <c r="C22" s="22">
        <v>3009</v>
      </c>
      <c r="D22" s="22">
        <v>3009</v>
      </c>
      <c r="E22" s="23">
        <f t="shared" si="0"/>
        <v>100</v>
      </c>
      <c r="F22" s="21"/>
      <c r="G22" s="22"/>
      <c r="H22" s="22"/>
      <c r="I22" s="23"/>
      <c r="J22" s="21"/>
      <c r="K22" s="22">
        <v>864</v>
      </c>
      <c r="L22" s="22">
        <v>860</v>
      </c>
      <c r="M22" s="23">
        <f t="shared" ref="M22:M36" si="3">L22/K22*100</f>
        <v>99.537037037037038</v>
      </c>
      <c r="N22" s="21">
        <v>1200</v>
      </c>
      <c r="O22" s="22">
        <v>1200</v>
      </c>
      <c r="P22" s="22">
        <v>1703</v>
      </c>
      <c r="Q22" s="23">
        <f>P22/O22*100</f>
        <v>141.91666666666666</v>
      </c>
      <c r="R22" s="114"/>
      <c r="S22" s="22"/>
      <c r="T22" s="22"/>
      <c r="U22" s="23"/>
    </row>
    <row r="23" spans="1:21" ht="17.100000000000001" customHeight="1" x14ac:dyDescent="0.25">
      <c r="A23" s="103" t="s">
        <v>165</v>
      </c>
      <c r="B23" s="21">
        <v>1682</v>
      </c>
      <c r="C23" s="22">
        <v>1682</v>
      </c>
      <c r="D23" s="22">
        <v>1682</v>
      </c>
      <c r="E23" s="23">
        <f t="shared" si="0"/>
        <v>100</v>
      </c>
      <c r="F23" s="21"/>
      <c r="G23" s="22"/>
      <c r="H23" s="22"/>
      <c r="I23" s="23"/>
      <c r="J23" s="21"/>
      <c r="K23" s="22">
        <v>333</v>
      </c>
      <c r="L23" s="22">
        <v>333</v>
      </c>
      <c r="M23" s="23">
        <f t="shared" si="3"/>
        <v>100</v>
      </c>
      <c r="N23" s="21">
        <v>4100</v>
      </c>
      <c r="O23" s="22">
        <v>3692</v>
      </c>
      <c r="P23" s="22">
        <v>3190</v>
      </c>
      <c r="Q23" s="23">
        <f>P23/O23*100</f>
        <v>86.403033586132182</v>
      </c>
      <c r="R23" s="114"/>
      <c r="S23" s="22"/>
      <c r="T23" s="22"/>
      <c r="U23" s="23"/>
    </row>
    <row r="24" spans="1:21" ht="17.100000000000001" customHeight="1" x14ac:dyDescent="0.25">
      <c r="A24" s="103" t="s">
        <v>166</v>
      </c>
      <c r="B24" s="21">
        <v>1610</v>
      </c>
      <c r="C24" s="22">
        <v>1610</v>
      </c>
      <c r="D24" s="22">
        <v>1610</v>
      </c>
      <c r="E24" s="23">
        <f t="shared" si="0"/>
        <v>100</v>
      </c>
      <c r="F24" s="21"/>
      <c r="G24" s="22"/>
      <c r="H24" s="22"/>
      <c r="I24" s="23"/>
      <c r="J24" s="21"/>
      <c r="K24" s="22">
        <v>1134</v>
      </c>
      <c r="L24" s="22">
        <v>1134</v>
      </c>
      <c r="M24" s="23">
        <f t="shared" si="3"/>
        <v>100</v>
      </c>
      <c r="N24" s="21"/>
      <c r="O24" s="22"/>
      <c r="P24" s="22"/>
      <c r="Q24" s="23"/>
      <c r="R24" s="114"/>
      <c r="S24" s="22"/>
      <c r="T24" s="22"/>
      <c r="U24" s="23"/>
    </row>
    <row r="25" spans="1:21" ht="17.100000000000001" customHeight="1" x14ac:dyDescent="0.25">
      <c r="A25" s="103" t="s">
        <v>167</v>
      </c>
      <c r="B25" s="21">
        <v>19045</v>
      </c>
      <c r="C25" s="22">
        <v>19045</v>
      </c>
      <c r="D25" s="22">
        <v>19045</v>
      </c>
      <c r="E25" s="23">
        <f t="shared" si="0"/>
        <v>100</v>
      </c>
      <c r="F25" s="21"/>
      <c r="G25" s="22"/>
      <c r="H25" s="22"/>
      <c r="I25" s="23"/>
      <c r="J25" s="21">
        <v>5376</v>
      </c>
      <c r="K25" s="22">
        <v>10239</v>
      </c>
      <c r="L25" s="22">
        <v>9281</v>
      </c>
      <c r="M25" s="23">
        <f t="shared" si="3"/>
        <v>90.643617540775466</v>
      </c>
      <c r="N25" s="21">
        <v>53000</v>
      </c>
      <c r="O25" s="22">
        <v>99300</v>
      </c>
      <c r="P25" s="22">
        <v>99379</v>
      </c>
      <c r="Q25" s="23">
        <f t="shared" ref="Q25:Q32" si="4">P25/O25*100</f>
        <v>100.07955689828802</v>
      </c>
      <c r="R25" s="114"/>
      <c r="S25" s="22"/>
      <c r="T25" s="22"/>
      <c r="U25" s="23"/>
    </row>
    <row r="26" spans="1:21" ht="16.5" customHeight="1" x14ac:dyDescent="0.25">
      <c r="A26" s="103" t="s">
        <v>168</v>
      </c>
      <c r="B26" s="21">
        <v>2203</v>
      </c>
      <c r="C26" s="22">
        <v>2203</v>
      </c>
      <c r="D26" s="22">
        <v>2203</v>
      </c>
      <c r="E26" s="23">
        <f t="shared" si="0"/>
        <v>100</v>
      </c>
      <c r="F26" s="21"/>
      <c r="G26" s="22"/>
      <c r="H26" s="22"/>
      <c r="I26" s="23"/>
      <c r="J26" s="21"/>
      <c r="K26" s="22">
        <v>2633</v>
      </c>
      <c r="L26" s="22">
        <v>1839</v>
      </c>
      <c r="M26" s="23">
        <f t="shared" si="3"/>
        <v>69.844284086593248</v>
      </c>
      <c r="N26" s="21">
        <v>936</v>
      </c>
      <c r="O26" s="22">
        <v>1386</v>
      </c>
      <c r="P26" s="22">
        <v>450</v>
      </c>
      <c r="Q26" s="23">
        <f t="shared" si="4"/>
        <v>32.467532467532465</v>
      </c>
      <c r="R26" s="114"/>
      <c r="S26" s="22"/>
      <c r="T26" s="22"/>
      <c r="U26" s="23"/>
    </row>
    <row r="27" spans="1:21" ht="15.75" customHeight="1" x14ac:dyDescent="0.25">
      <c r="A27" s="103" t="s">
        <v>169</v>
      </c>
      <c r="B27" s="21">
        <v>8779</v>
      </c>
      <c r="C27" s="22">
        <v>8779</v>
      </c>
      <c r="D27" s="22">
        <v>8779</v>
      </c>
      <c r="E27" s="23">
        <f t="shared" si="0"/>
        <v>100</v>
      </c>
      <c r="F27" s="21"/>
      <c r="G27" s="22">
        <v>124</v>
      </c>
      <c r="H27" s="22">
        <v>124</v>
      </c>
      <c r="I27" s="23">
        <f>H27/G27*100</f>
        <v>100</v>
      </c>
      <c r="J27" s="21"/>
      <c r="K27" s="22">
        <v>4772</v>
      </c>
      <c r="L27" s="22">
        <v>4771</v>
      </c>
      <c r="M27" s="23">
        <f t="shared" si="3"/>
        <v>99.979044425817264</v>
      </c>
      <c r="N27" s="21">
        <v>63180</v>
      </c>
      <c r="O27" s="22">
        <v>62457</v>
      </c>
      <c r="P27" s="22">
        <v>62457</v>
      </c>
      <c r="Q27" s="23">
        <f t="shared" si="4"/>
        <v>100</v>
      </c>
      <c r="R27" s="114"/>
      <c r="S27" s="22"/>
      <c r="T27" s="22"/>
      <c r="U27" s="23"/>
    </row>
    <row r="28" spans="1:21" ht="17.100000000000001" customHeight="1" x14ac:dyDescent="0.25">
      <c r="A28" s="103" t="s">
        <v>170</v>
      </c>
      <c r="B28" s="21">
        <v>3114</v>
      </c>
      <c r="C28" s="22">
        <v>3114</v>
      </c>
      <c r="D28" s="22">
        <v>3114</v>
      </c>
      <c r="E28" s="23">
        <f t="shared" si="0"/>
        <v>100</v>
      </c>
      <c r="F28" s="21"/>
      <c r="G28" s="22">
        <v>111</v>
      </c>
      <c r="H28" s="22">
        <v>111</v>
      </c>
      <c r="I28" s="23">
        <f>H28/G28*100</f>
        <v>100</v>
      </c>
      <c r="J28" s="21"/>
      <c r="K28" s="22">
        <v>300</v>
      </c>
      <c r="L28" s="22">
        <v>300</v>
      </c>
      <c r="M28" s="23">
        <f t="shared" si="3"/>
        <v>100</v>
      </c>
      <c r="N28" s="21">
        <v>11530</v>
      </c>
      <c r="O28" s="22">
        <v>11530</v>
      </c>
      <c r="P28" s="22">
        <v>18921</v>
      </c>
      <c r="Q28" s="23">
        <f t="shared" si="4"/>
        <v>164.10234171725932</v>
      </c>
      <c r="R28" s="114"/>
      <c r="S28" s="22"/>
      <c r="T28" s="22"/>
      <c r="U28" s="23"/>
    </row>
    <row r="29" spans="1:21" ht="17.100000000000001" customHeight="1" x14ac:dyDescent="0.25">
      <c r="A29" s="103" t="s">
        <v>171</v>
      </c>
      <c r="B29" s="21">
        <v>3790</v>
      </c>
      <c r="C29" s="22">
        <v>3790</v>
      </c>
      <c r="D29" s="22">
        <v>3790</v>
      </c>
      <c r="E29" s="23">
        <f t="shared" si="0"/>
        <v>100</v>
      </c>
      <c r="F29" s="21"/>
      <c r="G29" s="22"/>
      <c r="H29" s="22"/>
      <c r="I29" s="23"/>
      <c r="J29" s="21"/>
      <c r="K29" s="22">
        <v>902</v>
      </c>
      <c r="L29" s="22">
        <v>902</v>
      </c>
      <c r="M29" s="23">
        <f t="shared" si="3"/>
        <v>100</v>
      </c>
      <c r="N29" s="21">
        <v>14600</v>
      </c>
      <c r="O29" s="22">
        <v>23673</v>
      </c>
      <c r="P29" s="22">
        <v>23673</v>
      </c>
      <c r="Q29" s="23">
        <f t="shared" si="4"/>
        <v>100</v>
      </c>
      <c r="R29" s="114"/>
      <c r="S29" s="22"/>
      <c r="T29" s="22"/>
      <c r="U29" s="23"/>
    </row>
    <row r="30" spans="1:21" ht="17.100000000000001" customHeight="1" x14ac:dyDescent="0.25">
      <c r="A30" s="103" t="s">
        <v>172</v>
      </c>
      <c r="B30" s="21">
        <v>5331</v>
      </c>
      <c r="C30" s="22">
        <v>5331</v>
      </c>
      <c r="D30" s="22">
        <v>5331</v>
      </c>
      <c r="E30" s="23">
        <f t="shared" si="0"/>
        <v>100</v>
      </c>
      <c r="F30" s="21"/>
      <c r="G30" s="22">
        <v>2214</v>
      </c>
      <c r="H30" s="22">
        <v>1557</v>
      </c>
      <c r="I30" s="23">
        <f>H30/G30*100</f>
        <v>70.325203252032523</v>
      </c>
      <c r="J30" s="21">
        <v>55</v>
      </c>
      <c r="K30" s="22">
        <v>1529</v>
      </c>
      <c r="L30" s="22">
        <v>1501</v>
      </c>
      <c r="M30" s="23">
        <f t="shared" si="3"/>
        <v>98.168737737083063</v>
      </c>
      <c r="N30" s="21">
        <v>16467</v>
      </c>
      <c r="O30" s="22">
        <v>16467</v>
      </c>
      <c r="P30" s="22">
        <v>16467</v>
      </c>
      <c r="Q30" s="23">
        <f t="shared" si="4"/>
        <v>100</v>
      </c>
      <c r="R30" s="114"/>
      <c r="S30" s="22"/>
      <c r="T30" s="22"/>
      <c r="U30" s="23"/>
    </row>
    <row r="31" spans="1:21" ht="17.100000000000001" customHeight="1" x14ac:dyDescent="0.25">
      <c r="A31" s="103" t="s">
        <v>173</v>
      </c>
      <c r="B31" s="21">
        <v>10976</v>
      </c>
      <c r="C31" s="22">
        <v>10976</v>
      </c>
      <c r="D31" s="22">
        <v>10976</v>
      </c>
      <c r="E31" s="23">
        <f t="shared" si="0"/>
        <v>100</v>
      </c>
      <c r="F31" s="21"/>
      <c r="G31" s="22">
        <v>251</v>
      </c>
      <c r="H31" s="22">
        <v>251</v>
      </c>
      <c r="I31" s="23">
        <f>H31/G31*100</f>
        <v>100</v>
      </c>
      <c r="J31" s="21"/>
      <c r="K31" s="22">
        <v>5087</v>
      </c>
      <c r="L31" s="22">
        <v>5087</v>
      </c>
      <c r="M31" s="23">
        <f t="shared" si="3"/>
        <v>100</v>
      </c>
      <c r="N31" s="21">
        <v>43154</v>
      </c>
      <c r="O31" s="22">
        <v>58785</v>
      </c>
      <c r="P31" s="22">
        <v>58785</v>
      </c>
      <c r="Q31" s="23">
        <f t="shared" si="4"/>
        <v>100</v>
      </c>
      <c r="R31" s="114"/>
      <c r="S31" s="22"/>
      <c r="T31" s="22"/>
      <c r="U31" s="23"/>
    </row>
    <row r="32" spans="1:21" ht="17.100000000000001" customHeight="1" x14ac:dyDescent="0.25">
      <c r="A32" s="103" t="s">
        <v>174</v>
      </c>
      <c r="B32" s="21">
        <v>3863</v>
      </c>
      <c r="C32" s="22">
        <v>3863</v>
      </c>
      <c r="D32" s="22">
        <v>3863</v>
      </c>
      <c r="E32" s="23">
        <f t="shared" si="0"/>
        <v>100</v>
      </c>
      <c r="F32" s="21"/>
      <c r="G32" s="22">
        <v>1576</v>
      </c>
      <c r="H32" s="22">
        <v>1123</v>
      </c>
      <c r="I32" s="23">
        <f>H32/G32*100</f>
        <v>71.256345177664969</v>
      </c>
      <c r="J32" s="21"/>
      <c r="K32" s="22">
        <v>464</v>
      </c>
      <c r="L32" s="22">
        <v>464</v>
      </c>
      <c r="M32" s="23">
        <f t="shared" si="3"/>
        <v>100</v>
      </c>
      <c r="N32" s="21">
        <v>13860</v>
      </c>
      <c r="O32" s="22">
        <v>13398</v>
      </c>
      <c r="P32" s="22">
        <v>13861</v>
      </c>
      <c r="Q32" s="23">
        <f t="shared" si="4"/>
        <v>103.45573966263622</v>
      </c>
      <c r="R32" s="114"/>
      <c r="S32" s="22"/>
      <c r="T32" s="22"/>
      <c r="U32" s="23"/>
    </row>
    <row r="33" spans="1:21" ht="17.100000000000001" customHeight="1" x14ac:dyDescent="0.25">
      <c r="A33" s="103" t="s">
        <v>175</v>
      </c>
      <c r="B33" s="21">
        <v>2300</v>
      </c>
      <c r="C33" s="22">
        <v>2300</v>
      </c>
      <c r="D33" s="22">
        <v>2300</v>
      </c>
      <c r="E33" s="23">
        <f t="shared" si="0"/>
        <v>100</v>
      </c>
      <c r="F33" s="21"/>
      <c r="G33" s="22"/>
      <c r="H33" s="22"/>
      <c r="I33" s="23"/>
      <c r="J33" s="21"/>
      <c r="K33" s="22">
        <v>480</v>
      </c>
      <c r="L33" s="22">
        <v>480</v>
      </c>
      <c r="M33" s="23">
        <f t="shared" si="3"/>
        <v>100</v>
      </c>
      <c r="N33" s="21"/>
      <c r="O33" s="22"/>
      <c r="P33" s="22"/>
      <c r="Q33" s="23"/>
      <c r="R33" s="114"/>
      <c r="S33" s="22"/>
      <c r="T33" s="22"/>
      <c r="U33" s="23"/>
    </row>
    <row r="34" spans="1:21" ht="17.100000000000001" customHeight="1" x14ac:dyDescent="0.25">
      <c r="A34" s="103" t="s">
        <v>176</v>
      </c>
      <c r="B34" s="21">
        <v>1389</v>
      </c>
      <c r="C34" s="22">
        <v>1389</v>
      </c>
      <c r="D34" s="22">
        <v>1389</v>
      </c>
      <c r="E34" s="23">
        <f t="shared" si="0"/>
        <v>100</v>
      </c>
      <c r="F34" s="21"/>
      <c r="G34" s="22"/>
      <c r="H34" s="22"/>
      <c r="I34" s="23"/>
      <c r="J34" s="21"/>
      <c r="K34" s="22">
        <v>547</v>
      </c>
      <c r="L34" s="22">
        <v>547</v>
      </c>
      <c r="M34" s="23">
        <f t="shared" si="3"/>
        <v>100</v>
      </c>
      <c r="N34" s="21"/>
      <c r="O34" s="22"/>
      <c r="P34" s="22"/>
      <c r="Q34" s="23"/>
      <c r="R34" s="114"/>
      <c r="S34" s="22"/>
      <c r="T34" s="22"/>
      <c r="U34" s="23"/>
    </row>
    <row r="35" spans="1:21" ht="17.100000000000001" customHeight="1" x14ac:dyDescent="0.25">
      <c r="A35" s="103" t="s">
        <v>177</v>
      </c>
      <c r="B35" s="21">
        <v>10781</v>
      </c>
      <c r="C35" s="22">
        <v>10781</v>
      </c>
      <c r="D35" s="22">
        <v>10781</v>
      </c>
      <c r="E35" s="23">
        <f t="shared" si="0"/>
        <v>100</v>
      </c>
      <c r="F35" s="21"/>
      <c r="G35" s="22"/>
      <c r="H35" s="22"/>
      <c r="I35" s="23"/>
      <c r="J35" s="21"/>
      <c r="K35" s="22">
        <v>4426</v>
      </c>
      <c r="L35" s="22">
        <v>4426</v>
      </c>
      <c r="M35" s="23">
        <f t="shared" si="3"/>
        <v>100</v>
      </c>
      <c r="N35" s="21">
        <v>30225</v>
      </c>
      <c r="O35" s="22">
        <v>30523</v>
      </c>
      <c r="P35" s="22">
        <v>30525</v>
      </c>
      <c r="Q35" s="23">
        <f>P35/O35*100</f>
        <v>100.00655243586803</v>
      </c>
      <c r="R35" s="114"/>
      <c r="S35" s="22"/>
      <c r="T35" s="22"/>
      <c r="U35" s="23"/>
    </row>
    <row r="36" spans="1:21" ht="17.100000000000001" customHeight="1" x14ac:dyDescent="0.25">
      <c r="A36" s="103" t="s">
        <v>178</v>
      </c>
      <c r="B36" s="21">
        <v>2264</v>
      </c>
      <c r="C36" s="22">
        <v>2264</v>
      </c>
      <c r="D36" s="22">
        <v>2264</v>
      </c>
      <c r="E36" s="23">
        <f t="shared" si="0"/>
        <v>100</v>
      </c>
      <c r="F36" s="21"/>
      <c r="G36" s="22">
        <v>2</v>
      </c>
      <c r="H36" s="22">
        <v>2</v>
      </c>
      <c r="I36" s="23">
        <f t="shared" ref="I36" si="5">H36/G36*100</f>
        <v>100</v>
      </c>
      <c r="J36" s="21"/>
      <c r="K36" s="22">
        <v>2176</v>
      </c>
      <c r="L36" s="22">
        <v>2176</v>
      </c>
      <c r="M36" s="23">
        <f t="shared" si="3"/>
        <v>100</v>
      </c>
      <c r="N36" s="21"/>
      <c r="O36" s="22">
        <v>1500</v>
      </c>
      <c r="P36" s="22">
        <v>1500</v>
      </c>
      <c r="Q36" s="23">
        <f>P36/O36*100</f>
        <v>100</v>
      </c>
      <c r="R36" s="114"/>
      <c r="S36" s="22"/>
      <c r="T36" s="22">
        <v>120</v>
      </c>
      <c r="U36" s="23"/>
    </row>
    <row r="37" spans="1:21" ht="17.100000000000001" customHeight="1" x14ac:dyDescent="0.25">
      <c r="A37" s="103" t="s">
        <v>179</v>
      </c>
      <c r="B37" s="21">
        <v>6203</v>
      </c>
      <c r="C37" s="22">
        <v>6203</v>
      </c>
      <c r="D37" s="22">
        <v>6203</v>
      </c>
      <c r="E37" s="23">
        <f t="shared" si="0"/>
        <v>100</v>
      </c>
      <c r="F37" s="21"/>
      <c r="G37" s="22"/>
      <c r="H37" s="22"/>
      <c r="I37" s="23"/>
      <c r="J37" s="21"/>
      <c r="K37" s="22">
        <v>2000</v>
      </c>
      <c r="L37" s="22">
        <v>2000</v>
      </c>
      <c r="M37" s="23">
        <f>L37/K37*100</f>
        <v>100</v>
      </c>
      <c r="N37" s="21">
        <v>3000</v>
      </c>
      <c r="O37" s="22">
        <v>9647</v>
      </c>
      <c r="P37" s="22">
        <v>9647</v>
      </c>
      <c r="Q37" s="23">
        <f>P37/O37*100</f>
        <v>100</v>
      </c>
      <c r="R37" s="114"/>
      <c r="S37" s="22"/>
      <c r="T37" s="22"/>
      <c r="U37" s="23"/>
    </row>
    <row r="38" spans="1:21" ht="17.100000000000001" customHeight="1" x14ac:dyDescent="0.25">
      <c r="A38" s="103" t="s">
        <v>180</v>
      </c>
      <c r="B38" s="21">
        <v>684</v>
      </c>
      <c r="C38" s="22">
        <v>684</v>
      </c>
      <c r="D38" s="22">
        <v>684</v>
      </c>
      <c r="E38" s="23">
        <f t="shared" si="0"/>
        <v>100</v>
      </c>
      <c r="F38" s="21"/>
      <c r="G38" s="22"/>
      <c r="H38" s="22"/>
      <c r="I38" s="23"/>
      <c r="J38" s="21">
        <v>66</v>
      </c>
      <c r="K38" s="22">
        <v>318</v>
      </c>
      <c r="L38" s="22">
        <v>291</v>
      </c>
      <c r="M38" s="23">
        <f>L38/K38*100</f>
        <v>91.509433962264154</v>
      </c>
      <c r="N38" s="21"/>
      <c r="O38" s="22"/>
      <c r="P38" s="22"/>
      <c r="Q38" s="23"/>
      <c r="R38" s="114"/>
      <c r="S38" s="22"/>
      <c r="T38" s="22"/>
      <c r="U38" s="23"/>
    </row>
    <row r="39" spans="1:21" ht="17.100000000000001" customHeight="1" x14ac:dyDescent="0.25">
      <c r="A39" s="103" t="s">
        <v>181</v>
      </c>
      <c r="B39" s="21">
        <v>442</v>
      </c>
      <c r="C39" s="22">
        <v>442</v>
      </c>
      <c r="D39" s="22">
        <v>442</v>
      </c>
      <c r="E39" s="23">
        <f t="shared" si="0"/>
        <v>100</v>
      </c>
      <c r="F39" s="21"/>
      <c r="G39" s="22"/>
      <c r="H39" s="22"/>
      <c r="I39" s="23"/>
      <c r="J39" s="21"/>
      <c r="K39" s="22"/>
      <c r="L39" s="22"/>
      <c r="M39" s="23"/>
      <c r="N39" s="21"/>
      <c r="O39" s="22"/>
      <c r="P39" s="22"/>
      <c r="Q39" s="23"/>
      <c r="R39" s="114"/>
      <c r="S39" s="22"/>
      <c r="T39" s="22"/>
      <c r="U39" s="23"/>
    </row>
    <row r="40" spans="1:21" ht="17.100000000000001" customHeight="1" x14ac:dyDescent="0.25">
      <c r="A40" s="103" t="s">
        <v>182</v>
      </c>
      <c r="B40" s="21">
        <v>232</v>
      </c>
      <c r="C40" s="22">
        <v>232</v>
      </c>
      <c r="D40" s="22">
        <v>232</v>
      </c>
      <c r="E40" s="23">
        <f t="shared" si="0"/>
        <v>100</v>
      </c>
      <c r="F40" s="21"/>
      <c r="G40" s="22">
        <v>96</v>
      </c>
      <c r="H40" s="22">
        <v>96</v>
      </c>
      <c r="I40" s="23">
        <f>H40/G40*100</f>
        <v>100</v>
      </c>
      <c r="J40" s="21"/>
      <c r="K40" s="22">
        <v>89</v>
      </c>
      <c r="L40" s="22">
        <v>76</v>
      </c>
      <c r="M40" s="23">
        <f>L40/K40*100</f>
        <v>85.393258426966284</v>
      </c>
      <c r="N40" s="21"/>
      <c r="O40" s="22"/>
      <c r="P40" s="22"/>
      <c r="Q40" s="23"/>
      <c r="R40" s="114"/>
      <c r="S40" s="22"/>
      <c r="T40" s="22"/>
      <c r="U40" s="23"/>
    </row>
    <row r="41" spans="1:21" ht="15" customHeight="1" thickBot="1" x14ac:dyDescent="0.3">
      <c r="A41" s="104" t="s">
        <v>183</v>
      </c>
      <c r="B41" s="25">
        <v>312</v>
      </c>
      <c r="C41" s="26">
        <v>312</v>
      </c>
      <c r="D41" s="26">
        <v>312</v>
      </c>
      <c r="E41" s="27">
        <f t="shared" si="0"/>
        <v>100</v>
      </c>
      <c r="F41" s="25"/>
      <c r="G41" s="26"/>
      <c r="H41" s="26"/>
      <c r="I41" s="27"/>
      <c r="J41" s="25">
        <v>0</v>
      </c>
      <c r="K41" s="26"/>
      <c r="L41" s="26"/>
      <c r="M41" s="27"/>
      <c r="N41" s="25"/>
      <c r="O41" s="26"/>
      <c r="P41" s="26"/>
      <c r="Q41" s="27"/>
      <c r="R41" s="115"/>
      <c r="S41" s="26"/>
      <c r="T41" s="26"/>
      <c r="U41" s="27"/>
    </row>
    <row r="42" spans="1:21" ht="15" customHeight="1" thickBot="1" x14ac:dyDescent="0.3">
      <c r="A42" s="96"/>
      <c r="B42" s="50"/>
      <c r="C42" s="51"/>
      <c r="D42" s="51"/>
      <c r="E42" s="35"/>
      <c r="F42" s="50"/>
      <c r="G42" s="51"/>
      <c r="H42" s="51"/>
      <c r="I42" s="35"/>
      <c r="J42" s="50"/>
      <c r="K42" s="51"/>
      <c r="L42" s="51"/>
      <c r="M42" s="35"/>
      <c r="N42" s="50"/>
      <c r="O42" s="51"/>
      <c r="P42" s="51"/>
      <c r="Q42" s="35"/>
      <c r="R42" s="51"/>
      <c r="S42" s="51"/>
      <c r="T42" s="51"/>
      <c r="U42" s="35"/>
    </row>
    <row r="43" spans="1:21" s="48" customFormat="1" ht="18" customHeight="1" thickBot="1" x14ac:dyDescent="0.3">
      <c r="A43" s="106" t="s">
        <v>198</v>
      </c>
      <c r="B43" s="36">
        <f>SUM(B13:B41)</f>
        <v>166734</v>
      </c>
      <c r="C43" s="42">
        <f>SUM(C13:C41)</f>
        <v>166734</v>
      </c>
      <c r="D43" s="42">
        <f>SUM(D13:D41)</f>
        <v>166734</v>
      </c>
      <c r="E43" s="39">
        <f>D43/C43*100</f>
        <v>100</v>
      </c>
      <c r="F43" s="36">
        <f>SUM(F13:F41)</f>
        <v>0</v>
      </c>
      <c r="G43" s="42">
        <f>SUM(G13:G42)</f>
        <v>6375</v>
      </c>
      <c r="H43" s="42">
        <f>SUM(H13:H42)</f>
        <v>5265</v>
      </c>
      <c r="I43" s="39">
        <f>H43/G43*100</f>
        <v>82.588235294117652</v>
      </c>
      <c r="J43" s="36">
        <f>SUM(J13:J41)</f>
        <v>5497</v>
      </c>
      <c r="K43" s="42">
        <f>SUM(K13:K41)</f>
        <v>72645</v>
      </c>
      <c r="L43" s="42">
        <f>SUM(L13:L41)</f>
        <v>69539</v>
      </c>
      <c r="M43" s="39">
        <f>L43/K43*100</f>
        <v>95.724413242480551</v>
      </c>
      <c r="N43" s="36">
        <f>SUM(N13:N41)</f>
        <v>408215</v>
      </c>
      <c r="O43" s="42">
        <f>SUM(O13:O41)</f>
        <v>519275</v>
      </c>
      <c r="P43" s="42">
        <f>SUM(P13:P41)</f>
        <v>477477</v>
      </c>
      <c r="Q43" s="39">
        <f>P43/O43*100</f>
        <v>91.95070049588368</v>
      </c>
      <c r="R43" s="116"/>
      <c r="S43" s="42">
        <f>SUM(S12:S41)</f>
        <v>0</v>
      </c>
      <c r="T43" s="42">
        <f>SUM(T12:T41)</f>
        <v>120</v>
      </c>
      <c r="U43" s="39"/>
    </row>
    <row r="44" spans="1:21" ht="17.100000000000001" customHeight="1" x14ac:dyDescent="0.25"/>
    <row r="45" spans="1:21" ht="17.100000000000001" customHeight="1" x14ac:dyDescent="0.25"/>
    <row r="46" spans="1:21" ht="22.5" customHeight="1" x14ac:dyDescent="0.25">
      <c r="A46" s="48">
        <v>2013</v>
      </c>
      <c r="B46" s="40">
        <v>197437</v>
      </c>
      <c r="C46" s="40">
        <v>197437</v>
      </c>
      <c r="D46" s="40">
        <v>197437</v>
      </c>
      <c r="E46" s="40"/>
      <c r="F46" s="40">
        <v>4104</v>
      </c>
      <c r="G46" s="40">
        <v>9115</v>
      </c>
      <c r="H46" s="40">
        <v>8559</v>
      </c>
      <c r="I46" s="40"/>
      <c r="J46" s="40">
        <v>2617</v>
      </c>
      <c r="K46" s="40">
        <v>46274</v>
      </c>
      <c r="L46" s="40">
        <v>45481</v>
      </c>
      <c r="M46" s="40"/>
      <c r="N46" s="40">
        <v>469649</v>
      </c>
      <c r="O46" s="40">
        <v>617120</v>
      </c>
      <c r="P46" s="40">
        <v>512828</v>
      </c>
      <c r="Q46" s="40"/>
    </row>
    <row r="47" spans="1:21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</row>
    <row r="48" spans="1:21" ht="22.5" customHeight="1" x14ac:dyDescent="0.25">
      <c r="A48" s="48">
        <v>2014</v>
      </c>
      <c r="B48" s="40">
        <v>168898</v>
      </c>
      <c r="C48" s="40">
        <v>168898</v>
      </c>
      <c r="D48" s="40">
        <v>168898</v>
      </c>
      <c r="E48" s="40"/>
      <c r="F48" s="40">
        <v>1651</v>
      </c>
      <c r="G48" s="40">
        <v>6798</v>
      </c>
      <c r="H48" s="40">
        <v>6798</v>
      </c>
      <c r="I48" s="40"/>
      <c r="J48" s="40">
        <v>2978</v>
      </c>
      <c r="K48" s="40">
        <v>73079</v>
      </c>
      <c r="L48" s="40">
        <v>74380</v>
      </c>
      <c r="M48" s="40"/>
      <c r="N48" s="40">
        <v>434919</v>
      </c>
      <c r="O48" s="40">
        <v>629716</v>
      </c>
      <c r="P48" s="40">
        <v>611225</v>
      </c>
      <c r="Q48" s="40"/>
    </row>
    <row r="52" spans="4:16" x14ac:dyDescent="0.25">
      <c r="D52" s="49">
        <v>268014</v>
      </c>
      <c r="H52" s="49">
        <v>11350</v>
      </c>
      <c r="L52" s="49">
        <v>149901</v>
      </c>
      <c r="P52" s="49">
        <v>515165</v>
      </c>
    </row>
    <row r="54" spans="4:16" x14ac:dyDescent="0.25">
      <c r="D54" s="40">
        <f>D46-D48</f>
        <v>28539</v>
      </c>
      <c r="H54" s="40">
        <f>H46-H48</f>
        <v>1761</v>
      </c>
      <c r="L54" s="40">
        <f>L46-L48</f>
        <v>-28899</v>
      </c>
      <c r="P54" s="40">
        <f>P46-P48</f>
        <v>-98397</v>
      </c>
    </row>
    <row r="55" spans="4:16" x14ac:dyDescent="0.25">
      <c r="D55" s="49">
        <f>D54/D48*100</f>
        <v>16.897180546838921</v>
      </c>
      <c r="H55" s="49">
        <f>H54/H48*100</f>
        <v>25.904677846425418</v>
      </c>
      <c r="L55" s="49">
        <f>L54/L48*100</f>
        <v>-38.853186340414091</v>
      </c>
      <c r="P55" s="49">
        <f>P54/P48*100</f>
        <v>-16.098327129943964</v>
      </c>
    </row>
  </sheetData>
  <mergeCells count="31">
    <mergeCell ref="A7:A10"/>
    <mergeCell ref="B8:E8"/>
    <mergeCell ref="F8:I8"/>
    <mergeCell ref="B9:B10"/>
    <mergeCell ref="C9:C10"/>
    <mergeCell ref="D9:D10"/>
    <mergeCell ref="F9:F10"/>
    <mergeCell ref="G9:G10"/>
    <mergeCell ref="H9:H10"/>
    <mergeCell ref="J9:J10"/>
    <mergeCell ref="A2:U2"/>
    <mergeCell ref="A4:U4"/>
    <mergeCell ref="N11:Q11"/>
    <mergeCell ref="N7:Q7"/>
    <mergeCell ref="N8:Q8"/>
    <mergeCell ref="J8:M8"/>
    <mergeCell ref="B7:M7"/>
    <mergeCell ref="B11:E11"/>
    <mergeCell ref="F11:I11"/>
    <mergeCell ref="K9:K10"/>
    <mergeCell ref="L9:L10"/>
    <mergeCell ref="N9:N10"/>
    <mergeCell ref="O9:O10"/>
    <mergeCell ref="P9:P10"/>
    <mergeCell ref="J11:M11"/>
    <mergeCell ref="R9:R10"/>
    <mergeCell ref="S9:S10"/>
    <mergeCell ref="T9:T10"/>
    <mergeCell ref="R11:U11"/>
    <mergeCell ref="R7:U7"/>
    <mergeCell ref="R8:U8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6" orientation="landscape" r:id="rId1"/>
  <headerFooter alignWithMargins="0"/>
  <rowBreaks count="1" manualBreakCount="1">
    <brk id="43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pageSetUpPr fitToPage="1"/>
  </sheetPr>
  <dimension ref="A1:AO60"/>
  <sheetViews>
    <sheetView showZeros="0" view="pageBreakPreview" zoomScaleNormal="70" zoomScaleSheetLayoutView="100" workbookViewId="0">
      <pane xSplit="1" ySplit="14" topLeftCell="B15" activePane="bottomRight" state="frozen"/>
      <selection pane="topRight"/>
      <selection pane="bottomLeft"/>
      <selection pane="bottomRight" activeCell="A6" sqref="A6:XFD6"/>
    </sheetView>
  </sheetViews>
  <sheetFormatPr defaultRowHeight="15.75" x14ac:dyDescent="0.25"/>
  <cols>
    <col min="1" max="1" width="28.109375" style="78" customWidth="1"/>
    <col min="2" max="4" width="8.77734375" style="79" customWidth="1"/>
    <col min="5" max="5" width="5.6640625" style="79" customWidth="1"/>
    <col min="6" max="8" width="8.77734375" style="79" customWidth="1"/>
    <col min="9" max="9" width="5.77734375" style="79" customWidth="1"/>
    <col min="10" max="10" width="7.109375" style="287" customWidth="1"/>
    <col min="11" max="12" width="9.77734375" style="287" customWidth="1"/>
    <col min="13" max="13" width="5.77734375" style="287" customWidth="1"/>
    <col min="14" max="14" width="7.21875" style="287" customWidth="1"/>
    <col min="15" max="16" width="8.77734375" style="287" customWidth="1"/>
    <col min="17" max="17" width="5.77734375" style="287" customWidth="1"/>
    <col min="18" max="18" width="7" style="79" customWidth="1"/>
    <col min="19" max="20" width="8" style="79" customWidth="1"/>
    <col min="21" max="22" width="6.77734375" style="79" customWidth="1"/>
    <col min="23" max="24" width="8.77734375" style="79" customWidth="1"/>
    <col min="25" max="25" width="5.77734375" style="79" customWidth="1"/>
    <col min="26" max="26" width="8" style="79" hidden="1" customWidth="1"/>
    <col min="27" max="27" width="7.77734375" style="79" hidden="1" customWidth="1"/>
    <col min="28" max="28" width="10.21875" style="79" hidden="1" customWidth="1"/>
    <col min="29" max="29" width="6" style="79" hidden="1" customWidth="1"/>
    <col min="30" max="30" width="7.5546875" style="79" hidden="1" customWidth="1"/>
    <col min="31" max="31" width="7.21875" style="79" customWidth="1"/>
    <col min="32" max="32" width="8" style="79" customWidth="1"/>
    <col min="33" max="33" width="8.77734375" style="79" customWidth="1"/>
    <col min="34" max="34" width="5.88671875" style="79" customWidth="1"/>
    <col min="35" max="35" width="10.77734375" style="79" customWidth="1"/>
    <col min="36" max="36" width="16.88671875" style="79" bestFit="1" customWidth="1"/>
    <col min="37" max="37" width="13" style="79" customWidth="1"/>
    <col min="38" max="38" width="12.33203125" style="79" customWidth="1"/>
    <col min="39" max="16384" width="8.88671875" style="79"/>
  </cols>
  <sheetData>
    <row r="1" spans="1:36" ht="17.25" customHeight="1" x14ac:dyDescent="0.25">
      <c r="A1" s="387"/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36" ht="24" customHeight="1" x14ac:dyDescent="0.25">
      <c r="A2" s="430" t="s">
        <v>244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</row>
    <row r="3" spans="1:36" ht="15" customHeight="1" x14ac:dyDescent="0.25">
      <c r="A3" s="430" t="s">
        <v>215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</row>
    <row r="4" spans="1:36" ht="21" customHeight="1" x14ac:dyDescent="0.25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</row>
    <row r="5" spans="1:36" ht="22.5" customHeight="1" x14ac:dyDescent="0.25">
      <c r="Y5" s="10"/>
      <c r="AH5" s="10" t="s">
        <v>153</v>
      </c>
    </row>
    <row r="6" spans="1:36" ht="22.5" customHeight="1" thickBot="1" x14ac:dyDescent="0.3">
      <c r="Y6" s="10"/>
      <c r="AH6" s="10" t="s">
        <v>1</v>
      </c>
    </row>
    <row r="7" spans="1:36" ht="18.75" customHeight="1" x14ac:dyDescent="0.25">
      <c r="A7" s="361" t="s">
        <v>192</v>
      </c>
      <c r="B7" s="361" t="s">
        <v>75</v>
      </c>
      <c r="C7" s="362"/>
      <c r="D7" s="362"/>
      <c r="E7" s="363"/>
      <c r="F7" s="351" t="s">
        <v>238</v>
      </c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5"/>
      <c r="R7" s="361" t="s">
        <v>231</v>
      </c>
      <c r="S7" s="362"/>
      <c r="T7" s="362"/>
      <c r="U7" s="363"/>
      <c r="V7" s="361" t="s">
        <v>106</v>
      </c>
      <c r="W7" s="362"/>
      <c r="X7" s="362"/>
      <c r="Y7" s="363"/>
      <c r="Z7" s="387" t="s">
        <v>79</v>
      </c>
      <c r="AA7" s="387"/>
      <c r="AB7" s="387"/>
      <c r="AC7" s="387"/>
      <c r="AD7" s="299"/>
      <c r="AE7" s="361" t="s">
        <v>232</v>
      </c>
      <c r="AF7" s="362"/>
      <c r="AG7" s="362"/>
      <c r="AH7" s="363"/>
    </row>
    <row r="8" spans="1:36" ht="18.75" customHeight="1" x14ac:dyDescent="0.25">
      <c r="A8" s="391"/>
      <c r="B8" s="391"/>
      <c r="C8" s="397"/>
      <c r="D8" s="397"/>
      <c r="E8" s="398"/>
      <c r="F8" s="409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9"/>
      <c r="R8" s="391"/>
      <c r="S8" s="397"/>
      <c r="T8" s="397"/>
      <c r="U8" s="398"/>
      <c r="V8" s="391"/>
      <c r="W8" s="397"/>
      <c r="X8" s="397"/>
      <c r="Y8" s="398"/>
      <c r="AD8" s="299"/>
      <c r="AE8" s="391"/>
      <c r="AF8" s="397"/>
      <c r="AG8" s="397"/>
      <c r="AH8" s="398"/>
    </row>
    <row r="9" spans="1:36" s="287" customFormat="1" ht="18.75" customHeight="1" x14ac:dyDescent="0.25">
      <c r="A9" s="391"/>
      <c r="B9" s="391"/>
      <c r="C9" s="397"/>
      <c r="D9" s="397"/>
      <c r="E9" s="398"/>
      <c r="F9" s="401" t="s">
        <v>242</v>
      </c>
      <c r="G9" s="402"/>
      <c r="H9" s="402"/>
      <c r="I9" s="402"/>
      <c r="J9" s="405" t="s">
        <v>241</v>
      </c>
      <c r="K9" s="402"/>
      <c r="L9" s="402"/>
      <c r="M9" s="406"/>
      <c r="N9" s="402" t="s">
        <v>229</v>
      </c>
      <c r="O9" s="402"/>
      <c r="P9" s="402"/>
      <c r="Q9" s="406"/>
      <c r="R9" s="391"/>
      <c r="S9" s="397"/>
      <c r="T9" s="397"/>
      <c r="U9" s="398"/>
      <c r="V9" s="391"/>
      <c r="W9" s="397"/>
      <c r="X9" s="397"/>
      <c r="Y9" s="398"/>
      <c r="AD9" s="299"/>
      <c r="AE9" s="391"/>
      <c r="AF9" s="397"/>
      <c r="AG9" s="397"/>
      <c r="AH9" s="398"/>
    </row>
    <row r="10" spans="1:36" ht="19.5" customHeight="1" thickBot="1" x14ac:dyDescent="0.3">
      <c r="A10" s="391"/>
      <c r="B10" s="392"/>
      <c r="C10" s="399"/>
      <c r="D10" s="399"/>
      <c r="E10" s="400"/>
      <c r="F10" s="403"/>
      <c r="G10" s="404"/>
      <c r="H10" s="404"/>
      <c r="I10" s="404"/>
      <c r="J10" s="407" t="s">
        <v>230</v>
      </c>
      <c r="K10" s="404"/>
      <c r="L10" s="404"/>
      <c r="M10" s="408"/>
      <c r="N10" s="404" t="s">
        <v>229</v>
      </c>
      <c r="O10" s="404"/>
      <c r="P10" s="404"/>
      <c r="Q10" s="408"/>
      <c r="R10" s="392"/>
      <c r="S10" s="399"/>
      <c r="T10" s="399"/>
      <c r="U10" s="400"/>
      <c r="V10" s="392"/>
      <c r="W10" s="399"/>
      <c r="X10" s="399"/>
      <c r="Y10" s="400"/>
      <c r="AD10" s="299"/>
      <c r="AE10" s="392"/>
      <c r="AF10" s="399"/>
      <c r="AG10" s="399"/>
      <c r="AH10" s="400"/>
    </row>
    <row r="11" spans="1:36" ht="15.75" customHeight="1" x14ac:dyDescent="0.25">
      <c r="A11" s="391"/>
      <c r="B11" s="395" t="s">
        <v>196</v>
      </c>
      <c r="C11" s="393" t="s">
        <v>197</v>
      </c>
      <c r="D11" s="393" t="s">
        <v>223</v>
      </c>
      <c r="E11" s="300" t="s">
        <v>0</v>
      </c>
      <c r="F11" s="395" t="s">
        <v>196</v>
      </c>
      <c r="G11" s="393" t="s">
        <v>197</v>
      </c>
      <c r="H11" s="393" t="s">
        <v>223</v>
      </c>
      <c r="I11" s="301" t="s">
        <v>0</v>
      </c>
      <c r="J11" s="393" t="s">
        <v>196</v>
      </c>
      <c r="K11" s="393" t="s">
        <v>197</v>
      </c>
      <c r="L11" s="393" t="s">
        <v>223</v>
      </c>
      <c r="M11" s="302" t="s">
        <v>0</v>
      </c>
      <c r="N11" s="393" t="s">
        <v>196</v>
      </c>
      <c r="O11" s="393" t="s">
        <v>197</v>
      </c>
      <c r="P11" s="393" t="s">
        <v>223</v>
      </c>
      <c r="Q11" s="301" t="s">
        <v>0</v>
      </c>
      <c r="R11" s="395" t="s">
        <v>196</v>
      </c>
      <c r="S11" s="393" t="s">
        <v>197</v>
      </c>
      <c r="T11" s="413" t="s">
        <v>223</v>
      </c>
      <c r="U11" s="300" t="s">
        <v>0</v>
      </c>
      <c r="V11" s="395" t="s">
        <v>196</v>
      </c>
      <c r="W11" s="393" t="s">
        <v>197</v>
      </c>
      <c r="X11" s="393" t="s">
        <v>223</v>
      </c>
      <c r="Y11" s="300" t="s">
        <v>0</v>
      </c>
      <c r="Z11" s="303" t="s">
        <v>32</v>
      </c>
      <c r="AA11" s="303"/>
      <c r="AB11" s="303" t="s">
        <v>2</v>
      </c>
      <c r="AC11" s="303" t="s">
        <v>0</v>
      </c>
      <c r="AD11" s="303"/>
      <c r="AE11" s="395" t="s">
        <v>196</v>
      </c>
      <c r="AF11" s="393" t="s">
        <v>197</v>
      </c>
      <c r="AG11" s="393" t="s">
        <v>223</v>
      </c>
      <c r="AH11" s="300" t="s">
        <v>0</v>
      </c>
      <c r="AI11" s="299"/>
    </row>
    <row r="12" spans="1:36" ht="16.5" thickBot="1" x14ac:dyDescent="0.3">
      <c r="A12" s="392"/>
      <c r="B12" s="396"/>
      <c r="C12" s="394"/>
      <c r="D12" s="394"/>
      <c r="E12" s="304" t="s">
        <v>11</v>
      </c>
      <c r="F12" s="396"/>
      <c r="G12" s="394"/>
      <c r="H12" s="394"/>
      <c r="I12" s="305" t="s">
        <v>11</v>
      </c>
      <c r="J12" s="394"/>
      <c r="K12" s="394"/>
      <c r="L12" s="394"/>
      <c r="M12" s="306" t="s">
        <v>11</v>
      </c>
      <c r="N12" s="394"/>
      <c r="O12" s="394"/>
      <c r="P12" s="394"/>
      <c r="Q12" s="305" t="s">
        <v>11</v>
      </c>
      <c r="R12" s="396"/>
      <c r="S12" s="394"/>
      <c r="T12" s="414"/>
      <c r="U12" s="304" t="s">
        <v>11</v>
      </c>
      <c r="V12" s="396"/>
      <c r="W12" s="394"/>
      <c r="X12" s="394"/>
      <c r="Y12" s="304" t="s">
        <v>11</v>
      </c>
      <c r="Z12" s="303" t="s">
        <v>34</v>
      </c>
      <c r="AA12" s="303" t="s">
        <v>35</v>
      </c>
      <c r="AB12" s="303" t="s">
        <v>135</v>
      </c>
      <c r="AC12" s="303" t="s">
        <v>11</v>
      </c>
      <c r="AD12" s="303"/>
      <c r="AE12" s="396"/>
      <c r="AF12" s="394"/>
      <c r="AG12" s="394"/>
      <c r="AH12" s="304" t="s">
        <v>11</v>
      </c>
    </row>
    <row r="13" spans="1:36" x14ac:dyDescent="0.25">
      <c r="A13" s="96"/>
      <c r="B13" s="380" t="s">
        <v>228</v>
      </c>
      <c r="C13" s="381"/>
      <c r="D13" s="381"/>
      <c r="E13" s="382"/>
      <c r="F13" s="32"/>
      <c r="G13" s="288"/>
      <c r="H13" s="288"/>
      <c r="I13" s="288"/>
      <c r="J13" s="294"/>
      <c r="K13" s="288"/>
      <c r="L13" s="288"/>
      <c r="M13" s="298"/>
      <c r="N13" s="288"/>
      <c r="O13" s="288"/>
      <c r="P13" s="288"/>
      <c r="Q13" s="292"/>
      <c r="R13" s="410"/>
      <c r="S13" s="411"/>
      <c r="T13" s="411"/>
      <c r="U13" s="412"/>
      <c r="V13" s="415" t="s">
        <v>107</v>
      </c>
      <c r="W13" s="416"/>
      <c r="X13" s="416"/>
      <c r="Y13" s="417"/>
      <c r="Z13" s="387" t="s">
        <v>82</v>
      </c>
      <c r="AA13" s="387"/>
      <c r="AB13" s="387"/>
      <c r="AC13" s="387"/>
      <c r="AD13" s="299"/>
      <c r="AE13" s="380" t="s">
        <v>243</v>
      </c>
      <c r="AF13" s="381"/>
      <c r="AG13" s="381"/>
      <c r="AH13" s="382"/>
      <c r="AI13" s="299"/>
      <c r="AJ13" s="299"/>
    </row>
    <row r="14" spans="1:36" ht="16.5" thickBot="1" x14ac:dyDescent="0.3">
      <c r="A14" s="96"/>
      <c r="B14" s="32"/>
      <c r="C14" s="97"/>
      <c r="D14" s="97"/>
      <c r="E14" s="98"/>
      <c r="F14" s="32"/>
      <c r="G14" s="288"/>
      <c r="H14" s="288"/>
      <c r="I14" s="288"/>
      <c r="J14" s="294"/>
      <c r="K14" s="288"/>
      <c r="L14" s="288"/>
      <c r="M14" s="298"/>
      <c r="N14" s="288"/>
      <c r="O14" s="288"/>
      <c r="P14" s="288"/>
      <c r="Q14" s="292"/>
      <c r="R14" s="59"/>
      <c r="S14" s="60"/>
      <c r="T14" s="60"/>
      <c r="U14" s="61"/>
      <c r="V14" s="418"/>
      <c r="W14" s="419"/>
      <c r="X14" s="419"/>
      <c r="Y14" s="420"/>
      <c r="AD14" s="291"/>
      <c r="AE14" s="59"/>
      <c r="AF14" s="60"/>
      <c r="AG14" s="60"/>
      <c r="AH14" s="61"/>
    </row>
    <row r="15" spans="1:36" ht="21.95" customHeight="1" x14ac:dyDescent="0.25">
      <c r="A15" s="105" t="s">
        <v>155</v>
      </c>
      <c r="B15" s="29">
        <v>174797</v>
      </c>
      <c r="C15" s="30">
        <v>228483</v>
      </c>
      <c r="D15" s="30">
        <v>228483</v>
      </c>
      <c r="E15" s="31">
        <f t="shared" ref="E15:E43" si="0">D15/C15*100</f>
        <v>100</v>
      </c>
      <c r="F15" s="29">
        <f t="shared" ref="F15:F23" si="1">SUM(B15-J15-N15)</f>
        <v>174797</v>
      </c>
      <c r="G15" s="30">
        <f t="shared" ref="G15:G26" si="2">C15-K15-O15</f>
        <v>189365</v>
      </c>
      <c r="H15" s="30">
        <f>D15-L15-P15</f>
        <v>189365</v>
      </c>
      <c r="I15" s="328">
        <f t="shared" ref="I15:I43" si="3">H15/G15*100</f>
        <v>100</v>
      </c>
      <c r="J15" s="313"/>
      <c r="K15" s="30">
        <v>17519</v>
      </c>
      <c r="L15" s="30">
        <v>17519</v>
      </c>
      <c r="M15" s="233">
        <f t="shared" ref="M15:M43" si="4">L15/K15*100</f>
        <v>100</v>
      </c>
      <c r="N15" s="30"/>
      <c r="O15" s="30">
        <v>21599</v>
      </c>
      <c r="P15" s="30">
        <v>21599</v>
      </c>
      <c r="Q15" s="31">
        <f t="shared" ref="Q15:Q43" si="5">P15/O15*100</f>
        <v>100</v>
      </c>
      <c r="R15" s="113"/>
      <c r="S15" s="30"/>
      <c r="T15" s="30"/>
      <c r="U15" s="31"/>
      <c r="V15" s="62"/>
      <c r="W15" s="63">
        <v>2517</v>
      </c>
      <c r="X15" s="63">
        <v>2517</v>
      </c>
      <c r="Y15" s="64">
        <f>X15/W15*100</f>
        <v>100</v>
      </c>
      <c r="AE15" s="62"/>
      <c r="AF15" s="63"/>
      <c r="AG15" s="63"/>
      <c r="AH15" s="64"/>
    </row>
    <row r="16" spans="1:36" ht="21.95" customHeight="1" x14ac:dyDescent="0.25">
      <c r="A16" s="103" t="s">
        <v>156</v>
      </c>
      <c r="B16" s="21">
        <v>35699</v>
      </c>
      <c r="C16" s="22">
        <v>43646</v>
      </c>
      <c r="D16" s="22">
        <v>43646</v>
      </c>
      <c r="E16" s="23">
        <f t="shared" si="0"/>
        <v>100</v>
      </c>
      <c r="F16" s="21">
        <f t="shared" si="1"/>
        <v>35699</v>
      </c>
      <c r="G16" s="22">
        <f t="shared" si="2"/>
        <v>36979</v>
      </c>
      <c r="H16" s="22">
        <f t="shared" ref="H16:H43" si="6">D16-L16-P16</f>
        <v>36979</v>
      </c>
      <c r="I16" s="326">
        <f t="shared" si="3"/>
        <v>100</v>
      </c>
      <c r="J16" s="314"/>
      <c r="K16" s="22">
        <v>817</v>
      </c>
      <c r="L16" s="22">
        <v>817</v>
      </c>
      <c r="M16" s="235">
        <f t="shared" si="4"/>
        <v>100</v>
      </c>
      <c r="N16" s="22"/>
      <c r="O16" s="22">
        <v>5850</v>
      </c>
      <c r="P16" s="22">
        <v>5850</v>
      </c>
      <c r="Q16" s="23">
        <f t="shared" si="5"/>
        <v>100</v>
      </c>
      <c r="R16" s="114"/>
      <c r="S16" s="22"/>
      <c r="T16" s="22"/>
      <c r="U16" s="23"/>
      <c r="V16" s="21"/>
      <c r="W16" s="22">
        <v>374</v>
      </c>
      <c r="X16" s="22">
        <v>374</v>
      </c>
      <c r="Y16" s="23">
        <f>X16/W16*100</f>
        <v>100</v>
      </c>
      <c r="AE16" s="21"/>
      <c r="AF16" s="22"/>
      <c r="AG16" s="22"/>
      <c r="AH16" s="23"/>
    </row>
    <row r="17" spans="1:41" ht="21.95" customHeight="1" x14ac:dyDescent="0.25">
      <c r="A17" s="103" t="s">
        <v>157</v>
      </c>
      <c r="B17" s="21">
        <v>32652</v>
      </c>
      <c r="C17" s="22">
        <v>41962</v>
      </c>
      <c r="D17" s="22">
        <v>41962</v>
      </c>
      <c r="E17" s="23">
        <f t="shared" si="0"/>
        <v>100</v>
      </c>
      <c r="F17" s="21">
        <f t="shared" si="1"/>
        <v>32652</v>
      </c>
      <c r="G17" s="22">
        <f t="shared" si="2"/>
        <v>37227</v>
      </c>
      <c r="H17" s="22">
        <f t="shared" si="6"/>
        <v>37227</v>
      </c>
      <c r="I17" s="326">
        <f t="shared" si="3"/>
        <v>100</v>
      </c>
      <c r="J17" s="314"/>
      <c r="K17" s="22">
        <v>3635</v>
      </c>
      <c r="L17" s="22">
        <v>3635</v>
      </c>
      <c r="M17" s="235">
        <f t="shared" si="4"/>
        <v>100</v>
      </c>
      <c r="N17" s="22"/>
      <c r="O17" s="22">
        <v>1100</v>
      </c>
      <c r="P17" s="22">
        <v>1100</v>
      </c>
      <c r="Q17" s="23">
        <f t="shared" si="5"/>
        <v>100</v>
      </c>
      <c r="R17" s="114"/>
      <c r="S17" s="22"/>
      <c r="T17" s="22"/>
      <c r="U17" s="23"/>
      <c r="V17" s="21"/>
      <c r="W17" s="22"/>
      <c r="X17" s="22"/>
      <c r="Y17" s="23"/>
      <c r="AE17" s="21"/>
      <c r="AF17" s="22"/>
      <c r="AG17" s="22"/>
      <c r="AH17" s="23"/>
    </row>
    <row r="18" spans="1:41" ht="21.95" customHeight="1" x14ac:dyDescent="0.25">
      <c r="A18" s="103" t="s">
        <v>158</v>
      </c>
      <c r="B18" s="21">
        <v>33161</v>
      </c>
      <c r="C18" s="22">
        <v>46181</v>
      </c>
      <c r="D18" s="22">
        <f>C18</f>
        <v>46181</v>
      </c>
      <c r="E18" s="23">
        <f t="shared" si="0"/>
        <v>100</v>
      </c>
      <c r="F18" s="21">
        <f t="shared" si="1"/>
        <v>33161</v>
      </c>
      <c r="G18" s="22">
        <f t="shared" si="2"/>
        <v>33451</v>
      </c>
      <c r="H18" s="22">
        <f t="shared" si="6"/>
        <v>33451</v>
      </c>
      <c r="I18" s="326">
        <f t="shared" si="3"/>
        <v>100</v>
      </c>
      <c r="J18" s="314"/>
      <c r="K18" s="22">
        <v>580</v>
      </c>
      <c r="L18" s="22">
        <v>580</v>
      </c>
      <c r="M18" s="235">
        <f t="shared" si="4"/>
        <v>100</v>
      </c>
      <c r="N18" s="22"/>
      <c r="O18" s="22">
        <v>12150</v>
      </c>
      <c r="P18" s="22">
        <v>12150</v>
      </c>
      <c r="Q18" s="23">
        <f t="shared" si="5"/>
        <v>100</v>
      </c>
      <c r="R18" s="114"/>
      <c r="S18" s="22"/>
      <c r="T18" s="22"/>
      <c r="U18" s="23"/>
      <c r="V18" s="21"/>
      <c r="W18" s="22">
        <v>60</v>
      </c>
      <c r="X18" s="22">
        <v>60</v>
      </c>
      <c r="Y18" s="23">
        <f>X18/W18*100</f>
        <v>100</v>
      </c>
      <c r="AE18" s="21"/>
      <c r="AF18" s="22"/>
      <c r="AG18" s="22"/>
      <c r="AH18" s="23"/>
    </row>
    <row r="19" spans="1:41" ht="21.95" customHeight="1" x14ac:dyDescent="0.25">
      <c r="A19" s="103" t="s">
        <v>159</v>
      </c>
      <c r="B19" s="21">
        <v>30701</v>
      </c>
      <c r="C19" s="22">
        <v>71681</v>
      </c>
      <c r="D19" s="22">
        <f t="shared" ref="D19:D42" si="7">C19</f>
        <v>71681</v>
      </c>
      <c r="E19" s="23">
        <f t="shared" si="0"/>
        <v>100</v>
      </c>
      <c r="F19" s="21">
        <f t="shared" si="1"/>
        <v>30701</v>
      </c>
      <c r="G19" s="22">
        <f t="shared" si="2"/>
        <v>33284</v>
      </c>
      <c r="H19" s="22">
        <f t="shared" si="6"/>
        <v>33284</v>
      </c>
      <c r="I19" s="235">
        <f t="shared" si="3"/>
        <v>100</v>
      </c>
      <c r="J19" s="326"/>
      <c r="K19" s="22">
        <v>12982</v>
      </c>
      <c r="L19" s="22">
        <v>12982</v>
      </c>
      <c r="M19" s="326">
        <f t="shared" si="4"/>
        <v>100</v>
      </c>
      <c r="N19" s="22"/>
      <c r="O19" s="22">
        <v>25415</v>
      </c>
      <c r="P19" s="22">
        <v>25415</v>
      </c>
      <c r="Q19" s="23">
        <f t="shared" si="5"/>
        <v>100</v>
      </c>
      <c r="R19" s="114"/>
      <c r="S19" s="22"/>
      <c r="T19" s="22"/>
      <c r="U19" s="23"/>
      <c r="V19" s="21"/>
      <c r="W19" s="22"/>
      <c r="X19" s="22"/>
      <c r="Y19" s="23"/>
      <c r="AE19" s="21"/>
      <c r="AF19" s="22"/>
      <c r="AG19" s="22"/>
      <c r="AH19" s="23"/>
    </row>
    <row r="20" spans="1:41" ht="21.95" customHeight="1" x14ac:dyDescent="0.25">
      <c r="A20" s="103" t="s">
        <v>160</v>
      </c>
      <c r="B20" s="21">
        <v>9320</v>
      </c>
      <c r="C20" s="22">
        <v>10399</v>
      </c>
      <c r="D20" s="22">
        <f t="shared" si="7"/>
        <v>10399</v>
      </c>
      <c r="E20" s="23">
        <f t="shared" si="0"/>
        <v>100</v>
      </c>
      <c r="F20" s="21">
        <f t="shared" si="1"/>
        <v>9320</v>
      </c>
      <c r="G20" s="22">
        <f t="shared" si="2"/>
        <v>9737</v>
      </c>
      <c r="H20" s="22">
        <f t="shared" si="6"/>
        <v>9737</v>
      </c>
      <c r="I20" s="235">
        <f t="shared" si="3"/>
        <v>100</v>
      </c>
      <c r="J20" s="326"/>
      <c r="K20" s="22">
        <v>212</v>
      </c>
      <c r="L20" s="22">
        <v>212</v>
      </c>
      <c r="M20" s="326">
        <f t="shared" si="4"/>
        <v>100</v>
      </c>
      <c r="N20" s="22"/>
      <c r="O20" s="22">
        <v>450</v>
      </c>
      <c r="P20" s="22">
        <v>450</v>
      </c>
      <c r="Q20" s="23">
        <f t="shared" si="5"/>
        <v>100</v>
      </c>
      <c r="R20" s="114"/>
      <c r="S20" s="22"/>
      <c r="T20" s="22"/>
      <c r="U20" s="23"/>
      <c r="V20" s="21"/>
      <c r="W20" s="22"/>
      <c r="X20" s="22"/>
      <c r="Y20" s="23"/>
      <c r="AE20" s="21"/>
      <c r="AF20" s="22"/>
      <c r="AG20" s="22"/>
      <c r="AH20" s="23"/>
    </row>
    <row r="21" spans="1:41" ht="21.95" customHeight="1" x14ac:dyDescent="0.25">
      <c r="A21" s="103" t="s">
        <v>161</v>
      </c>
      <c r="B21" s="21">
        <v>62367</v>
      </c>
      <c r="C21" s="22">
        <v>79385</v>
      </c>
      <c r="D21" s="22">
        <f t="shared" si="7"/>
        <v>79385</v>
      </c>
      <c r="E21" s="23">
        <f t="shared" si="0"/>
        <v>100</v>
      </c>
      <c r="F21" s="21">
        <f t="shared" si="1"/>
        <v>62367</v>
      </c>
      <c r="G21" s="22">
        <f t="shared" si="2"/>
        <v>62397</v>
      </c>
      <c r="H21" s="22">
        <f t="shared" si="6"/>
        <v>62397</v>
      </c>
      <c r="I21" s="235">
        <f t="shared" si="3"/>
        <v>100</v>
      </c>
      <c r="J21" s="326"/>
      <c r="K21" s="22">
        <v>1558</v>
      </c>
      <c r="L21" s="22">
        <v>1558</v>
      </c>
      <c r="M21" s="326">
        <f t="shared" si="4"/>
        <v>100</v>
      </c>
      <c r="N21" s="22"/>
      <c r="O21" s="22">
        <v>15430</v>
      </c>
      <c r="P21" s="22">
        <v>15430</v>
      </c>
      <c r="Q21" s="23">
        <f t="shared" si="5"/>
        <v>100</v>
      </c>
      <c r="R21" s="114"/>
      <c r="S21" s="22"/>
      <c r="T21" s="22"/>
      <c r="U21" s="23"/>
      <c r="V21" s="21"/>
      <c r="W21" s="22">
        <v>2330</v>
      </c>
      <c r="X21" s="22">
        <v>2330</v>
      </c>
      <c r="Y21" s="23">
        <f>X21/W21*100</f>
        <v>100</v>
      </c>
      <c r="AE21" s="21"/>
      <c r="AF21" s="22"/>
      <c r="AG21" s="22"/>
      <c r="AH21" s="23"/>
    </row>
    <row r="22" spans="1:41" ht="21.95" customHeight="1" x14ac:dyDescent="0.25">
      <c r="A22" s="103" t="s">
        <v>162</v>
      </c>
      <c r="B22" s="21">
        <v>74874</v>
      </c>
      <c r="C22" s="22">
        <v>84767</v>
      </c>
      <c r="D22" s="22">
        <f t="shared" si="7"/>
        <v>84767</v>
      </c>
      <c r="E22" s="23">
        <f t="shared" si="0"/>
        <v>100</v>
      </c>
      <c r="F22" s="21">
        <f t="shared" si="1"/>
        <v>74874</v>
      </c>
      <c r="G22" s="22">
        <f t="shared" si="2"/>
        <v>78224</v>
      </c>
      <c r="H22" s="22">
        <f t="shared" si="6"/>
        <v>78224</v>
      </c>
      <c r="I22" s="235">
        <f t="shared" si="3"/>
        <v>100</v>
      </c>
      <c r="J22" s="326"/>
      <c r="K22" s="22">
        <v>1893</v>
      </c>
      <c r="L22" s="22">
        <v>1893</v>
      </c>
      <c r="M22" s="326">
        <f t="shared" si="4"/>
        <v>100</v>
      </c>
      <c r="N22" s="22"/>
      <c r="O22" s="22">
        <v>4650</v>
      </c>
      <c r="P22" s="22">
        <v>4650</v>
      </c>
      <c r="Q22" s="23">
        <f t="shared" si="5"/>
        <v>100</v>
      </c>
      <c r="R22" s="114"/>
      <c r="S22" s="22"/>
      <c r="T22" s="22"/>
      <c r="U22" s="23"/>
      <c r="V22" s="21"/>
      <c r="W22" s="22">
        <v>2624</v>
      </c>
      <c r="X22" s="22">
        <v>2624</v>
      </c>
      <c r="Y22" s="23">
        <f>X22/W22*100</f>
        <v>100</v>
      </c>
      <c r="AE22" s="21"/>
      <c r="AF22" s="22"/>
      <c r="AG22" s="22"/>
      <c r="AH22" s="23"/>
    </row>
    <row r="23" spans="1:41" ht="21.95" customHeight="1" thickBot="1" x14ac:dyDescent="0.3">
      <c r="A23" s="103" t="s">
        <v>163</v>
      </c>
      <c r="B23" s="21">
        <v>8759</v>
      </c>
      <c r="C23" s="22">
        <v>10040</v>
      </c>
      <c r="D23" s="22">
        <f t="shared" si="7"/>
        <v>10040</v>
      </c>
      <c r="E23" s="23">
        <f t="shared" si="0"/>
        <v>100</v>
      </c>
      <c r="F23" s="21">
        <f t="shared" si="1"/>
        <v>8759</v>
      </c>
      <c r="G23" s="22">
        <f t="shared" si="2"/>
        <v>8839</v>
      </c>
      <c r="H23" s="22">
        <f t="shared" si="6"/>
        <v>8839</v>
      </c>
      <c r="I23" s="235">
        <f t="shared" si="3"/>
        <v>100</v>
      </c>
      <c r="J23" s="326"/>
      <c r="K23" s="22">
        <v>201</v>
      </c>
      <c r="L23" s="22">
        <v>201</v>
      </c>
      <c r="M23" s="326">
        <f t="shared" si="4"/>
        <v>100</v>
      </c>
      <c r="N23" s="22"/>
      <c r="O23" s="22">
        <v>1000</v>
      </c>
      <c r="P23" s="22">
        <v>1000</v>
      </c>
      <c r="Q23" s="23">
        <f t="shared" si="5"/>
        <v>100</v>
      </c>
      <c r="R23" s="114"/>
      <c r="S23" s="22"/>
      <c r="T23" s="22"/>
      <c r="U23" s="23"/>
      <c r="V23" s="21"/>
      <c r="W23" s="22"/>
      <c r="X23" s="22"/>
      <c r="Y23" s="23"/>
      <c r="AE23" s="21"/>
      <c r="AF23" s="22"/>
      <c r="AG23" s="22"/>
      <c r="AH23" s="23"/>
    </row>
    <row r="24" spans="1:41" ht="21.95" customHeight="1" thickBot="1" x14ac:dyDescent="0.3">
      <c r="A24" s="103" t="s">
        <v>164</v>
      </c>
      <c r="B24" s="21">
        <v>21755</v>
      </c>
      <c r="C24" s="22">
        <v>31803</v>
      </c>
      <c r="D24" s="22">
        <f t="shared" si="7"/>
        <v>31803</v>
      </c>
      <c r="E24" s="23">
        <f t="shared" si="0"/>
        <v>100</v>
      </c>
      <c r="F24" s="21">
        <f t="shared" ref="F24:F26" si="8">SUM(B24-J24-N24)</f>
        <v>21755</v>
      </c>
      <c r="G24" s="22">
        <f t="shared" si="2"/>
        <v>21795</v>
      </c>
      <c r="H24" s="22">
        <f t="shared" si="6"/>
        <v>21795</v>
      </c>
      <c r="I24" s="235">
        <f t="shared" si="3"/>
        <v>100</v>
      </c>
      <c r="J24" s="326"/>
      <c r="K24" s="22">
        <v>608</v>
      </c>
      <c r="L24" s="22">
        <v>608</v>
      </c>
      <c r="M24" s="326">
        <f t="shared" si="4"/>
        <v>100</v>
      </c>
      <c r="N24" s="22"/>
      <c r="O24" s="22">
        <v>9400</v>
      </c>
      <c r="P24" s="22">
        <v>9400</v>
      </c>
      <c r="Q24" s="23">
        <f t="shared" si="5"/>
        <v>100</v>
      </c>
      <c r="R24" s="114"/>
      <c r="S24" s="22"/>
      <c r="T24" s="22"/>
      <c r="U24" s="23"/>
      <c r="V24" s="21"/>
      <c r="W24" s="22">
        <v>7</v>
      </c>
      <c r="X24" s="22">
        <v>7</v>
      </c>
      <c r="Y24" s="23">
        <f t="shared" ref="Y24:Y32" si="9">X24/W24*100</f>
        <v>100</v>
      </c>
      <c r="AE24" s="21">
        <v>24</v>
      </c>
      <c r="AF24" s="22">
        <v>24</v>
      </c>
      <c r="AG24" s="22">
        <v>24</v>
      </c>
      <c r="AH24" s="23">
        <f t="shared" ref="AH24" si="10">AG24/AF24*100</f>
        <v>100</v>
      </c>
      <c r="AL24" s="347" t="s">
        <v>226</v>
      </c>
      <c r="AM24" s="348"/>
      <c r="AN24" s="348"/>
      <c r="AO24" s="349"/>
    </row>
    <row r="25" spans="1:41" ht="21.95" customHeight="1" x14ac:dyDescent="0.25">
      <c r="A25" s="103" t="s">
        <v>165</v>
      </c>
      <c r="B25" s="21">
        <v>11294</v>
      </c>
      <c r="C25" s="22">
        <v>16600</v>
      </c>
      <c r="D25" s="22">
        <f t="shared" si="7"/>
        <v>16600</v>
      </c>
      <c r="E25" s="23">
        <f t="shared" si="0"/>
        <v>100</v>
      </c>
      <c r="F25" s="21">
        <f t="shared" si="8"/>
        <v>11294</v>
      </c>
      <c r="G25" s="22">
        <f t="shared" si="2"/>
        <v>12334</v>
      </c>
      <c r="H25" s="22">
        <f t="shared" si="6"/>
        <v>12334</v>
      </c>
      <c r="I25" s="235">
        <f t="shared" si="3"/>
        <v>100</v>
      </c>
      <c r="J25" s="326"/>
      <c r="K25" s="22">
        <v>416</v>
      </c>
      <c r="L25" s="22">
        <v>416</v>
      </c>
      <c r="M25" s="326">
        <f t="shared" si="4"/>
        <v>100</v>
      </c>
      <c r="N25" s="22"/>
      <c r="O25" s="22">
        <v>3850</v>
      </c>
      <c r="P25" s="22">
        <v>3850</v>
      </c>
      <c r="Q25" s="23">
        <f t="shared" si="5"/>
        <v>100</v>
      </c>
      <c r="R25" s="114"/>
      <c r="S25" s="22"/>
      <c r="T25" s="22"/>
      <c r="U25" s="23"/>
      <c r="V25" s="21"/>
      <c r="W25" s="22"/>
      <c r="X25" s="22"/>
      <c r="Y25" s="23"/>
      <c r="AE25" s="21"/>
      <c r="AF25" s="22"/>
      <c r="AG25" s="22"/>
      <c r="AH25" s="23"/>
      <c r="AL25" s="374" t="s">
        <v>196</v>
      </c>
      <c r="AM25" s="355" t="s">
        <v>197</v>
      </c>
      <c r="AN25" s="355" t="s">
        <v>223</v>
      </c>
      <c r="AO25" s="56" t="s">
        <v>0</v>
      </c>
    </row>
    <row r="26" spans="1:41" ht="21.95" customHeight="1" thickBot="1" x14ac:dyDescent="0.3">
      <c r="A26" s="103" t="s">
        <v>166</v>
      </c>
      <c r="B26" s="21">
        <v>16035</v>
      </c>
      <c r="C26" s="22">
        <v>41358</v>
      </c>
      <c r="D26" s="22">
        <v>41357</v>
      </c>
      <c r="E26" s="23">
        <f t="shared" si="0"/>
        <v>99.9975820881087</v>
      </c>
      <c r="F26" s="21">
        <f t="shared" si="8"/>
        <v>16035</v>
      </c>
      <c r="G26" s="22">
        <f t="shared" si="2"/>
        <v>38395</v>
      </c>
      <c r="H26" s="22">
        <f t="shared" si="6"/>
        <v>38394</v>
      </c>
      <c r="I26" s="235">
        <f t="shared" si="3"/>
        <v>99.99739549420498</v>
      </c>
      <c r="J26" s="326"/>
      <c r="K26" s="22">
        <v>363</v>
      </c>
      <c r="L26" s="22">
        <v>363</v>
      </c>
      <c r="M26" s="326">
        <f t="shared" si="4"/>
        <v>100</v>
      </c>
      <c r="N26" s="22"/>
      <c r="O26" s="22">
        <v>2600</v>
      </c>
      <c r="P26" s="22">
        <v>2600</v>
      </c>
      <c r="Q26" s="23">
        <f t="shared" si="5"/>
        <v>100</v>
      </c>
      <c r="R26" s="114"/>
      <c r="S26" s="22"/>
      <c r="T26" s="22"/>
      <c r="U26" s="23"/>
      <c r="V26" s="21"/>
      <c r="W26" s="22">
        <v>98</v>
      </c>
      <c r="X26" s="22">
        <v>98</v>
      </c>
      <c r="Y26" s="23">
        <f t="shared" si="9"/>
        <v>100</v>
      </c>
      <c r="AE26" s="21"/>
      <c r="AF26" s="22"/>
      <c r="AG26" s="22"/>
      <c r="AH26" s="23"/>
      <c r="AL26" s="375"/>
      <c r="AM26" s="356"/>
      <c r="AN26" s="356"/>
      <c r="AO26" s="57" t="s">
        <v>11</v>
      </c>
    </row>
    <row r="27" spans="1:41" ht="21.95" customHeight="1" x14ac:dyDescent="0.25">
      <c r="A27" s="103" t="s">
        <v>167</v>
      </c>
      <c r="B27" s="21">
        <v>125533</v>
      </c>
      <c r="C27" s="22">
        <v>219241</v>
      </c>
      <c r="D27" s="22">
        <f t="shared" si="7"/>
        <v>219241</v>
      </c>
      <c r="E27" s="23">
        <f t="shared" si="0"/>
        <v>100</v>
      </c>
      <c r="F27" s="21">
        <f>SUM(B27-J27-N27)</f>
        <v>125533</v>
      </c>
      <c r="G27" s="22">
        <f>C27-K27-O27</f>
        <v>129936</v>
      </c>
      <c r="H27" s="22">
        <f t="shared" si="6"/>
        <v>129936</v>
      </c>
      <c r="I27" s="235">
        <f t="shared" si="3"/>
        <v>100</v>
      </c>
      <c r="J27" s="326"/>
      <c r="K27" s="22">
        <v>36587</v>
      </c>
      <c r="L27" s="22">
        <v>36587</v>
      </c>
      <c r="M27" s="326">
        <f t="shared" si="4"/>
        <v>100</v>
      </c>
      <c r="N27" s="22"/>
      <c r="O27" s="22">
        <v>52718</v>
      </c>
      <c r="P27" s="22">
        <v>52718</v>
      </c>
      <c r="Q27" s="23">
        <f t="shared" si="5"/>
        <v>100</v>
      </c>
      <c r="R27" s="114">
        <f>200</f>
        <v>200</v>
      </c>
      <c r="S27" s="22">
        <v>200</v>
      </c>
      <c r="T27" s="22">
        <v>200</v>
      </c>
      <c r="U27" s="23">
        <f>T27/S27*100</f>
        <v>100</v>
      </c>
      <c r="V27" s="21"/>
      <c r="W27" s="22">
        <v>8369</v>
      </c>
      <c r="X27" s="22">
        <v>8369</v>
      </c>
      <c r="Y27" s="23">
        <f t="shared" si="9"/>
        <v>100</v>
      </c>
      <c r="AE27" s="21"/>
      <c r="AF27" s="22"/>
      <c r="AG27" s="22"/>
      <c r="AH27" s="23"/>
      <c r="AL27" s="32" t="s">
        <v>32</v>
      </c>
      <c r="AM27" s="284"/>
      <c r="AN27" s="284" t="s">
        <v>33</v>
      </c>
      <c r="AO27" s="285" t="s">
        <v>0</v>
      </c>
    </row>
    <row r="28" spans="1:41" ht="21.95" customHeight="1" x14ac:dyDescent="0.25">
      <c r="A28" s="103" t="s">
        <v>168</v>
      </c>
      <c r="B28" s="21">
        <v>21243</v>
      </c>
      <c r="C28" s="22">
        <v>52971</v>
      </c>
      <c r="D28" s="22">
        <f t="shared" si="7"/>
        <v>52971</v>
      </c>
      <c r="E28" s="23">
        <f t="shared" si="0"/>
        <v>100</v>
      </c>
      <c r="F28" s="21">
        <f t="shared" ref="F28:F43" si="11">SUM(B28-J28-N28)</f>
        <v>21243</v>
      </c>
      <c r="G28" s="22">
        <f t="shared" ref="G28:G43" si="12">C28-K28-O28</f>
        <v>21391</v>
      </c>
      <c r="H28" s="22">
        <f t="shared" si="6"/>
        <v>21391</v>
      </c>
      <c r="I28" s="235">
        <f t="shared" si="3"/>
        <v>100</v>
      </c>
      <c r="J28" s="326"/>
      <c r="K28" s="22">
        <v>480</v>
      </c>
      <c r="L28" s="22">
        <v>480</v>
      </c>
      <c r="M28" s="326">
        <f t="shared" si="4"/>
        <v>100</v>
      </c>
      <c r="N28" s="22"/>
      <c r="O28" s="22">
        <v>31100</v>
      </c>
      <c r="P28" s="22">
        <v>31100</v>
      </c>
      <c r="Q28" s="23">
        <f t="shared" si="5"/>
        <v>100</v>
      </c>
      <c r="R28" s="114"/>
      <c r="S28" s="22"/>
      <c r="T28" s="22"/>
      <c r="U28" s="23"/>
      <c r="V28" s="21"/>
      <c r="W28" s="22"/>
      <c r="X28" s="22"/>
      <c r="Y28" s="23"/>
      <c r="AE28" s="21"/>
      <c r="AF28" s="22"/>
      <c r="AG28" s="22"/>
      <c r="AH28" s="23"/>
      <c r="AL28" s="371" t="s">
        <v>123</v>
      </c>
      <c r="AM28" s="372"/>
      <c r="AN28" s="372"/>
      <c r="AO28" s="373"/>
    </row>
    <row r="29" spans="1:41" ht="21.95" customHeight="1" thickBot="1" x14ac:dyDescent="0.3">
      <c r="A29" s="103" t="s">
        <v>169</v>
      </c>
      <c r="B29" s="21">
        <v>68296</v>
      </c>
      <c r="C29" s="22">
        <v>87497</v>
      </c>
      <c r="D29" s="22">
        <f t="shared" si="7"/>
        <v>87497</v>
      </c>
      <c r="E29" s="23">
        <f t="shared" si="0"/>
        <v>100</v>
      </c>
      <c r="F29" s="21">
        <f t="shared" si="11"/>
        <v>68296</v>
      </c>
      <c r="G29" s="22">
        <f t="shared" si="12"/>
        <v>72661</v>
      </c>
      <c r="H29" s="22">
        <f t="shared" si="6"/>
        <v>72661</v>
      </c>
      <c r="I29" s="235">
        <f t="shared" si="3"/>
        <v>100</v>
      </c>
      <c r="J29" s="326"/>
      <c r="K29" s="22">
        <v>1986</v>
      </c>
      <c r="L29" s="22">
        <v>1986</v>
      </c>
      <c r="M29" s="326">
        <f t="shared" si="4"/>
        <v>100</v>
      </c>
      <c r="N29" s="22"/>
      <c r="O29" s="22">
        <v>12850</v>
      </c>
      <c r="P29" s="22">
        <v>12850</v>
      </c>
      <c r="Q29" s="23">
        <f t="shared" si="5"/>
        <v>100</v>
      </c>
      <c r="R29" s="114"/>
      <c r="S29" s="22"/>
      <c r="T29" s="22"/>
      <c r="U29" s="23"/>
      <c r="V29" s="21"/>
      <c r="W29" s="22">
        <v>2445</v>
      </c>
      <c r="X29" s="22">
        <v>2445</v>
      </c>
      <c r="Y29" s="23">
        <f t="shared" si="9"/>
        <v>100</v>
      </c>
      <c r="AE29" s="21"/>
      <c r="AF29" s="22"/>
      <c r="AG29" s="22"/>
      <c r="AH29" s="23"/>
      <c r="AL29" s="59"/>
      <c r="AM29" s="60"/>
      <c r="AN29" s="60"/>
      <c r="AO29" s="61"/>
    </row>
    <row r="30" spans="1:41" ht="21.95" customHeight="1" x14ac:dyDescent="0.25">
      <c r="A30" s="103" t="s">
        <v>170</v>
      </c>
      <c r="B30" s="21">
        <v>23070</v>
      </c>
      <c r="C30" s="22">
        <v>38154</v>
      </c>
      <c r="D30" s="22">
        <f t="shared" si="7"/>
        <v>38154</v>
      </c>
      <c r="E30" s="23">
        <f t="shared" si="0"/>
        <v>100</v>
      </c>
      <c r="F30" s="21">
        <f t="shared" si="11"/>
        <v>23070</v>
      </c>
      <c r="G30" s="22">
        <f t="shared" si="12"/>
        <v>25930</v>
      </c>
      <c r="H30" s="22">
        <f t="shared" si="6"/>
        <v>25930</v>
      </c>
      <c r="I30" s="235">
        <f t="shared" si="3"/>
        <v>100</v>
      </c>
      <c r="J30" s="326"/>
      <c r="K30" s="22">
        <v>2544</v>
      </c>
      <c r="L30" s="22">
        <v>2544</v>
      </c>
      <c r="M30" s="326">
        <f t="shared" si="4"/>
        <v>100</v>
      </c>
      <c r="N30" s="22"/>
      <c r="O30" s="22">
        <v>9680</v>
      </c>
      <c r="P30" s="22">
        <v>9680</v>
      </c>
      <c r="Q30" s="23">
        <f t="shared" si="5"/>
        <v>100</v>
      </c>
      <c r="R30" s="114"/>
      <c r="S30" s="22"/>
      <c r="T30" s="22"/>
      <c r="U30" s="23"/>
      <c r="V30" s="21"/>
      <c r="W30" s="22">
        <v>130</v>
      </c>
      <c r="X30" s="22">
        <v>130</v>
      </c>
      <c r="Y30" s="23">
        <f t="shared" si="9"/>
        <v>100</v>
      </c>
      <c r="AE30" s="21"/>
      <c r="AF30" s="22"/>
      <c r="AG30" s="22"/>
      <c r="AH30" s="23"/>
      <c r="AL30" s="62"/>
      <c r="AM30" s="63">
        <v>17519</v>
      </c>
      <c r="AN30" s="63">
        <v>17519</v>
      </c>
      <c r="AO30" s="64">
        <f t="shared" ref="AO30:AO58" si="13">AN30/AM30*100</f>
        <v>100</v>
      </c>
    </row>
    <row r="31" spans="1:41" ht="21.95" customHeight="1" x14ac:dyDescent="0.25">
      <c r="A31" s="103" t="s">
        <v>171</v>
      </c>
      <c r="B31" s="21">
        <v>33608</v>
      </c>
      <c r="C31" s="22">
        <v>48436</v>
      </c>
      <c r="D31" s="22">
        <f t="shared" si="7"/>
        <v>48436</v>
      </c>
      <c r="E31" s="23">
        <f t="shared" si="0"/>
        <v>100</v>
      </c>
      <c r="F31" s="21">
        <f t="shared" si="11"/>
        <v>33608</v>
      </c>
      <c r="G31" s="22">
        <f t="shared" si="12"/>
        <v>35620</v>
      </c>
      <c r="H31" s="22">
        <f t="shared" si="6"/>
        <v>35620</v>
      </c>
      <c r="I31" s="235">
        <f t="shared" si="3"/>
        <v>100</v>
      </c>
      <c r="J31" s="326"/>
      <c r="K31" s="22">
        <v>763</v>
      </c>
      <c r="L31" s="22">
        <v>763</v>
      </c>
      <c r="M31" s="326">
        <f t="shared" si="4"/>
        <v>100</v>
      </c>
      <c r="N31" s="22"/>
      <c r="O31" s="22">
        <v>12053</v>
      </c>
      <c r="P31" s="22">
        <v>12053</v>
      </c>
      <c r="Q31" s="23">
        <f t="shared" si="5"/>
        <v>100</v>
      </c>
      <c r="R31" s="114"/>
      <c r="S31" s="22"/>
      <c r="T31" s="22"/>
      <c r="U31" s="23"/>
      <c r="V31" s="21"/>
      <c r="W31" s="22"/>
      <c r="X31" s="22"/>
      <c r="Y31" s="23"/>
      <c r="AE31" s="21"/>
      <c r="AF31" s="22"/>
      <c r="AG31" s="22"/>
      <c r="AH31" s="23"/>
      <c r="AL31" s="21"/>
      <c r="AM31" s="22">
        <v>12982</v>
      </c>
      <c r="AN31" s="22">
        <v>12982</v>
      </c>
      <c r="AO31" s="23">
        <f t="shared" si="13"/>
        <v>100</v>
      </c>
    </row>
    <row r="32" spans="1:41" ht="21.95" customHeight="1" x14ac:dyDescent="0.25">
      <c r="A32" s="103" t="s">
        <v>172</v>
      </c>
      <c r="B32" s="21">
        <v>23179</v>
      </c>
      <c r="C32" s="22">
        <v>34381</v>
      </c>
      <c r="D32" s="22">
        <f t="shared" si="7"/>
        <v>34381</v>
      </c>
      <c r="E32" s="23">
        <f t="shared" si="0"/>
        <v>100</v>
      </c>
      <c r="F32" s="21">
        <f t="shared" si="11"/>
        <v>23179</v>
      </c>
      <c r="G32" s="22">
        <f t="shared" si="12"/>
        <v>33579</v>
      </c>
      <c r="H32" s="22">
        <f t="shared" si="6"/>
        <v>33579</v>
      </c>
      <c r="I32" s="235">
        <f t="shared" si="3"/>
        <v>100</v>
      </c>
      <c r="J32" s="326"/>
      <c r="K32" s="22">
        <v>662</v>
      </c>
      <c r="L32" s="22">
        <v>662</v>
      </c>
      <c r="M32" s="326">
        <f t="shared" si="4"/>
        <v>100</v>
      </c>
      <c r="N32" s="22"/>
      <c r="O32" s="22">
        <v>140</v>
      </c>
      <c r="P32" s="22">
        <v>140</v>
      </c>
      <c r="Q32" s="23">
        <f t="shared" si="5"/>
        <v>100</v>
      </c>
      <c r="R32" s="114"/>
      <c r="S32" s="22"/>
      <c r="T32" s="22"/>
      <c r="U32" s="23"/>
      <c r="V32" s="21"/>
      <c r="W32" s="22">
        <v>145</v>
      </c>
      <c r="X32" s="22">
        <v>145</v>
      </c>
      <c r="Y32" s="23">
        <f t="shared" si="9"/>
        <v>100</v>
      </c>
      <c r="AE32" s="21"/>
      <c r="AF32" s="22"/>
      <c r="AG32" s="22"/>
      <c r="AH32" s="23"/>
      <c r="AL32" s="21"/>
      <c r="AM32" s="22">
        <v>3635</v>
      </c>
      <c r="AN32" s="22">
        <v>3635</v>
      </c>
      <c r="AO32" s="23">
        <f t="shared" si="13"/>
        <v>100</v>
      </c>
    </row>
    <row r="33" spans="1:41" ht="21.95" customHeight="1" x14ac:dyDescent="0.25">
      <c r="A33" s="103" t="s">
        <v>173</v>
      </c>
      <c r="B33" s="21">
        <v>71028</v>
      </c>
      <c r="C33" s="22">
        <v>94057</v>
      </c>
      <c r="D33" s="22">
        <f t="shared" si="7"/>
        <v>94057</v>
      </c>
      <c r="E33" s="23">
        <f t="shared" si="0"/>
        <v>100</v>
      </c>
      <c r="F33" s="21">
        <f t="shared" si="11"/>
        <v>71028</v>
      </c>
      <c r="G33" s="22">
        <f t="shared" si="12"/>
        <v>71088</v>
      </c>
      <c r="H33" s="22">
        <f t="shared" si="6"/>
        <v>71088</v>
      </c>
      <c r="I33" s="235">
        <f t="shared" si="3"/>
        <v>100</v>
      </c>
      <c r="J33" s="326"/>
      <c r="K33" s="22">
        <v>1629</v>
      </c>
      <c r="L33" s="22">
        <v>1629</v>
      </c>
      <c r="M33" s="326">
        <f t="shared" si="4"/>
        <v>100</v>
      </c>
      <c r="N33" s="22"/>
      <c r="O33" s="22">
        <v>21340</v>
      </c>
      <c r="P33" s="22">
        <v>21340</v>
      </c>
      <c r="Q33" s="23">
        <f t="shared" si="5"/>
        <v>100</v>
      </c>
      <c r="R33" s="114"/>
      <c r="S33" s="22"/>
      <c r="T33" s="22"/>
      <c r="U33" s="23"/>
      <c r="V33" s="21"/>
      <c r="W33" s="22">
        <v>50</v>
      </c>
      <c r="X33" s="22">
        <v>50</v>
      </c>
      <c r="Y33" s="23">
        <f>X33/W33*100</f>
        <v>100</v>
      </c>
      <c r="AE33" s="21"/>
      <c r="AF33" s="22"/>
      <c r="AG33" s="22"/>
      <c r="AH33" s="23"/>
      <c r="AL33" s="21"/>
      <c r="AM33" s="22">
        <v>580</v>
      </c>
      <c r="AN33" s="22">
        <v>580</v>
      </c>
      <c r="AO33" s="23">
        <f t="shared" si="13"/>
        <v>100</v>
      </c>
    </row>
    <row r="34" spans="1:41" ht="21.95" customHeight="1" x14ac:dyDescent="0.25">
      <c r="A34" s="103" t="s">
        <v>174</v>
      </c>
      <c r="B34" s="21">
        <v>26656</v>
      </c>
      <c r="C34" s="22">
        <v>42872</v>
      </c>
      <c r="D34" s="22">
        <f t="shared" si="7"/>
        <v>42872</v>
      </c>
      <c r="E34" s="23">
        <f t="shared" si="0"/>
        <v>100</v>
      </c>
      <c r="F34" s="21">
        <f t="shared" si="11"/>
        <v>26656</v>
      </c>
      <c r="G34" s="22">
        <f t="shared" si="12"/>
        <v>28253</v>
      </c>
      <c r="H34" s="22">
        <f t="shared" si="6"/>
        <v>28253</v>
      </c>
      <c r="I34" s="235">
        <f t="shared" si="3"/>
        <v>100</v>
      </c>
      <c r="J34" s="326"/>
      <c r="K34" s="22">
        <v>700</v>
      </c>
      <c r="L34" s="22">
        <v>700</v>
      </c>
      <c r="M34" s="326">
        <f t="shared" si="4"/>
        <v>100</v>
      </c>
      <c r="N34" s="22"/>
      <c r="O34" s="22">
        <v>13919</v>
      </c>
      <c r="P34" s="22">
        <v>13919</v>
      </c>
      <c r="Q34" s="23">
        <f t="shared" si="5"/>
        <v>100</v>
      </c>
      <c r="R34" s="114"/>
      <c r="S34" s="22"/>
      <c r="T34" s="22"/>
      <c r="U34" s="23"/>
      <c r="V34" s="21"/>
      <c r="W34" s="22">
        <v>55</v>
      </c>
      <c r="X34" s="22">
        <v>55</v>
      </c>
      <c r="Y34" s="23">
        <f>X34/W34*100</f>
        <v>100</v>
      </c>
      <c r="AE34" s="21"/>
      <c r="AF34" s="22"/>
      <c r="AG34" s="22"/>
      <c r="AH34" s="23"/>
      <c r="AL34" s="21"/>
      <c r="AM34" s="22">
        <v>817</v>
      </c>
      <c r="AN34" s="22">
        <v>817</v>
      </c>
      <c r="AO34" s="23">
        <f t="shared" si="13"/>
        <v>100</v>
      </c>
    </row>
    <row r="35" spans="1:41" ht="21.95" customHeight="1" x14ac:dyDescent="0.25">
      <c r="A35" s="103" t="s">
        <v>175</v>
      </c>
      <c r="B35" s="21">
        <v>24547</v>
      </c>
      <c r="C35" s="22">
        <v>30972</v>
      </c>
      <c r="D35" s="22">
        <f t="shared" si="7"/>
        <v>30972</v>
      </c>
      <c r="E35" s="23">
        <f t="shared" si="0"/>
        <v>100</v>
      </c>
      <c r="F35" s="21">
        <f t="shared" si="11"/>
        <v>24547</v>
      </c>
      <c r="G35" s="22">
        <f t="shared" si="12"/>
        <v>25117</v>
      </c>
      <c r="H35" s="22">
        <f t="shared" si="6"/>
        <v>25117</v>
      </c>
      <c r="I35" s="235">
        <f t="shared" si="3"/>
        <v>100</v>
      </c>
      <c r="J35" s="326"/>
      <c r="K35" s="22">
        <v>555</v>
      </c>
      <c r="L35" s="22">
        <v>555</v>
      </c>
      <c r="M35" s="326">
        <f t="shared" si="4"/>
        <v>100</v>
      </c>
      <c r="N35" s="22"/>
      <c r="O35" s="22">
        <v>5300</v>
      </c>
      <c r="P35" s="22">
        <v>5300</v>
      </c>
      <c r="Q35" s="23">
        <f t="shared" si="5"/>
        <v>100</v>
      </c>
      <c r="R35" s="114"/>
      <c r="S35" s="22"/>
      <c r="T35" s="22"/>
      <c r="U35" s="23"/>
      <c r="V35" s="21"/>
      <c r="W35" s="22">
        <v>50</v>
      </c>
      <c r="X35" s="22">
        <v>50</v>
      </c>
      <c r="Y35" s="23">
        <f>X35/W35*100</f>
        <v>100</v>
      </c>
      <c r="AE35" s="21"/>
      <c r="AF35" s="22"/>
      <c r="AG35" s="22"/>
      <c r="AH35" s="23"/>
      <c r="AL35" s="21"/>
      <c r="AM35" s="22">
        <v>212</v>
      </c>
      <c r="AN35" s="22">
        <v>212</v>
      </c>
      <c r="AO35" s="23">
        <f t="shared" si="13"/>
        <v>100</v>
      </c>
    </row>
    <row r="36" spans="1:41" ht="21.95" customHeight="1" x14ac:dyDescent="0.25">
      <c r="A36" s="103" t="s">
        <v>176</v>
      </c>
      <c r="B36" s="21">
        <v>14831</v>
      </c>
      <c r="C36" s="22">
        <v>24346</v>
      </c>
      <c r="D36" s="22">
        <f t="shared" si="7"/>
        <v>24346</v>
      </c>
      <c r="E36" s="23">
        <f t="shared" si="0"/>
        <v>100</v>
      </c>
      <c r="F36" s="21">
        <f t="shared" si="11"/>
        <v>14831</v>
      </c>
      <c r="G36" s="22">
        <f t="shared" si="12"/>
        <v>17731</v>
      </c>
      <c r="H36" s="22">
        <f t="shared" si="6"/>
        <v>17731</v>
      </c>
      <c r="I36" s="235">
        <f t="shared" si="3"/>
        <v>100</v>
      </c>
      <c r="J36" s="326"/>
      <c r="K36" s="22">
        <v>335</v>
      </c>
      <c r="L36" s="22">
        <v>335</v>
      </c>
      <c r="M36" s="326">
        <f t="shared" si="4"/>
        <v>100</v>
      </c>
      <c r="N36" s="22"/>
      <c r="O36" s="22">
        <v>6280</v>
      </c>
      <c r="P36" s="22">
        <v>6280</v>
      </c>
      <c r="Q36" s="23">
        <f t="shared" si="5"/>
        <v>100</v>
      </c>
      <c r="R36" s="114"/>
      <c r="S36" s="22"/>
      <c r="T36" s="22"/>
      <c r="U36" s="23"/>
      <c r="V36" s="21"/>
      <c r="W36" s="22"/>
      <c r="X36" s="22"/>
      <c r="Y36" s="23"/>
      <c r="AE36" s="21">
        <v>125</v>
      </c>
      <c r="AF36" s="22">
        <v>125</v>
      </c>
      <c r="AG36" s="22">
        <v>125</v>
      </c>
      <c r="AH36" s="23">
        <f>AG36/AF36*100</f>
        <v>100</v>
      </c>
      <c r="AL36" s="21"/>
      <c r="AM36" s="22">
        <v>1558</v>
      </c>
      <c r="AN36" s="22">
        <v>1558</v>
      </c>
      <c r="AO36" s="23">
        <f t="shared" si="13"/>
        <v>100</v>
      </c>
    </row>
    <row r="37" spans="1:41" ht="21.95" customHeight="1" x14ac:dyDescent="0.25">
      <c r="A37" s="103" t="s">
        <v>177</v>
      </c>
      <c r="B37" s="21">
        <v>78678</v>
      </c>
      <c r="C37" s="22">
        <f>106750-123</f>
        <v>106627</v>
      </c>
      <c r="D37" s="22">
        <f t="shared" si="7"/>
        <v>106627</v>
      </c>
      <c r="E37" s="23">
        <f t="shared" si="0"/>
        <v>100</v>
      </c>
      <c r="F37" s="21">
        <f t="shared" si="11"/>
        <v>78678</v>
      </c>
      <c r="G37" s="22">
        <f t="shared" si="12"/>
        <v>88488</v>
      </c>
      <c r="H37" s="22">
        <f t="shared" si="6"/>
        <v>88488</v>
      </c>
      <c r="I37" s="235">
        <f t="shared" si="3"/>
        <v>100</v>
      </c>
      <c r="J37" s="326"/>
      <c r="K37" s="22">
        <v>10189</v>
      </c>
      <c r="L37" s="22">
        <v>10189</v>
      </c>
      <c r="M37" s="326">
        <f t="shared" si="4"/>
        <v>100</v>
      </c>
      <c r="N37" s="22"/>
      <c r="O37" s="22">
        <v>7950</v>
      </c>
      <c r="P37" s="22">
        <v>7950</v>
      </c>
      <c r="Q37" s="23">
        <f t="shared" si="5"/>
        <v>100</v>
      </c>
      <c r="R37" s="114"/>
      <c r="S37" s="22">
        <v>123</v>
      </c>
      <c r="T37" s="22">
        <v>123</v>
      </c>
      <c r="U37" s="23">
        <f>T37/S37*100</f>
        <v>100</v>
      </c>
      <c r="V37" s="21"/>
      <c r="W37" s="22">
        <v>1181</v>
      </c>
      <c r="X37" s="22">
        <v>1181</v>
      </c>
      <c r="Y37" s="23">
        <f>X37/W37*100</f>
        <v>100</v>
      </c>
      <c r="AE37" s="21"/>
      <c r="AF37" s="22"/>
      <c r="AG37" s="22"/>
      <c r="AH37" s="23"/>
      <c r="AL37" s="21"/>
      <c r="AM37" s="22">
        <v>1893</v>
      </c>
      <c r="AN37" s="22">
        <v>1893</v>
      </c>
      <c r="AO37" s="23">
        <f t="shared" si="13"/>
        <v>100</v>
      </c>
    </row>
    <row r="38" spans="1:41" ht="21.95" customHeight="1" x14ac:dyDescent="0.25">
      <c r="A38" s="103" t="s">
        <v>178</v>
      </c>
      <c r="B38" s="21">
        <v>15686</v>
      </c>
      <c r="C38" s="22">
        <v>20855</v>
      </c>
      <c r="D38" s="22">
        <f t="shared" si="7"/>
        <v>20855</v>
      </c>
      <c r="E38" s="23">
        <f t="shared" si="0"/>
        <v>100</v>
      </c>
      <c r="F38" s="21">
        <f t="shared" si="11"/>
        <v>15686</v>
      </c>
      <c r="G38" s="22">
        <f t="shared" si="12"/>
        <v>17256</v>
      </c>
      <c r="H38" s="22">
        <f t="shared" si="6"/>
        <v>17256</v>
      </c>
      <c r="I38" s="235">
        <f t="shared" si="3"/>
        <v>100</v>
      </c>
      <c r="J38" s="326"/>
      <c r="K38" s="22">
        <v>409</v>
      </c>
      <c r="L38" s="22">
        <v>409</v>
      </c>
      <c r="M38" s="326">
        <f t="shared" si="4"/>
        <v>100</v>
      </c>
      <c r="N38" s="22"/>
      <c r="O38" s="22">
        <v>3190</v>
      </c>
      <c r="P38" s="22">
        <v>3190</v>
      </c>
      <c r="Q38" s="23">
        <f t="shared" si="5"/>
        <v>100</v>
      </c>
      <c r="R38" s="114"/>
      <c r="S38" s="22"/>
      <c r="T38" s="22"/>
      <c r="U38" s="23"/>
      <c r="V38" s="21"/>
      <c r="W38" s="22"/>
      <c r="X38" s="22"/>
      <c r="Y38" s="23"/>
      <c r="AE38" s="21"/>
      <c r="AF38" s="22"/>
      <c r="AG38" s="22"/>
      <c r="AH38" s="23"/>
      <c r="AL38" s="21"/>
      <c r="AM38" s="22">
        <v>201</v>
      </c>
      <c r="AN38" s="22">
        <v>201</v>
      </c>
      <c r="AO38" s="23">
        <f t="shared" si="13"/>
        <v>100</v>
      </c>
    </row>
    <row r="39" spans="1:41" ht="21.95" customHeight="1" x14ac:dyDescent="0.25">
      <c r="A39" s="103" t="s">
        <v>179</v>
      </c>
      <c r="B39" s="21">
        <v>38669</v>
      </c>
      <c r="C39" s="22">
        <v>46445</v>
      </c>
      <c r="D39" s="22">
        <f t="shared" si="7"/>
        <v>46445</v>
      </c>
      <c r="E39" s="23">
        <f t="shared" si="0"/>
        <v>100</v>
      </c>
      <c r="F39" s="21">
        <f t="shared" si="11"/>
        <v>38669</v>
      </c>
      <c r="G39" s="22">
        <f t="shared" si="12"/>
        <v>40529</v>
      </c>
      <c r="H39" s="22">
        <f t="shared" si="6"/>
        <v>40529</v>
      </c>
      <c r="I39" s="235">
        <f t="shared" si="3"/>
        <v>100</v>
      </c>
      <c r="J39" s="326"/>
      <c r="K39" s="22">
        <v>916</v>
      </c>
      <c r="L39" s="22">
        <v>916</v>
      </c>
      <c r="M39" s="326">
        <f t="shared" si="4"/>
        <v>100</v>
      </c>
      <c r="N39" s="22"/>
      <c r="O39" s="22">
        <v>5000</v>
      </c>
      <c r="P39" s="22">
        <v>5000</v>
      </c>
      <c r="Q39" s="23">
        <f t="shared" si="5"/>
        <v>100</v>
      </c>
      <c r="R39" s="114">
        <v>100</v>
      </c>
      <c r="S39" s="22">
        <v>100</v>
      </c>
      <c r="T39" s="22">
        <v>100</v>
      </c>
      <c r="U39" s="23">
        <f>T39/S39*100</f>
        <v>100</v>
      </c>
      <c r="V39" s="21"/>
      <c r="W39" s="22"/>
      <c r="X39" s="22"/>
      <c r="Y39" s="23"/>
      <c r="AE39" s="21"/>
      <c r="AF39" s="22"/>
      <c r="AG39" s="22"/>
      <c r="AH39" s="23"/>
      <c r="AL39" s="21"/>
      <c r="AM39" s="22">
        <v>608</v>
      </c>
      <c r="AN39" s="22">
        <v>608</v>
      </c>
      <c r="AO39" s="23">
        <f t="shared" si="13"/>
        <v>100</v>
      </c>
    </row>
    <row r="40" spans="1:41" ht="21.95" customHeight="1" x14ac:dyDescent="0.25">
      <c r="A40" s="103" t="s">
        <v>180</v>
      </c>
      <c r="B40" s="21">
        <v>4416</v>
      </c>
      <c r="C40" s="22">
        <v>4786</v>
      </c>
      <c r="D40" s="22">
        <f t="shared" si="7"/>
        <v>4786</v>
      </c>
      <c r="E40" s="23">
        <f t="shared" si="0"/>
        <v>100</v>
      </c>
      <c r="F40" s="21">
        <f t="shared" si="11"/>
        <v>4416</v>
      </c>
      <c r="G40" s="22">
        <f t="shared" si="12"/>
        <v>4486</v>
      </c>
      <c r="H40" s="22">
        <f t="shared" si="6"/>
        <v>4486</v>
      </c>
      <c r="I40" s="235">
        <f t="shared" si="3"/>
        <v>100</v>
      </c>
      <c r="J40" s="326"/>
      <c r="K40" s="22">
        <v>100</v>
      </c>
      <c r="L40" s="22">
        <v>100</v>
      </c>
      <c r="M40" s="326">
        <f t="shared" si="4"/>
        <v>100</v>
      </c>
      <c r="N40" s="22"/>
      <c r="O40" s="22">
        <v>200</v>
      </c>
      <c r="P40" s="22">
        <v>200</v>
      </c>
      <c r="Q40" s="23">
        <f t="shared" si="5"/>
        <v>100</v>
      </c>
      <c r="R40" s="114"/>
      <c r="S40" s="22"/>
      <c r="T40" s="22"/>
      <c r="U40" s="23"/>
      <c r="V40" s="21"/>
      <c r="W40" s="22"/>
      <c r="X40" s="22"/>
      <c r="Y40" s="23"/>
      <c r="AE40" s="21"/>
      <c r="AF40" s="22"/>
      <c r="AG40" s="22"/>
      <c r="AH40" s="23"/>
      <c r="AL40" s="21"/>
      <c r="AM40" s="22">
        <v>416</v>
      </c>
      <c r="AN40" s="22">
        <v>416</v>
      </c>
      <c r="AO40" s="23">
        <f t="shared" si="13"/>
        <v>100</v>
      </c>
    </row>
    <row r="41" spans="1:41" ht="21.95" customHeight="1" x14ac:dyDescent="0.25">
      <c r="A41" s="103" t="s">
        <v>181</v>
      </c>
      <c r="B41" s="21">
        <v>5407</v>
      </c>
      <c r="C41" s="22">
        <v>20969</v>
      </c>
      <c r="D41" s="22">
        <f t="shared" si="7"/>
        <v>20969</v>
      </c>
      <c r="E41" s="23">
        <f t="shared" si="0"/>
        <v>100</v>
      </c>
      <c r="F41" s="21">
        <f t="shared" si="11"/>
        <v>5407</v>
      </c>
      <c r="G41" s="22">
        <f t="shared" si="12"/>
        <v>5757</v>
      </c>
      <c r="H41" s="22">
        <f t="shared" si="6"/>
        <v>5757</v>
      </c>
      <c r="I41" s="235">
        <f t="shared" si="3"/>
        <v>100</v>
      </c>
      <c r="J41" s="326"/>
      <c r="K41" s="22">
        <v>122</v>
      </c>
      <c r="L41" s="22">
        <v>122</v>
      </c>
      <c r="M41" s="326">
        <f t="shared" si="4"/>
        <v>100</v>
      </c>
      <c r="N41" s="22"/>
      <c r="O41" s="22">
        <v>15090</v>
      </c>
      <c r="P41" s="22">
        <v>15090</v>
      </c>
      <c r="Q41" s="23">
        <f t="shared" si="5"/>
        <v>100</v>
      </c>
      <c r="R41" s="114"/>
      <c r="S41" s="22"/>
      <c r="T41" s="22"/>
      <c r="U41" s="23"/>
      <c r="V41" s="21"/>
      <c r="W41" s="22"/>
      <c r="X41" s="22"/>
      <c r="Y41" s="23"/>
      <c r="AE41" s="21"/>
      <c r="AF41" s="22"/>
      <c r="AG41" s="22"/>
      <c r="AH41" s="23"/>
      <c r="AL41" s="21"/>
      <c r="AM41" s="22">
        <v>363</v>
      </c>
      <c r="AN41" s="22">
        <v>363</v>
      </c>
      <c r="AO41" s="23">
        <f t="shared" si="13"/>
        <v>100</v>
      </c>
    </row>
    <row r="42" spans="1:41" ht="21.95" customHeight="1" x14ac:dyDescent="0.25">
      <c r="A42" s="103" t="s">
        <v>182</v>
      </c>
      <c r="B42" s="21">
        <v>3022</v>
      </c>
      <c r="C42" s="22">
        <v>6504</v>
      </c>
      <c r="D42" s="22">
        <f t="shared" si="7"/>
        <v>6504</v>
      </c>
      <c r="E42" s="23">
        <f t="shared" si="0"/>
        <v>100</v>
      </c>
      <c r="F42" s="21">
        <f t="shared" si="11"/>
        <v>3022</v>
      </c>
      <c r="G42" s="22">
        <f t="shared" si="12"/>
        <v>3106</v>
      </c>
      <c r="H42" s="22">
        <f t="shared" si="6"/>
        <v>3106</v>
      </c>
      <c r="I42" s="235">
        <f t="shared" si="3"/>
        <v>100</v>
      </c>
      <c r="J42" s="326"/>
      <c r="K42" s="22">
        <v>68</v>
      </c>
      <c r="L42" s="22">
        <v>68</v>
      </c>
      <c r="M42" s="326">
        <f t="shared" si="4"/>
        <v>100</v>
      </c>
      <c r="N42" s="22"/>
      <c r="O42" s="22">
        <v>3330</v>
      </c>
      <c r="P42" s="22">
        <v>3330</v>
      </c>
      <c r="Q42" s="23">
        <f t="shared" si="5"/>
        <v>100</v>
      </c>
      <c r="R42" s="114"/>
      <c r="S42" s="22"/>
      <c r="T42" s="22"/>
      <c r="U42" s="23"/>
      <c r="V42" s="21"/>
      <c r="W42" s="22">
        <v>70</v>
      </c>
      <c r="X42" s="22">
        <v>70</v>
      </c>
      <c r="Y42" s="23">
        <f>X42/W42*100</f>
        <v>100</v>
      </c>
      <c r="AE42" s="21"/>
      <c r="AF42" s="22"/>
      <c r="AG42" s="22"/>
      <c r="AH42" s="23"/>
      <c r="AL42" s="21"/>
      <c r="AM42" s="22">
        <v>36587</v>
      </c>
      <c r="AN42" s="22">
        <v>36587</v>
      </c>
      <c r="AO42" s="23">
        <f t="shared" si="13"/>
        <v>100</v>
      </c>
    </row>
    <row r="43" spans="1:41" ht="21.95" customHeight="1" thickBot="1" x14ac:dyDescent="0.3">
      <c r="A43" s="104" t="s">
        <v>183</v>
      </c>
      <c r="B43" s="25">
        <v>2175</v>
      </c>
      <c r="C43" s="26">
        <v>2366</v>
      </c>
      <c r="D43" s="26">
        <v>2366</v>
      </c>
      <c r="E43" s="27">
        <f t="shared" si="0"/>
        <v>100</v>
      </c>
      <c r="F43" s="25">
        <f t="shared" si="11"/>
        <v>2175</v>
      </c>
      <c r="G43" s="26">
        <f t="shared" si="12"/>
        <v>2265</v>
      </c>
      <c r="H43" s="26">
        <f t="shared" si="6"/>
        <v>2265</v>
      </c>
      <c r="I43" s="240">
        <f t="shared" si="3"/>
        <v>100</v>
      </c>
      <c r="J43" s="327"/>
      <c r="K43" s="26">
        <v>46</v>
      </c>
      <c r="L43" s="26">
        <v>46</v>
      </c>
      <c r="M43" s="327">
        <f t="shared" si="4"/>
        <v>100</v>
      </c>
      <c r="N43" s="26"/>
      <c r="O43" s="26">
        <v>55</v>
      </c>
      <c r="P43" s="26">
        <v>55</v>
      </c>
      <c r="Q43" s="27">
        <f t="shared" si="5"/>
        <v>100</v>
      </c>
      <c r="R43" s="115"/>
      <c r="S43" s="26"/>
      <c r="T43" s="26"/>
      <c r="U43" s="27"/>
      <c r="V43" s="25"/>
      <c r="W43" s="26"/>
      <c r="X43" s="26"/>
      <c r="Y43" s="117"/>
      <c r="AE43" s="25"/>
      <c r="AF43" s="26"/>
      <c r="AG43" s="26"/>
      <c r="AH43" s="117"/>
      <c r="AL43" s="21"/>
      <c r="AM43" s="22">
        <v>480</v>
      </c>
      <c r="AN43" s="22">
        <v>480</v>
      </c>
      <c r="AO43" s="23">
        <f t="shared" si="13"/>
        <v>100</v>
      </c>
    </row>
    <row r="44" spans="1:41" ht="16.5" thickBot="1" x14ac:dyDescent="0.3">
      <c r="A44" s="96"/>
      <c r="B44" s="50"/>
      <c r="C44" s="51"/>
      <c r="D44" s="51"/>
      <c r="E44" s="35"/>
      <c r="F44" s="282"/>
      <c r="G44" s="283"/>
      <c r="H44" s="283"/>
      <c r="I44" s="295"/>
      <c r="J44" s="296"/>
      <c r="K44" s="295"/>
      <c r="L44" s="295"/>
      <c r="M44" s="295"/>
      <c r="N44" s="296"/>
      <c r="O44" s="295"/>
      <c r="P44" s="295"/>
      <c r="Q44" s="297"/>
      <c r="R44" s="51"/>
      <c r="S44" s="51"/>
      <c r="T44" s="51"/>
      <c r="U44" s="35"/>
      <c r="V44" s="50"/>
      <c r="W44" s="51"/>
      <c r="X44" s="51"/>
      <c r="Y44" s="35"/>
      <c r="AE44" s="50"/>
      <c r="AF44" s="51"/>
      <c r="AG44" s="51"/>
      <c r="AH44" s="35"/>
      <c r="AL44" s="21"/>
      <c r="AM44" s="22">
        <v>1986</v>
      </c>
      <c r="AN44" s="22">
        <v>1986</v>
      </c>
      <c r="AO44" s="23">
        <f t="shared" si="13"/>
        <v>100</v>
      </c>
    </row>
    <row r="45" spans="1:41" ht="27.75" customHeight="1" thickBot="1" x14ac:dyDescent="0.3">
      <c r="A45" s="106" t="s">
        <v>198</v>
      </c>
      <c r="B45" s="36">
        <f>SUM(B15:B43)</f>
        <v>1091458</v>
      </c>
      <c r="C45" s="42">
        <f>SUM(C15:C43)</f>
        <v>1587784</v>
      </c>
      <c r="D45" s="42">
        <f>SUM(D15:D43)</f>
        <v>1587783</v>
      </c>
      <c r="E45" s="39">
        <f>D45/C45*100</f>
        <v>99.999937019141143</v>
      </c>
      <c r="F45" s="36">
        <f>SUM(F15:F43)</f>
        <v>1091458</v>
      </c>
      <c r="G45" s="42">
        <f>SUM(G15:G43)</f>
        <v>1185220</v>
      </c>
      <c r="H45" s="42">
        <f>SUM(H15:H43)</f>
        <v>1185219</v>
      </c>
      <c r="I45" s="279">
        <f>H45/G45*100</f>
        <v>99.999915627478444</v>
      </c>
      <c r="J45" s="279"/>
      <c r="K45" s="42">
        <f>SUM(K15:K43)</f>
        <v>98875</v>
      </c>
      <c r="L45" s="42">
        <f>SUM(L15:L43)</f>
        <v>98875</v>
      </c>
      <c r="M45" s="243">
        <f>L45/K45*100</f>
        <v>100</v>
      </c>
      <c r="N45" s="243"/>
      <c r="O45" s="42">
        <f>SUM(O15:O43)</f>
        <v>303689</v>
      </c>
      <c r="P45" s="42">
        <f>SUM(P15:P43)</f>
        <v>303689</v>
      </c>
      <c r="Q45" s="39">
        <f>P45/O45*100</f>
        <v>100</v>
      </c>
      <c r="R45" s="116">
        <f>SUM(R14:R43)</f>
        <v>300</v>
      </c>
      <c r="S45" s="42">
        <f>SUM(S14:S43)</f>
        <v>423</v>
      </c>
      <c r="T45" s="42">
        <f>SUM(T14:T43)</f>
        <v>423</v>
      </c>
      <c r="U45" s="39">
        <f>T45/S45*100</f>
        <v>100</v>
      </c>
      <c r="V45" s="36"/>
      <c r="W45" s="42">
        <f>SUM(W14:W43)</f>
        <v>20505</v>
      </c>
      <c r="X45" s="42">
        <f>SUM(X14:X43)</f>
        <v>20505</v>
      </c>
      <c r="Y45" s="39">
        <f>X45/W45*100</f>
        <v>100</v>
      </c>
      <c r="AA45" s="79">
        <f>SUM(AA15:AA43)</f>
        <v>0</v>
      </c>
      <c r="AB45" s="79">
        <f>SUM(AB15:AB43)</f>
        <v>0</v>
      </c>
      <c r="AE45" s="42">
        <f>SUM(AE14:AE43)</f>
        <v>149</v>
      </c>
      <c r="AF45" s="42">
        <f>SUM(AF14:AF43)</f>
        <v>149</v>
      </c>
      <c r="AG45" s="42">
        <f>SUM(AG14:AG43)</f>
        <v>149</v>
      </c>
      <c r="AH45" s="39">
        <f>AG45/AF45*100</f>
        <v>100</v>
      </c>
      <c r="AL45" s="21"/>
      <c r="AM45" s="22">
        <v>2544</v>
      </c>
      <c r="AN45" s="22">
        <v>2544</v>
      </c>
      <c r="AO45" s="23">
        <f t="shared" si="13"/>
        <v>100</v>
      </c>
    </row>
    <row r="46" spans="1:41" x14ac:dyDescent="0.25">
      <c r="AL46" s="21"/>
      <c r="AM46" s="22">
        <v>763</v>
      </c>
      <c r="AN46" s="22">
        <v>763</v>
      </c>
      <c r="AO46" s="23">
        <f t="shared" si="13"/>
        <v>100</v>
      </c>
    </row>
    <row r="47" spans="1:41" x14ac:dyDescent="0.25">
      <c r="AL47" s="21"/>
      <c r="AM47" s="22">
        <v>662</v>
      </c>
      <c r="AN47" s="22">
        <v>662</v>
      </c>
      <c r="AO47" s="23">
        <f t="shared" si="13"/>
        <v>100</v>
      </c>
    </row>
    <row r="48" spans="1:41" s="40" customFormat="1" x14ac:dyDescent="0.25">
      <c r="A48" s="66"/>
      <c r="AL48" s="21"/>
      <c r="AM48" s="22">
        <v>1629</v>
      </c>
      <c r="AN48" s="22">
        <v>1629</v>
      </c>
      <c r="AO48" s="23">
        <f t="shared" si="13"/>
        <v>100</v>
      </c>
    </row>
    <row r="49" spans="1:41" s="40" customFormat="1" x14ac:dyDescent="0.25">
      <c r="A49" s="66">
        <v>2013</v>
      </c>
      <c r="B49" s="40">
        <f>974958+390+24</f>
        <v>975372</v>
      </c>
      <c r="C49" s="40">
        <f>1015067+604+505</f>
        <v>1016176</v>
      </c>
      <c r="D49" s="40">
        <f>1014967+604+505</f>
        <v>1016076</v>
      </c>
      <c r="F49" s="40">
        <v>974958</v>
      </c>
      <c r="G49" s="40">
        <v>1015067</v>
      </c>
      <c r="H49" s="40">
        <v>1014967</v>
      </c>
      <c r="R49" s="40">
        <f>390+24</f>
        <v>414</v>
      </c>
      <c r="S49" s="40">
        <f>604+505</f>
        <v>1109</v>
      </c>
      <c r="T49" s="40">
        <f>604+505</f>
        <v>1109</v>
      </c>
      <c r="W49" s="40">
        <v>4854</v>
      </c>
      <c r="X49" s="40">
        <v>4854</v>
      </c>
      <c r="AL49" s="21"/>
      <c r="AM49" s="22">
        <v>700</v>
      </c>
      <c r="AN49" s="22">
        <v>700</v>
      </c>
      <c r="AO49" s="23">
        <f t="shared" si="13"/>
        <v>100</v>
      </c>
    </row>
    <row r="50" spans="1:41" s="40" customFormat="1" x14ac:dyDescent="0.25">
      <c r="A50" s="66">
        <v>2014</v>
      </c>
      <c r="B50" s="40">
        <f>1027931+317+149</f>
        <v>1028397</v>
      </c>
      <c r="C50" s="40">
        <f>1113174+441+149</f>
        <v>1113764</v>
      </c>
      <c r="D50" s="40">
        <f>1113057+441+149</f>
        <v>1113647</v>
      </c>
      <c r="F50" s="40">
        <v>1027931</v>
      </c>
      <c r="G50" s="40">
        <v>1113174</v>
      </c>
      <c r="H50" s="40">
        <v>1113057</v>
      </c>
      <c r="R50" s="40">
        <f>317+149</f>
        <v>466</v>
      </c>
      <c r="S50" s="40">
        <f>441+149</f>
        <v>590</v>
      </c>
      <c r="T50" s="40">
        <f>441+149</f>
        <v>590</v>
      </c>
      <c r="W50" s="40">
        <v>6625</v>
      </c>
      <c r="X50" s="40">
        <v>6625</v>
      </c>
      <c r="AL50" s="21"/>
      <c r="AM50" s="22">
        <v>555</v>
      </c>
      <c r="AN50" s="22">
        <v>555</v>
      </c>
      <c r="AO50" s="23">
        <f t="shared" si="13"/>
        <v>100</v>
      </c>
    </row>
    <row r="51" spans="1:41" x14ac:dyDescent="0.25">
      <c r="F51" s="40"/>
      <c r="H51" s="40"/>
      <c r="S51" s="40"/>
      <c r="U51" s="387">
        <f>T45+X45</f>
        <v>20928</v>
      </c>
      <c r="V51" s="387"/>
      <c r="AL51" s="21"/>
      <c r="AM51" s="22">
        <v>335</v>
      </c>
      <c r="AN51" s="22">
        <v>335</v>
      </c>
      <c r="AO51" s="23">
        <f t="shared" si="13"/>
        <v>100</v>
      </c>
    </row>
    <row r="52" spans="1:41" x14ac:dyDescent="0.25">
      <c r="C52" s="40">
        <f>C50-C45</f>
        <v>-474020</v>
      </c>
      <c r="D52" s="40">
        <f>D50-D45</f>
        <v>-474136</v>
      </c>
      <c r="R52" s="79">
        <f>370+349</f>
        <v>719</v>
      </c>
      <c r="S52" s="79">
        <f>830+2322</f>
        <v>3152</v>
      </c>
      <c r="T52" s="79">
        <f>2310+739</f>
        <v>3049</v>
      </c>
      <c r="AL52" s="21"/>
      <c r="AM52" s="22">
        <v>10189</v>
      </c>
      <c r="AN52" s="22">
        <v>10189</v>
      </c>
      <c r="AO52" s="23">
        <f t="shared" si="13"/>
        <v>100</v>
      </c>
    </row>
    <row r="53" spans="1:41" x14ac:dyDescent="0.25">
      <c r="AL53" s="21"/>
      <c r="AM53" s="22">
        <v>409</v>
      </c>
      <c r="AN53" s="22">
        <v>409</v>
      </c>
      <c r="AO53" s="23">
        <f t="shared" si="13"/>
        <v>100</v>
      </c>
    </row>
    <row r="54" spans="1:41" x14ac:dyDescent="0.25">
      <c r="H54" s="79">
        <f>H45/'Příjmy '!R41*100</f>
        <v>49.430053758283741</v>
      </c>
      <c r="S54" s="40">
        <f>S49-S45</f>
        <v>686</v>
      </c>
      <c r="T54" s="40">
        <f>T49-T45</f>
        <v>686</v>
      </c>
      <c r="AL54" s="21"/>
      <c r="AM54" s="22">
        <v>916</v>
      </c>
      <c r="AN54" s="22">
        <v>916</v>
      </c>
      <c r="AO54" s="23">
        <f t="shared" si="13"/>
        <v>100</v>
      </c>
    </row>
    <row r="55" spans="1:41" x14ac:dyDescent="0.25">
      <c r="B55" s="79">
        <f>974958+390+24</f>
        <v>975372</v>
      </c>
      <c r="C55" s="79">
        <f>505+604+1015067</f>
        <v>1016176</v>
      </c>
      <c r="D55" s="40">
        <f>1014967+604+505</f>
        <v>1016076</v>
      </c>
      <c r="AL55" s="21"/>
      <c r="AM55" s="22">
        <v>100</v>
      </c>
      <c r="AN55" s="22">
        <v>100</v>
      </c>
      <c r="AO55" s="23">
        <f t="shared" si="13"/>
        <v>100</v>
      </c>
    </row>
    <row r="56" spans="1:41" x14ac:dyDescent="0.25">
      <c r="C56" s="40">
        <f>B48+D56</f>
        <v>0</v>
      </c>
      <c r="R56" s="40"/>
      <c r="AL56" s="21"/>
      <c r="AM56" s="22">
        <v>122</v>
      </c>
      <c r="AN56" s="22">
        <v>122</v>
      </c>
      <c r="AO56" s="23">
        <f t="shared" si="13"/>
        <v>100</v>
      </c>
    </row>
    <row r="57" spans="1:41" x14ac:dyDescent="0.25">
      <c r="AL57" s="21"/>
      <c r="AM57" s="22">
        <v>68</v>
      </c>
      <c r="AN57" s="22">
        <v>68</v>
      </c>
      <c r="AO57" s="23">
        <f t="shared" si="13"/>
        <v>100</v>
      </c>
    </row>
    <row r="58" spans="1:41" ht="16.5" thickBot="1" x14ac:dyDescent="0.3">
      <c r="AL58" s="25"/>
      <c r="AM58" s="26">
        <v>46</v>
      </c>
      <c r="AN58" s="26">
        <v>46</v>
      </c>
      <c r="AO58" s="27">
        <f t="shared" si="13"/>
        <v>100</v>
      </c>
    </row>
    <row r="59" spans="1:41" ht="16.5" thickBot="1" x14ac:dyDescent="0.3">
      <c r="D59" s="79">
        <f>D60/D50*100</f>
        <v>-8.7613938707687442</v>
      </c>
      <c r="H59" s="79">
        <f>H60/H50*100</f>
        <v>-8.812666377373306</v>
      </c>
      <c r="T59" s="79">
        <f>T60/T50*100</f>
        <v>87.966101694915253</v>
      </c>
      <c r="X59" s="79">
        <f>X60/X50*100</f>
        <v>-26.732075471698113</v>
      </c>
      <c r="AL59" s="50"/>
      <c r="AM59" s="51"/>
      <c r="AN59" s="51"/>
      <c r="AO59" s="35"/>
    </row>
    <row r="60" spans="1:41" ht="16.5" thickBot="1" x14ac:dyDescent="0.3">
      <c r="D60" s="40">
        <f>D49-D50</f>
        <v>-97571</v>
      </c>
      <c r="H60" s="40">
        <f>H49-H50</f>
        <v>-98090</v>
      </c>
      <c r="T60" s="40">
        <f>T49-T50</f>
        <v>519</v>
      </c>
      <c r="X60" s="40">
        <f>X49-X50</f>
        <v>-1771</v>
      </c>
      <c r="AL60" s="36"/>
      <c r="AM60" s="42">
        <f>SUM(AM30:AM59)</f>
        <v>98875</v>
      </c>
      <c r="AN60" s="42">
        <f>SUM(AN30:AN58)</f>
        <v>98875</v>
      </c>
      <c r="AO60" s="43">
        <f>AN60/AM60*100</f>
        <v>100</v>
      </c>
    </row>
  </sheetData>
  <mergeCells count="45">
    <mergeCell ref="A2:AH2"/>
    <mergeCell ref="A3:AH4"/>
    <mergeCell ref="AE11:AE12"/>
    <mergeCell ref="AF11:AF12"/>
    <mergeCell ref="AG11:AG12"/>
    <mergeCell ref="AE7:AH10"/>
    <mergeCell ref="V13:Y14"/>
    <mergeCell ref="Z13:AC13"/>
    <mergeCell ref="Z7:AC7"/>
    <mergeCell ref="V11:V12"/>
    <mergeCell ref="W11:W12"/>
    <mergeCell ref="X11:X12"/>
    <mergeCell ref="AE13:AH13"/>
    <mergeCell ref="AL24:AO24"/>
    <mergeCell ref="AL25:AL26"/>
    <mergeCell ref="AM25:AM26"/>
    <mergeCell ref="AN25:AN26"/>
    <mergeCell ref="AL28:AO28"/>
    <mergeCell ref="B13:E13"/>
    <mergeCell ref="R13:U13"/>
    <mergeCell ref="S11:S12"/>
    <mergeCell ref="T11:T12"/>
    <mergeCell ref="J11:J12"/>
    <mergeCell ref="K11:K12"/>
    <mergeCell ref="F9:I10"/>
    <mergeCell ref="J9:M10"/>
    <mergeCell ref="N9:Q10"/>
    <mergeCell ref="F7:F8"/>
    <mergeCell ref="N11:N12"/>
    <mergeCell ref="O11:O12"/>
    <mergeCell ref="P11:P12"/>
    <mergeCell ref="U51:V51"/>
    <mergeCell ref="L11:L12"/>
    <mergeCell ref="A1:U1"/>
    <mergeCell ref="A7:A12"/>
    <mergeCell ref="B11:B12"/>
    <mergeCell ref="C11:C12"/>
    <mergeCell ref="D11:D12"/>
    <mergeCell ref="F11:F12"/>
    <mergeCell ref="G11:G12"/>
    <mergeCell ref="H11:H12"/>
    <mergeCell ref="R11:R12"/>
    <mergeCell ref="V7:Y10"/>
    <mergeCell ref="B7:E10"/>
    <mergeCell ref="R7:U10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47" orientation="landscape" r:id="rId1"/>
  <headerFooter alignWithMargins="0"/>
  <colBreaks count="1" manualBreakCount="1">
    <brk id="31" max="4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List9">
    <pageSetUpPr fitToPage="1"/>
  </sheetPr>
  <dimension ref="A1:Z59"/>
  <sheetViews>
    <sheetView showZeros="0" view="pageBreakPreview" zoomScaleNormal="70" zoomScaleSheetLayoutView="100" workbookViewId="0">
      <pane xSplit="1" ySplit="12" topLeftCell="B13" activePane="bottomRight" state="frozen"/>
      <selection pane="topRight"/>
      <selection pane="bottomLeft"/>
      <selection pane="bottomRight"/>
    </sheetView>
  </sheetViews>
  <sheetFormatPr defaultRowHeight="15.75" x14ac:dyDescent="0.25"/>
  <cols>
    <col min="1" max="1" width="27.5546875" style="48" customWidth="1"/>
    <col min="2" max="2" width="7.77734375" style="49" hidden="1" customWidth="1"/>
    <col min="3" max="3" width="6.88671875" style="49" hidden="1" customWidth="1"/>
    <col min="4" max="4" width="5.77734375" style="49" hidden="1" customWidth="1"/>
    <col min="5" max="6" width="9" style="49" customWidth="1"/>
    <col min="7" max="7" width="9.33203125" style="49" customWidth="1"/>
    <col min="8" max="8" width="7.21875" style="49" customWidth="1"/>
    <col min="9" max="10" width="9.109375" style="49" customWidth="1"/>
    <col min="11" max="11" width="9.33203125" style="49" customWidth="1"/>
    <col min="12" max="12" width="7.21875" style="49" customWidth="1"/>
    <col min="13" max="14" width="9.21875" style="49" customWidth="1"/>
    <col min="15" max="15" width="9.33203125" style="49" customWidth="1"/>
    <col min="16" max="16" width="7.21875" style="49" customWidth="1"/>
    <col min="17" max="19" width="7.77734375" style="49" hidden="1" customWidth="1"/>
    <col min="20" max="20" width="6.21875" style="49" hidden="1" customWidth="1"/>
    <col min="21" max="22" width="9.21875" style="49" customWidth="1"/>
    <col min="23" max="23" width="9.33203125" style="49" customWidth="1"/>
    <col min="24" max="24" width="7.21875" style="49" customWidth="1"/>
    <col min="25" max="25" width="11.6640625" style="49" customWidth="1"/>
    <col min="26" max="26" width="14.88671875" style="49" customWidth="1"/>
    <col min="27" max="27" width="11.33203125" style="49" customWidth="1"/>
    <col min="28" max="28" width="9.77734375" style="49"/>
    <col min="29" max="29" width="11" style="49" customWidth="1"/>
    <col min="30" max="34" width="9.77734375" style="49"/>
    <col min="35" max="16384" width="8.88671875" style="49"/>
  </cols>
  <sheetData>
    <row r="1" spans="1:26" ht="17.25" customHeight="1" x14ac:dyDescent="0.25"/>
    <row r="2" spans="1:26" ht="24" customHeight="1" x14ac:dyDescent="0.35">
      <c r="A2" s="339" t="s">
        <v>244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</row>
    <row r="3" spans="1:26" ht="15" customHeight="1" x14ac:dyDescent="0.25"/>
    <row r="4" spans="1:26" ht="21" customHeight="1" x14ac:dyDescent="0.35">
      <c r="A4" s="339" t="s">
        <v>193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</row>
    <row r="5" spans="1:26" ht="22.5" customHeight="1" x14ac:dyDescent="0.25">
      <c r="P5" s="10"/>
      <c r="X5" s="10" t="s">
        <v>154</v>
      </c>
    </row>
    <row r="6" spans="1:26" ht="22.5" customHeight="1" thickBot="1" x14ac:dyDescent="0.3">
      <c r="P6" s="10"/>
      <c r="X6" s="10" t="s">
        <v>76</v>
      </c>
    </row>
    <row r="7" spans="1:26" s="48" customFormat="1" ht="18" customHeight="1" x14ac:dyDescent="0.25">
      <c r="A7" s="364" t="s">
        <v>192</v>
      </c>
      <c r="B7" s="386"/>
      <c r="C7" s="386"/>
      <c r="D7" s="386"/>
      <c r="E7" s="343" t="s">
        <v>127</v>
      </c>
      <c r="F7" s="367"/>
      <c r="G7" s="367"/>
      <c r="H7" s="344"/>
      <c r="I7" s="343" t="s">
        <v>110</v>
      </c>
      <c r="J7" s="367"/>
      <c r="K7" s="367"/>
      <c r="L7" s="344"/>
      <c r="M7" s="343" t="s">
        <v>120</v>
      </c>
      <c r="N7" s="367"/>
      <c r="O7" s="367"/>
      <c r="P7" s="344"/>
      <c r="Q7" s="386" t="s">
        <v>127</v>
      </c>
      <c r="R7" s="386"/>
      <c r="S7" s="386"/>
      <c r="T7" s="386"/>
      <c r="U7" s="343" t="s">
        <v>127</v>
      </c>
      <c r="V7" s="367"/>
      <c r="W7" s="367"/>
      <c r="X7" s="344"/>
    </row>
    <row r="8" spans="1:26" s="48" customFormat="1" ht="18" customHeight="1" thickBot="1" x14ac:dyDescent="0.3">
      <c r="A8" s="365"/>
      <c r="B8" s="386"/>
      <c r="C8" s="386"/>
      <c r="D8" s="386"/>
      <c r="E8" s="357" t="s">
        <v>71</v>
      </c>
      <c r="F8" s="358"/>
      <c r="G8" s="358"/>
      <c r="H8" s="359"/>
      <c r="I8" s="357" t="s">
        <v>119</v>
      </c>
      <c r="J8" s="358"/>
      <c r="K8" s="358"/>
      <c r="L8" s="359"/>
      <c r="M8" s="84"/>
      <c r="N8" s="85"/>
      <c r="O8" s="85"/>
      <c r="P8" s="86"/>
      <c r="Q8" s="386" t="s">
        <v>134</v>
      </c>
      <c r="R8" s="386"/>
      <c r="S8" s="386"/>
      <c r="T8" s="386"/>
      <c r="U8" s="357" t="s">
        <v>234</v>
      </c>
      <c r="V8" s="358"/>
      <c r="W8" s="358"/>
      <c r="X8" s="359"/>
    </row>
    <row r="9" spans="1:26" ht="18.75" customHeight="1" x14ac:dyDescent="0.25">
      <c r="A9" s="365"/>
      <c r="C9" s="49" t="s">
        <v>33</v>
      </c>
      <c r="D9" s="49" t="s">
        <v>0</v>
      </c>
      <c r="E9" s="374" t="s">
        <v>196</v>
      </c>
      <c r="F9" s="355" t="s">
        <v>197</v>
      </c>
      <c r="G9" s="355" t="s">
        <v>223</v>
      </c>
      <c r="H9" s="56" t="s">
        <v>0</v>
      </c>
      <c r="I9" s="374" t="s">
        <v>196</v>
      </c>
      <c r="J9" s="355" t="s">
        <v>197</v>
      </c>
      <c r="K9" s="355" t="s">
        <v>223</v>
      </c>
      <c r="L9" s="56" t="s">
        <v>0</v>
      </c>
      <c r="M9" s="374" t="s">
        <v>196</v>
      </c>
      <c r="N9" s="355" t="s">
        <v>223</v>
      </c>
      <c r="O9" s="355" t="s">
        <v>212</v>
      </c>
      <c r="P9" s="56" t="s">
        <v>0</v>
      </c>
      <c r="Q9" s="49" t="s">
        <v>32</v>
      </c>
      <c r="S9" s="49" t="s">
        <v>33</v>
      </c>
      <c r="T9" s="49" t="s">
        <v>0</v>
      </c>
      <c r="U9" s="374" t="s">
        <v>196</v>
      </c>
      <c r="V9" s="355" t="s">
        <v>197</v>
      </c>
      <c r="W9" s="355" t="s">
        <v>212</v>
      </c>
      <c r="X9" s="56" t="s">
        <v>0</v>
      </c>
    </row>
    <row r="10" spans="1:26" ht="18.75" customHeight="1" thickBot="1" x14ac:dyDescent="0.3">
      <c r="A10" s="366"/>
      <c r="B10" s="49" t="s">
        <v>35</v>
      </c>
      <c r="C10" s="49" t="s">
        <v>136</v>
      </c>
      <c r="D10" s="49" t="s">
        <v>11</v>
      </c>
      <c r="E10" s="375"/>
      <c r="F10" s="356"/>
      <c r="G10" s="356"/>
      <c r="H10" s="57" t="s">
        <v>11</v>
      </c>
      <c r="I10" s="375"/>
      <c r="J10" s="356"/>
      <c r="K10" s="356"/>
      <c r="L10" s="57" t="s">
        <v>11</v>
      </c>
      <c r="M10" s="375"/>
      <c r="N10" s="356"/>
      <c r="O10" s="356"/>
      <c r="P10" s="57" t="s">
        <v>11</v>
      </c>
      <c r="Q10" s="49" t="s">
        <v>34</v>
      </c>
      <c r="R10" s="49" t="s">
        <v>35</v>
      </c>
      <c r="S10" s="49" t="s">
        <v>136</v>
      </c>
      <c r="T10" s="49" t="s">
        <v>11</v>
      </c>
      <c r="U10" s="375"/>
      <c r="V10" s="356"/>
      <c r="W10" s="356"/>
      <c r="X10" s="57" t="s">
        <v>11</v>
      </c>
    </row>
    <row r="11" spans="1:26" ht="16.5" customHeight="1" x14ac:dyDescent="0.25">
      <c r="A11" s="87"/>
      <c r="B11" s="387"/>
      <c r="C11" s="387"/>
      <c r="D11" s="387"/>
      <c r="E11" s="380" t="s">
        <v>83</v>
      </c>
      <c r="F11" s="381"/>
      <c r="G11" s="381"/>
      <c r="H11" s="382"/>
      <c r="I11" s="380" t="s">
        <v>109</v>
      </c>
      <c r="J11" s="381"/>
      <c r="K11" s="381"/>
      <c r="L11" s="382"/>
      <c r="M11" s="380" t="s">
        <v>108</v>
      </c>
      <c r="N11" s="381"/>
      <c r="O11" s="381"/>
      <c r="P11" s="382"/>
      <c r="Q11" s="387" t="s">
        <v>133</v>
      </c>
      <c r="R11" s="387"/>
      <c r="S11" s="387"/>
      <c r="T11" s="387"/>
      <c r="U11" s="380" t="s">
        <v>233</v>
      </c>
      <c r="V11" s="381"/>
      <c r="W11" s="381"/>
      <c r="X11" s="382"/>
    </row>
    <row r="12" spans="1:26" ht="17.100000000000001" customHeight="1" thickBot="1" x14ac:dyDescent="0.3">
      <c r="A12" s="88"/>
      <c r="E12" s="32"/>
      <c r="F12" s="33"/>
      <c r="G12" s="33"/>
      <c r="H12" s="34"/>
      <c r="I12" s="32"/>
      <c r="J12" s="33"/>
      <c r="K12" s="33"/>
      <c r="L12" s="34"/>
      <c r="M12" s="32"/>
      <c r="N12" s="33"/>
      <c r="O12" s="33"/>
      <c r="P12" s="34"/>
      <c r="U12" s="32"/>
      <c r="V12" s="33"/>
      <c r="W12" s="33"/>
      <c r="X12" s="34"/>
      <c r="Z12" s="49" t="s">
        <v>184</v>
      </c>
    </row>
    <row r="13" spans="1:26" ht="17.100000000000001" customHeight="1" x14ac:dyDescent="0.25">
      <c r="A13" s="28" t="s">
        <v>155</v>
      </c>
      <c r="B13" s="82"/>
      <c r="C13" s="71"/>
      <c r="D13" s="83" t="e">
        <f t="shared" ref="D13:D39" si="0">C13/B13*100</f>
        <v>#DIV/0!</v>
      </c>
      <c r="E13" s="29">
        <v>0</v>
      </c>
      <c r="F13" s="30"/>
      <c r="G13" s="30"/>
      <c r="H13" s="31"/>
      <c r="I13" s="29"/>
      <c r="J13" s="30">
        <v>5049</v>
      </c>
      <c r="K13" s="30">
        <v>5049</v>
      </c>
      <c r="L13" s="31">
        <f>K13/J13*100</f>
        <v>100</v>
      </c>
      <c r="M13" s="29"/>
      <c r="N13" s="30"/>
      <c r="O13" s="30"/>
      <c r="P13" s="31"/>
      <c r="Q13" s="82"/>
      <c r="R13" s="71"/>
      <c r="S13" s="71"/>
      <c r="T13" s="83"/>
      <c r="U13" s="29"/>
      <c r="V13" s="30"/>
      <c r="W13" s="30">
        <f t="shared" ref="W13:W39" si="1">V13</f>
        <v>0</v>
      </c>
      <c r="X13" s="31"/>
      <c r="Z13" s="49">
        <v>-351686298.93000001</v>
      </c>
    </row>
    <row r="14" spans="1:26" ht="17.100000000000001" customHeight="1" x14ac:dyDescent="0.25">
      <c r="A14" s="20" t="s">
        <v>156</v>
      </c>
      <c r="B14" s="80"/>
      <c r="C14" s="72"/>
      <c r="D14" s="81" t="e">
        <f t="shared" si="0"/>
        <v>#DIV/0!</v>
      </c>
      <c r="E14" s="21"/>
      <c r="F14" s="22">
        <v>126</v>
      </c>
      <c r="G14" s="22">
        <v>126</v>
      </c>
      <c r="H14" s="23">
        <f t="shared" ref="H14:H15" si="2">G14/F14*100</f>
        <v>100</v>
      </c>
      <c r="I14" s="21">
        <v>0</v>
      </c>
      <c r="J14" s="22">
        <v>5330</v>
      </c>
      <c r="K14" s="22">
        <v>5330</v>
      </c>
      <c r="L14" s="23">
        <f>K14/J14*100</f>
        <v>100</v>
      </c>
      <c r="M14" s="21"/>
      <c r="N14" s="22">
        <v>200</v>
      </c>
      <c r="O14" s="22">
        <v>200</v>
      </c>
      <c r="P14" s="23">
        <f>O14/N14*100</f>
        <v>100</v>
      </c>
      <c r="Q14" s="80"/>
      <c r="R14" s="72"/>
      <c r="S14" s="72"/>
      <c r="T14" s="81"/>
      <c r="U14" s="21"/>
      <c r="V14" s="22"/>
      <c r="W14" s="22">
        <f t="shared" si="1"/>
        <v>0</v>
      </c>
      <c r="X14" s="23"/>
      <c r="Z14" s="49">
        <v>-54955735</v>
      </c>
    </row>
    <row r="15" spans="1:26" ht="17.100000000000001" customHeight="1" x14ac:dyDescent="0.25">
      <c r="A15" s="20" t="s">
        <v>157</v>
      </c>
      <c r="B15" s="80"/>
      <c r="C15" s="72"/>
      <c r="D15" s="81" t="e">
        <f t="shared" si="0"/>
        <v>#DIV/0!</v>
      </c>
      <c r="E15" s="21"/>
      <c r="F15" s="22">
        <v>680</v>
      </c>
      <c r="G15" s="22">
        <v>680</v>
      </c>
      <c r="H15" s="23">
        <f t="shared" si="2"/>
        <v>100</v>
      </c>
      <c r="I15" s="21"/>
      <c r="J15" s="22">
        <v>11556</v>
      </c>
      <c r="K15" s="22">
        <v>11556</v>
      </c>
      <c r="L15" s="23">
        <f>K15/J15*100</f>
        <v>100</v>
      </c>
      <c r="M15" s="21"/>
      <c r="N15" s="22">
        <v>700</v>
      </c>
      <c r="O15" s="22">
        <v>700</v>
      </c>
      <c r="P15" s="23">
        <f>O15/N15*100</f>
        <v>100</v>
      </c>
      <c r="Q15" s="80"/>
      <c r="R15" s="72"/>
      <c r="S15" s="72"/>
      <c r="T15" s="81"/>
      <c r="U15" s="21"/>
      <c r="V15" s="22"/>
      <c r="W15" s="22"/>
      <c r="X15" s="23"/>
      <c r="Z15" s="49">
        <v>-60214041.68</v>
      </c>
    </row>
    <row r="16" spans="1:26" ht="17.100000000000001" customHeight="1" x14ac:dyDescent="0.25">
      <c r="A16" s="20" t="s">
        <v>158</v>
      </c>
      <c r="B16" s="80"/>
      <c r="C16" s="72"/>
      <c r="D16" s="81" t="e">
        <f t="shared" si="0"/>
        <v>#DIV/0!</v>
      </c>
      <c r="E16" s="21">
        <v>0</v>
      </c>
      <c r="F16" s="22"/>
      <c r="G16" s="22"/>
      <c r="H16" s="23"/>
      <c r="I16" s="21"/>
      <c r="J16" s="22">
        <v>3742</v>
      </c>
      <c r="K16" s="22">
        <v>3742</v>
      </c>
      <c r="L16" s="23">
        <f>K16/J16*100</f>
        <v>100</v>
      </c>
      <c r="M16" s="21"/>
      <c r="N16" s="22"/>
      <c r="O16" s="22"/>
      <c r="P16" s="23"/>
      <c r="Q16" s="80"/>
      <c r="R16" s="72"/>
      <c r="S16" s="72"/>
      <c r="T16" s="81"/>
      <c r="U16" s="21">
        <v>0</v>
      </c>
      <c r="V16" s="22"/>
      <c r="W16" s="22"/>
      <c r="X16" s="23"/>
      <c r="Z16" s="49">
        <v>-63035627.25</v>
      </c>
    </row>
    <row r="17" spans="1:26" ht="17.100000000000001" customHeight="1" x14ac:dyDescent="0.25">
      <c r="A17" s="20" t="s">
        <v>159</v>
      </c>
      <c r="B17" s="80"/>
      <c r="C17" s="72"/>
      <c r="D17" s="81" t="e">
        <f t="shared" si="0"/>
        <v>#DIV/0!</v>
      </c>
      <c r="E17" s="21">
        <v>0</v>
      </c>
      <c r="F17" s="22"/>
      <c r="G17" s="22"/>
      <c r="H17" s="23"/>
      <c r="I17" s="21"/>
      <c r="J17" s="22"/>
      <c r="K17" s="22"/>
      <c r="L17" s="23"/>
      <c r="M17" s="21"/>
      <c r="N17" s="22"/>
      <c r="O17" s="22"/>
      <c r="P17" s="23"/>
      <c r="Q17" s="80"/>
      <c r="R17" s="72"/>
      <c r="S17" s="72"/>
      <c r="T17" s="81"/>
      <c r="U17" s="21"/>
      <c r="V17" s="22"/>
      <c r="W17" s="22"/>
      <c r="X17" s="23"/>
      <c r="Z17" s="49">
        <v>-54247433</v>
      </c>
    </row>
    <row r="18" spans="1:26" x14ac:dyDescent="0.25">
      <c r="A18" s="20" t="s">
        <v>160</v>
      </c>
      <c r="B18" s="80"/>
      <c r="C18" s="72"/>
      <c r="D18" s="81" t="e">
        <f t="shared" si="0"/>
        <v>#DIV/0!</v>
      </c>
      <c r="E18" s="21"/>
      <c r="F18" s="22"/>
      <c r="G18" s="22"/>
      <c r="H18" s="23"/>
      <c r="I18" s="21"/>
      <c r="J18" s="22"/>
      <c r="K18" s="22"/>
      <c r="L18" s="23"/>
      <c r="M18" s="21"/>
      <c r="N18" s="22"/>
      <c r="O18" s="22"/>
      <c r="P18" s="23"/>
      <c r="Q18" s="80"/>
      <c r="R18" s="72"/>
      <c r="S18" s="72"/>
      <c r="T18" s="81"/>
      <c r="U18" s="21"/>
      <c r="V18" s="22"/>
      <c r="W18" s="22"/>
      <c r="X18" s="23"/>
      <c r="Z18" s="49">
        <v>-10829194</v>
      </c>
    </row>
    <row r="19" spans="1:26" ht="17.100000000000001" customHeight="1" x14ac:dyDescent="0.25">
      <c r="A19" s="20" t="s">
        <v>161</v>
      </c>
      <c r="B19" s="80"/>
      <c r="C19" s="72"/>
      <c r="D19" s="81" t="e">
        <f t="shared" si="0"/>
        <v>#DIV/0!</v>
      </c>
      <c r="E19" s="21"/>
      <c r="F19" s="22"/>
      <c r="G19" s="22"/>
      <c r="H19" s="23"/>
      <c r="I19" s="21"/>
      <c r="J19" s="22"/>
      <c r="K19" s="22"/>
      <c r="L19" s="23"/>
      <c r="M19" s="21"/>
      <c r="N19" s="22">
        <v>1380</v>
      </c>
      <c r="O19" s="22">
        <v>1380</v>
      </c>
      <c r="P19" s="23">
        <f t="shared" ref="P19" si="3">O19/N19*100</f>
        <v>100</v>
      </c>
      <c r="Q19" s="80"/>
      <c r="R19" s="72"/>
      <c r="S19" s="72"/>
      <c r="T19" s="81"/>
      <c r="U19" s="21"/>
      <c r="V19" s="22"/>
      <c r="W19" s="22"/>
      <c r="X19" s="23"/>
      <c r="Z19" s="49">
        <v>-91613555.709999993</v>
      </c>
    </row>
    <row r="20" spans="1:26" ht="17.100000000000001" customHeight="1" x14ac:dyDescent="0.25">
      <c r="A20" s="20" t="s">
        <v>162</v>
      </c>
      <c r="B20" s="80"/>
      <c r="C20" s="72"/>
      <c r="D20" s="81" t="e">
        <f t="shared" si="0"/>
        <v>#DIV/0!</v>
      </c>
      <c r="E20" s="21">
        <v>0</v>
      </c>
      <c r="F20" s="22">
        <v>113</v>
      </c>
      <c r="G20" s="22">
        <v>113</v>
      </c>
      <c r="H20" s="23">
        <f>G20/F20*100</f>
        <v>100</v>
      </c>
      <c r="I20" s="21"/>
      <c r="J20" s="22">
        <v>1925</v>
      </c>
      <c r="K20" s="22">
        <v>1925</v>
      </c>
      <c r="L20" s="23">
        <f>K20/J20*100</f>
        <v>100</v>
      </c>
      <c r="M20" s="21"/>
      <c r="N20" s="22"/>
      <c r="O20" s="22"/>
      <c r="P20" s="23"/>
      <c r="Q20" s="80"/>
      <c r="R20" s="72"/>
      <c r="S20" s="72"/>
      <c r="T20" s="81"/>
      <c r="U20" s="21"/>
      <c r="V20" s="22"/>
      <c r="W20" s="22"/>
      <c r="X20" s="23"/>
      <c r="Z20" s="49">
        <v>-178555435.13</v>
      </c>
    </row>
    <row r="21" spans="1:26" ht="17.100000000000001" customHeight="1" x14ac:dyDescent="0.25">
      <c r="A21" s="20" t="s">
        <v>163</v>
      </c>
      <c r="B21" s="80"/>
      <c r="C21" s="72"/>
      <c r="D21" s="81" t="e">
        <f t="shared" si="0"/>
        <v>#DIV/0!</v>
      </c>
      <c r="E21" s="21"/>
      <c r="F21" s="22"/>
      <c r="G21" s="22"/>
      <c r="H21" s="23"/>
      <c r="I21" s="21"/>
      <c r="J21" s="22"/>
      <c r="K21" s="22"/>
      <c r="L21" s="23"/>
      <c r="M21" s="21"/>
      <c r="N21" s="22"/>
      <c r="O21" s="22"/>
      <c r="P21" s="23"/>
      <c r="Q21" s="80"/>
      <c r="R21" s="72"/>
      <c r="S21" s="72"/>
      <c r="T21" s="81"/>
      <c r="U21" s="21"/>
      <c r="V21" s="22"/>
      <c r="W21" s="22"/>
      <c r="X21" s="23"/>
      <c r="Z21" s="49">
        <v>-9817000</v>
      </c>
    </row>
    <row r="22" spans="1:26" ht="17.100000000000001" customHeight="1" x14ac:dyDescent="0.25">
      <c r="A22" s="20" t="s">
        <v>164</v>
      </c>
      <c r="B22" s="80"/>
      <c r="C22" s="72"/>
      <c r="D22" s="81" t="e">
        <f t="shared" si="0"/>
        <v>#DIV/0!</v>
      </c>
      <c r="E22" s="21"/>
      <c r="F22" s="22"/>
      <c r="G22" s="22"/>
      <c r="H22" s="23"/>
      <c r="I22" s="21"/>
      <c r="J22" s="22"/>
      <c r="K22" s="22"/>
      <c r="L22" s="23"/>
      <c r="M22" s="21"/>
      <c r="N22" s="22"/>
      <c r="O22" s="22"/>
      <c r="P22" s="23"/>
      <c r="Q22" s="80"/>
      <c r="R22" s="72"/>
      <c r="S22" s="72"/>
      <c r="T22" s="81"/>
      <c r="U22" s="21"/>
      <c r="V22" s="22"/>
      <c r="W22" s="22"/>
      <c r="X22" s="23"/>
      <c r="Z22" s="49">
        <v>-45060845.18</v>
      </c>
    </row>
    <row r="23" spans="1:26" ht="17.100000000000001" customHeight="1" x14ac:dyDescent="0.25">
      <c r="A23" s="20" t="s">
        <v>165</v>
      </c>
      <c r="B23" s="80"/>
      <c r="C23" s="72"/>
      <c r="D23" s="81" t="e">
        <f t="shared" si="0"/>
        <v>#DIV/0!</v>
      </c>
      <c r="E23" s="21"/>
      <c r="F23" s="22"/>
      <c r="G23" s="22"/>
      <c r="H23" s="23"/>
      <c r="I23" s="21"/>
      <c r="J23" s="22"/>
      <c r="K23" s="22"/>
      <c r="L23" s="23"/>
      <c r="M23" s="21"/>
      <c r="N23" s="22">
        <v>90</v>
      </c>
      <c r="O23" s="22">
        <v>90</v>
      </c>
      <c r="P23" s="23">
        <f>O23/N23*100</f>
        <v>100</v>
      </c>
      <c r="Q23" s="80"/>
      <c r="R23" s="72"/>
      <c r="S23" s="72"/>
      <c r="T23" s="81"/>
      <c r="U23" s="21"/>
      <c r="V23" s="22"/>
      <c r="W23" s="22"/>
      <c r="X23" s="23"/>
      <c r="Z23" s="49">
        <v>-16088110</v>
      </c>
    </row>
    <row r="24" spans="1:26" ht="17.100000000000001" customHeight="1" x14ac:dyDescent="0.25">
      <c r="A24" s="20" t="s">
        <v>166</v>
      </c>
      <c r="B24" s="80"/>
      <c r="C24" s="72"/>
      <c r="D24" s="81" t="e">
        <f t="shared" si="0"/>
        <v>#DIV/0!</v>
      </c>
      <c r="E24" s="21"/>
      <c r="F24" s="22"/>
      <c r="G24" s="22"/>
      <c r="H24" s="23"/>
      <c r="I24" s="21"/>
      <c r="J24" s="22"/>
      <c r="K24" s="22"/>
      <c r="L24" s="23"/>
      <c r="M24" s="21"/>
      <c r="N24" s="22"/>
      <c r="O24" s="22"/>
      <c r="P24" s="23"/>
      <c r="Q24" s="80"/>
      <c r="R24" s="72"/>
      <c r="S24" s="72"/>
      <c r="T24" s="81"/>
      <c r="U24" s="21"/>
      <c r="V24" s="22"/>
      <c r="W24" s="22"/>
      <c r="X24" s="23"/>
      <c r="Z24" s="49">
        <v>-23612145</v>
      </c>
    </row>
    <row r="25" spans="1:26" ht="17.100000000000001" customHeight="1" x14ac:dyDescent="0.25">
      <c r="A25" s="20" t="s">
        <v>167</v>
      </c>
      <c r="B25" s="80"/>
      <c r="C25" s="72"/>
      <c r="D25" s="81" t="e">
        <f t="shared" si="0"/>
        <v>#DIV/0!</v>
      </c>
      <c r="E25" s="21"/>
      <c r="F25" s="22">
        <v>81</v>
      </c>
      <c r="G25" s="22">
        <v>81</v>
      </c>
      <c r="H25" s="23">
        <f t="shared" ref="H25" si="4">G25/F25*100</f>
        <v>100</v>
      </c>
      <c r="I25" s="21"/>
      <c r="J25" s="22">
        <v>1375</v>
      </c>
      <c r="K25" s="22">
        <v>1375</v>
      </c>
      <c r="L25" s="23">
        <f>K25/J25*100</f>
        <v>100</v>
      </c>
      <c r="M25" s="21"/>
      <c r="N25" s="22">
        <v>750</v>
      </c>
      <c r="O25" s="22">
        <v>750</v>
      </c>
      <c r="P25" s="23">
        <f>O25/N25*100</f>
        <v>100</v>
      </c>
      <c r="Q25" s="80"/>
      <c r="R25" s="72"/>
      <c r="S25" s="72"/>
      <c r="T25" s="81"/>
      <c r="U25" s="21"/>
      <c r="V25" s="22"/>
      <c r="W25" s="22"/>
      <c r="X25" s="23"/>
      <c r="Z25" s="49">
        <v>-266906236.69999999</v>
      </c>
    </row>
    <row r="26" spans="1:26" ht="17.100000000000001" customHeight="1" x14ac:dyDescent="0.25">
      <c r="A26" s="20" t="s">
        <v>168</v>
      </c>
      <c r="B26" s="80"/>
      <c r="C26" s="72"/>
      <c r="D26" s="81" t="e">
        <f t="shared" si="0"/>
        <v>#DIV/0!</v>
      </c>
      <c r="E26" s="21"/>
      <c r="F26" s="22"/>
      <c r="G26" s="22"/>
      <c r="H26" s="23"/>
      <c r="I26" s="21"/>
      <c r="J26" s="22"/>
      <c r="K26" s="22"/>
      <c r="L26" s="23"/>
      <c r="M26" s="21"/>
      <c r="N26" s="22"/>
      <c r="O26" s="22"/>
      <c r="P26" s="23"/>
      <c r="Q26" s="80"/>
      <c r="R26" s="72"/>
      <c r="S26" s="72"/>
      <c r="T26" s="81"/>
      <c r="U26" s="21"/>
      <c r="V26" s="22"/>
      <c r="W26" s="22"/>
      <c r="X26" s="23"/>
      <c r="Z26" s="49">
        <v>-26251438</v>
      </c>
    </row>
    <row r="27" spans="1:26" ht="17.100000000000001" customHeight="1" x14ac:dyDescent="0.25">
      <c r="A27" s="20" t="s">
        <v>169</v>
      </c>
      <c r="B27" s="80"/>
      <c r="C27" s="72"/>
      <c r="D27" s="81" t="e">
        <f t="shared" si="0"/>
        <v>#DIV/0!</v>
      </c>
      <c r="E27" s="21"/>
      <c r="F27" s="22">
        <v>191</v>
      </c>
      <c r="G27" s="22">
        <v>191</v>
      </c>
      <c r="H27" s="23">
        <f>G27/F27*100</f>
        <v>100</v>
      </c>
      <c r="I27" s="21"/>
      <c r="J27" s="22">
        <v>3116</v>
      </c>
      <c r="K27" s="22">
        <v>3116</v>
      </c>
      <c r="L27" s="23">
        <f>K27/J27*100</f>
        <v>100</v>
      </c>
      <c r="M27" s="21"/>
      <c r="N27" s="22">
        <v>400</v>
      </c>
      <c r="O27" s="22">
        <v>400</v>
      </c>
      <c r="P27" s="23">
        <f>O27/N27*100</f>
        <v>100</v>
      </c>
      <c r="Q27" s="80"/>
      <c r="R27" s="72"/>
      <c r="S27" s="72"/>
      <c r="T27" s="81"/>
      <c r="U27" s="21">
        <v>0</v>
      </c>
      <c r="V27" s="22"/>
      <c r="W27" s="22"/>
      <c r="X27" s="23"/>
      <c r="Z27" s="49">
        <v>-152766419.56999999</v>
      </c>
    </row>
    <row r="28" spans="1:26" ht="17.100000000000001" customHeight="1" x14ac:dyDescent="0.25">
      <c r="A28" s="20" t="s">
        <v>170</v>
      </c>
      <c r="B28" s="80"/>
      <c r="C28" s="72"/>
      <c r="D28" s="81" t="e">
        <f t="shared" si="0"/>
        <v>#DIV/0!</v>
      </c>
      <c r="E28" s="21"/>
      <c r="F28" s="22"/>
      <c r="G28" s="22"/>
      <c r="H28" s="23"/>
      <c r="I28" s="21"/>
      <c r="J28" s="22"/>
      <c r="K28" s="22"/>
      <c r="L28" s="23"/>
      <c r="M28" s="21"/>
      <c r="N28" s="22"/>
      <c r="O28" s="22"/>
      <c r="P28" s="23"/>
      <c r="Q28" s="80"/>
      <c r="R28" s="72"/>
      <c r="S28" s="72"/>
      <c r="T28" s="81"/>
      <c r="U28" s="21"/>
      <c r="V28" s="22"/>
      <c r="W28" s="22"/>
      <c r="X28" s="23"/>
      <c r="Z28" s="49">
        <v>-49285763.170000002</v>
      </c>
    </row>
    <row r="29" spans="1:26" ht="17.100000000000001" customHeight="1" x14ac:dyDescent="0.25">
      <c r="A29" s="20" t="s">
        <v>171</v>
      </c>
      <c r="B29" s="80"/>
      <c r="C29" s="72"/>
      <c r="D29" s="81" t="e">
        <f t="shared" si="0"/>
        <v>#DIV/0!</v>
      </c>
      <c r="E29" s="21"/>
      <c r="F29" s="22"/>
      <c r="G29" s="22"/>
      <c r="H29" s="23"/>
      <c r="I29" s="21"/>
      <c r="J29" s="22"/>
      <c r="K29" s="22"/>
      <c r="L29" s="23"/>
      <c r="M29" s="21"/>
      <c r="N29" s="22"/>
      <c r="O29" s="22"/>
      <c r="P29" s="23"/>
      <c r="Q29" s="80"/>
      <c r="R29" s="72"/>
      <c r="S29" s="72"/>
      <c r="T29" s="81"/>
      <c r="U29" s="21"/>
      <c r="V29" s="22"/>
      <c r="W29" s="22"/>
      <c r="X29" s="23"/>
      <c r="Z29" s="49">
        <v>-67333269.640000001</v>
      </c>
    </row>
    <row r="30" spans="1:26" ht="15" customHeight="1" x14ac:dyDescent="0.25">
      <c r="A30" s="20" t="s">
        <v>172</v>
      </c>
      <c r="B30" s="80"/>
      <c r="C30" s="72"/>
      <c r="D30" s="81" t="e">
        <f t="shared" si="0"/>
        <v>#DIV/0!</v>
      </c>
      <c r="E30" s="21"/>
      <c r="F30" s="22">
        <v>15</v>
      </c>
      <c r="G30" s="22">
        <v>15</v>
      </c>
      <c r="H30" s="23">
        <f>G30/F30*100</f>
        <v>100</v>
      </c>
      <c r="I30" s="21"/>
      <c r="J30" s="22">
        <v>260</v>
      </c>
      <c r="K30" s="22">
        <v>260</v>
      </c>
      <c r="L30" s="23">
        <f>K30/J30*100</f>
        <v>100</v>
      </c>
      <c r="M30" s="21"/>
      <c r="N30" s="22"/>
      <c r="O30" s="22"/>
      <c r="P30" s="23"/>
      <c r="Q30" s="80"/>
      <c r="R30" s="72"/>
      <c r="S30" s="72"/>
      <c r="T30" s="81"/>
      <c r="U30" s="21"/>
      <c r="V30" s="22"/>
      <c r="W30" s="22"/>
      <c r="X30" s="23"/>
      <c r="Z30" s="49">
        <v>-59764627</v>
      </c>
    </row>
    <row r="31" spans="1:26" ht="17.100000000000001" customHeight="1" x14ac:dyDescent="0.25">
      <c r="A31" s="20" t="s">
        <v>173</v>
      </c>
      <c r="B31" s="80"/>
      <c r="C31" s="72"/>
      <c r="D31" s="81" t="e">
        <f t="shared" si="0"/>
        <v>#DIV/0!</v>
      </c>
      <c r="E31" s="21"/>
      <c r="F31" s="22">
        <v>318</v>
      </c>
      <c r="G31" s="22">
        <v>318</v>
      </c>
      <c r="H31" s="23">
        <f>G31/F31*100</f>
        <v>100</v>
      </c>
      <c r="I31" s="21"/>
      <c r="J31" s="22">
        <v>9230</v>
      </c>
      <c r="K31" s="22">
        <v>9230</v>
      </c>
      <c r="L31" s="23">
        <f>K31/J31*100</f>
        <v>100</v>
      </c>
      <c r="M31" s="21"/>
      <c r="N31" s="22">
        <v>1850</v>
      </c>
      <c r="O31" s="22">
        <v>1850</v>
      </c>
      <c r="P31" s="23">
        <f t="shared" ref="P31" si="5">O31/N31*100</f>
        <v>100</v>
      </c>
      <c r="Q31" s="80"/>
      <c r="R31" s="72"/>
      <c r="S31" s="72"/>
      <c r="T31" s="81"/>
      <c r="U31" s="21"/>
      <c r="V31" s="22">
        <v>9598</v>
      </c>
      <c r="W31" s="22">
        <v>9598</v>
      </c>
      <c r="X31" s="23">
        <f>W31/V31*100</f>
        <v>100</v>
      </c>
      <c r="Z31" s="49">
        <v>-132849360.91</v>
      </c>
    </row>
    <row r="32" spans="1:26" ht="17.100000000000001" customHeight="1" x14ac:dyDescent="0.25">
      <c r="A32" s="20" t="s">
        <v>174</v>
      </c>
      <c r="B32" s="80"/>
      <c r="C32" s="72"/>
      <c r="D32" s="81" t="e">
        <f t="shared" si="0"/>
        <v>#DIV/0!</v>
      </c>
      <c r="E32" s="21"/>
      <c r="F32" s="22"/>
      <c r="G32" s="22"/>
      <c r="H32" s="23"/>
      <c r="I32" s="21"/>
      <c r="J32" s="22"/>
      <c r="K32" s="22"/>
      <c r="L32" s="23"/>
      <c r="M32" s="21"/>
      <c r="N32" s="22">
        <v>300</v>
      </c>
      <c r="O32" s="22">
        <v>300</v>
      </c>
      <c r="P32" s="23">
        <f>O32/N32*100</f>
        <v>100</v>
      </c>
      <c r="Q32" s="80"/>
      <c r="R32" s="72"/>
      <c r="S32" s="72"/>
      <c r="T32" s="81"/>
      <c r="U32" s="21"/>
      <c r="V32" s="22"/>
      <c r="W32" s="22"/>
      <c r="X32" s="23"/>
      <c r="Z32" s="49">
        <v>-60565305.759999998</v>
      </c>
    </row>
    <row r="33" spans="1:26" ht="17.100000000000001" customHeight="1" x14ac:dyDescent="0.25">
      <c r="A33" s="20" t="s">
        <v>175</v>
      </c>
      <c r="B33" s="80"/>
      <c r="C33" s="72"/>
      <c r="D33" s="81" t="e">
        <f t="shared" si="0"/>
        <v>#DIV/0!</v>
      </c>
      <c r="E33" s="21"/>
      <c r="F33" s="22"/>
      <c r="G33" s="22"/>
      <c r="H33" s="23"/>
      <c r="I33" s="21"/>
      <c r="J33" s="22"/>
      <c r="K33" s="22"/>
      <c r="L33" s="23"/>
      <c r="M33" s="21"/>
      <c r="N33" s="22"/>
      <c r="O33" s="22"/>
      <c r="P33" s="23"/>
      <c r="Q33" s="80"/>
      <c r="R33" s="72"/>
      <c r="S33" s="72"/>
      <c r="T33" s="81"/>
      <c r="U33" s="21"/>
      <c r="V33" s="22"/>
      <c r="W33" s="22"/>
      <c r="X33" s="23"/>
      <c r="Z33" s="49">
        <v>-36248300</v>
      </c>
    </row>
    <row r="34" spans="1:26" ht="17.100000000000001" customHeight="1" x14ac:dyDescent="0.25">
      <c r="A34" s="20" t="s">
        <v>176</v>
      </c>
      <c r="B34" s="80"/>
      <c r="C34" s="72"/>
      <c r="D34" s="81" t="e">
        <f t="shared" si="0"/>
        <v>#DIV/0!</v>
      </c>
      <c r="E34" s="21"/>
      <c r="F34" s="22"/>
      <c r="G34" s="22"/>
      <c r="H34" s="23"/>
      <c r="I34" s="21"/>
      <c r="J34" s="22"/>
      <c r="K34" s="22"/>
      <c r="L34" s="23"/>
      <c r="M34" s="21"/>
      <c r="N34" s="22">
        <v>500</v>
      </c>
      <c r="O34" s="22">
        <v>500</v>
      </c>
      <c r="P34" s="23">
        <f>O34/N34*100</f>
        <v>100</v>
      </c>
      <c r="Q34" s="80"/>
      <c r="R34" s="72"/>
      <c r="S34" s="72"/>
      <c r="T34" s="81"/>
      <c r="U34" s="21"/>
      <c r="V34" s="22"/>
      <c r="W34" s="22"/>
      <c r="X34" s="23"/>
      <c r="Z34" s="49">
        <v>-17039822</v>
      </c>
    </row>
    <row r="35" spans="1:26" ht="17.100000000000001" customHeight="1" x14ac:dyDescent="0.25">
      <c r="A35" s="20" t="s">
        <v>177</v>
      </c>
      <c r="B35" s="80"/>
      <c r="C35" s="72"/>
      <c r="D35" s="81" t="e">
        <f t="shared" si="0"/>
        <v>#DIV/0!</v>
      </c>
      <c r="E35" s="21"/>
      <c r="F35" s="22">
        <v>490</v>
      </c>
      <c r="G35" s="22">
        <v>490</v>
      </c>
      <c r="H35" s="23">
        <f>G35/F35*100</f>
        <v>100</v>
      </c>
      <c r="I35" s="21"/>
      <c r="J35" s="22">
        <v>1662</v>
      </c>
      <c r="K35" s="22">
        <v>1662</v>
      </c>
      <c r="L35" s="23">
        <f>K35/J35*100</f>
        <v>100</v>
      </c>
      <c r="M35" s="21"/>
      <c r="N35" s="22"/>
      <c r="O35" s="22"/>
      <c r="P35" s="23"/>
      <c r="Q35" s="80"/>
      <c r="R35" s="72"/>
      <c r="S35" s="72"/>
      <c r="T35" s="81"/>
      <c r="U35" s="21"/>
      <c r="V35" s="22"/>
      <c r="W35" s="22"/>
      <c r="X35" s="23"/>
      <c r="Z35" s="49">
        <v>-164432175.19999999</v>
      </c>
    </row>
    <row r="36" spans="1:26" ht="17.100000000000001" customHeight="1" x14ac:dyDescent="0.25">
      <c r="A36" s="20" t="s">
        <v>178</v>
      </c>
      <c r="B36" s="80"/>
      <c r="C36" s="72"/>
      <c r="D36" s="81" t="e">
        <f t="shared" si="0"/>
        <v>#DIV/0!</v>
      </c>
      <c r="E36" s="21"/>
      <c r="F36" s="22"/>
      <c r="G36" s="22"/>
      <c r="H36" s="23"/>
      <c r="I36" s="21"/>
      <c r="J36" s="22"/>
      <c r="K36" s="22"/>
      <c r="L36" s="23"/>
      <c r="M36" s="21"/>
      <c r="N36" s="22"/>
      <c r="O36" s="22"/>
      <c r="P36" s="23"/>
      <c r="Q36" s="80"/>
      <c r="R36" s="72"/>
      <c r="S36" s="72"/>
      <c r="T36" s="81"/>
      <c r="U36" s="21"/>
      <c r="V36" s="22">
        <v>7886</v>
      </c>
      <c r="W36" s="22">
        <v>7886</v>
      </c>
      <c r="X36" s="23">
        <f t="shared" ref="X36" si="6">W36/V36*100</f>
        <v>100</v>
      </c>
      <c r="Z36" s="49">
        <v>-23039510</v>
      </c>
    </row>
    <row r="37" spans="1:26" ht="17.100000000000001" customHeight="1" x14ac:dyDescent="0.25">
      <c r="A37" s="20" t="s">
        <v>179</v>
      </c>
      <c r="B37" s="80"/>
      <c r="C37" s="72"/>
      <c r="D37" s="81" t="e">
        <f t="shared" si="0"/>
        <v>#DIV/0!</v>
      </c>
      <c r="E37" s="21"/>
      <c r="F37" s="22"/>
      <c r="G37" s="22"/>
      <c r="H37" s="23"/>
      <c r="I37" s="21">
        <v>0</v>
      </c>
      <c r="J37" s="22"/>
      <c r="K37" s="22"/>
      <c r="L37" s="23"/>
      <c r="M37" s="21"/>
      <c r="N37" s="22"/>
      <c r="O37" s="22"/>
      <c r="P37" s="23"/>
      <c r="Q37" s="80"/>
      <c r="R37" s="72"/>
      <c r="S37" s="72"/>
      <c r="T37" s="81"/>
      <c r="U37" s="21"/>
      <c r="V37" s="22"/>
      <c r="W37" s="22">
        <f t="shared" si="1"/>
        <v>0</v>
      </c>
      <c r="X37" s="23"/>
      <c r="Z37" s="49">
        <v>-72696106</v>
      </c>
    </row>
    <row r="38" spans="1:26" ht="17.100000000000001" customHeight="1" x14ac:dyDescent="0.25">
      <c r="A38" s="20" t="s">
        <v>180</v>
      </c>
      <c r="B38" s="80"/>
      <c r="C38" s="72"/>
      <c r="D38" s="81" t="e">
        <f t="shared" si="0"/>
        <v>#DIV/0!</v>
      </c>
      <c r="E38" s="21"/>
      <c r="F38" s="22"/>
      <c r="G38" s="22"/>
      <c r="H38" s="23"/>
      <c r="I38" s="21"/>
      <c r="J38" s="22"/>
      <c r="K38" s="22"/>
      <c r="L38" s="23"/>
      <c r="M38" s="21"/>
      <c r="N38" s="22"/>
      <c r="O38" s="22"/>
      <c r="P38" s="23"/>
      <c r="Q38" s="80"/>
      <c r="R38" s="72"/>
      <c r="S38" s="72"/>
      <c r="T38" s="81"/>
      <c r="U38" s="21"/>
      <c r="V38" s="22"/>
      <c r="W38" s="22">
        <f t="shared" si="1"/>
        <v>0</v>
      </c>
      <c r="X38" s="23"/>
      <c r="Z38" s="49">
        <v>-5453610</v>
      </c>
    </row>
    <row r="39" spans="1:26" ht="17.100000000000001" customHeight="1" x14ac:dyDescent="0.25">
      <c r="A39" s="20" t="s">
        <v>181</v>
      </c>
      <c r="B39" s="80"/>
      <c r="C39" s="72"/>
      <c r="D39" s="81" t="e">
        <f t="shared" si="0"/>
        <v>#DIV/0!</v>
      </c>
      <c r="E39" s="21"/>
      <c r="F39" s="22"/>
      <c r="G39" s="22"/>
      <c r="H39" s="23"/>
      <c r="I39" s="21"/>
      <c r="J39" s="22"/>
      <c r="K39" s="22"/>
      <c r="L39" s="23"/>
      <c r="M39" s="21"/>
      <c r="N39" s="22"/>
      <c r="O39" s="22"/>
      <c r="P39" s="23"/>
      <c r="Q39" s="80"/>
      <c r="R39" s="72"/>
      <c r="S39" s="72"/>
      <c r="T39" s="81"/>
      <c r="U39" s="21"/>
      <c r="V39" s="22"/>
      <c r="W39" s="22">
        <f t="shared" si="1"/>
        <v>0</v>
      </c>
      <c r="X39" s="23"/>
      <c r="Z39" s="49">
        <v>-6467775</v>
      </c>
    </row>
    <row r="40" spans="1:26" ht="17.100000000000001" customHeight="1" x14ac:dyDescent="0.25">
      <c r="A40" s="20" t="s">
        <v>182</v>
      </c>
      <c r="B40" s="80"/>
      <c r="C40" s="72"/>
      <c r="D40" s="81" t="e">
        <f>C40/B40*100</f>
        <v>#DIV/0!</v>
      </c>
      <c r="E40" s="21"/>
      <c r="F40" s="22">
        <v>54</v>
      </c>
      <c r="G40" s="22">
        <v>54</v>
      </c>
      <c r="H40" s="23">
        <f>G40/F40*100</f>
        <v>100</v>
      </c>
      <c r="I40" s="21"/>
      <c r="J40" s="22">
        <v>808</v>
      </c>
      <c r="K40" s="22">
        <v>808</v>
      </c>
      <c r="L40" s="23">
        <f>K40/J40*100</f>
        <v>100</v>
      </c>
      <c r="M40" s="21"/>
      <c r="N40" s="22"/>
      <c r="O40" s="22"/>
      <c r="P40" s="23"/>
      <c r="Q40" s="80"/>
      <c r="R40" s="72"/>
      <c r="S40" s="72"/>
      <c r="T40" s="81"/>
      <c r="U40" s="21"/>
      <c r="V40" s="22"/>
      <c r="W40" s="22">
        <f>V40</f>
        <v>0</v>
      </c>
      <c r="X40" s="23"/>
      <c r="Z40" s="49">
        <v>-7508706.1799999997</v>
      </c>
    </row>
    <row r="41" spans="1:26" ht="15" customHeight="1" thickBot="1" x14ac:dyDescent="0.3">
      <c r="A41" s="24" t="s">
        <v>183</v>
      </c>
      <c r="B41" s="89"/>
      <c r="C41" s="73"/>
      <c r="D41" s="90" t="e">
        <f>C41/B41*100</f>
        <v>#DIV/0!</v>
      </c>
      <c r="E41" s="25"/>
      <c r="F41" s="26"/>
      <c r="G41" s="26">
        <f t="shared" ref="G41" si="7">F41</f>
        <v>0</v>
      </c>
      <c r="H41" s="27"/>
      <c r="I41" s="25"/>
      <c r="J41" s="26"/>
      <c r="K41" s="26"/>
      <c r="L41" s="27"/>
      <c r="M41" s="25"/>
      <c r="N41" s="26"/>
      <c r="O41" s="26"/>
      <c r="P41" s="27"/>
      <c r="Q41" s="89"/>
      <c r="R41" s="73"/>
      <c r="S41" s="73"/>
      <c r="T41" s="90"/>
      <c r="U41" s="25"/>
      <c r="V41" s="26"/>
      <c r="W41" s="26"/>
      <c r="X41" s="27"/>
      <c r="Z41" s="49">
        <v>-2298000</v>
      </c>
    </row>
    <row r="42" spans="1:26" ht="20.100000000000001" customHeight="1" thickBot="1" x14ac:dyDescent="0.3">
      <c r="A42" s="44"/>
      <c r="E42" s="50"/>
      <c r="F42" s="51"/>
      <c r="G42" s="51"/>
      <c r="H42" s="35"/>
      <c r="I42" s="50"/>
      <c r="J42" s="51"/>
      <c r="K42" s="51"/>
      <c r="L42" s="35"/>
      <c r="M42" s="50"/>
      <c r="N42" s="51"/>
      <c r="O42" s="51"/>
      <c r="P42" s="35"/>
      <c r="U42" s="50"/>
      <c r="V42" s="51"/>
      <c r="W42" s="51"/>
      <c r="X42" s="35"/>
    </row>
    <row r="43" spans="1:26" s="48" customFormat="1" ht="18" customHeight="1" thickBot="1" x14ac:dyDescent="0.3">
      <c r="A43" s="91" t="s">
        <v>198</v>
      </c>
      <c r="B43" s="92">
        <f>SUM(B12:B41)</f>
        <v>0</v>
      </c>
      <c r="C43" s="92">
        <f>SUM(C12:C41)</f>
        <v>0</v>
      </c>
      <c r="D43" s="93" t="e">
        <f>C43/B43*100</f>
        <v>#DIV/0!</v>
      </c>
      <c r="E43" s="36">
        <f>SUM(E12:E41)</f>
        <v>0</v>
      </c>
      <c r="F43" s="42">
        <f>SUM(F12:F41)</f>
        <v>2068</v>
      </c>
      <c r="G43" s="42">
        <f>SUM(G12:G41)</f>
        <v>2068</v>
      </c>
      <c r="H43" s="39">
        <f>G43/F43*100</f>
        <v>100</v>
      </c>
      <c r="I43" s="36"/>
      <c r="J43" s="42">
        <f>SUM(J13:J41)</f>
        <v>44053</v>
      </c>
      <c r="K43" s="42">
        <f>SUM(K13:K41)</f>
        <v>44053</v>
      </c>
      <c r="L43" s="39">
        <f>K43/J43*100</f>
        <v>100</v>
      </c>
      <c r="M43" s="36">
        <f>SUM(M13:M41)</f>
        <v>0</v>
      </c>
      <c r="N43" s="42">
        <f>SUM(N13:N41)</f>
        <v>6170</v>
      </c>
      <c r="O43" s="42">
        <f>SUM(O13:O41)</f>
        <v>6170</v>
      </c>
      <c r="P43" s="39">
        <f>O43/N43*100</f>
        <v>100</v>
      </c>
      <c r="Q43" s="94"/>
      <c r="R43" s="92">
        <f>SUM(R12:R41)</f>
        <v>0</v>
      </c>
      <c r="S43" s="92">
        <f>SUM(S12:S41)</f>
        <v>0</v>
      </c>
      <c r="T43" s="93"/>
      <c r="U43" s="36"/>
      <c r="V43" s="42">
        <f>SUM(V13:V41)</f>
        <v>17484</v>
      </c>
      <c r="W43" s="42">
        <f>SUM(W13:W41)</f>
        <v>17484</v>
      </c>
      <c r="X43" s="39">
        <f>W43/V43*100</f>
        <v>100</v>
      </c>
      <c r="Y43" s="48">
        <f>SUM(Y13:Y42)</f>
        <v>0</v>
      </c>
      <c r="Z43" s="48">
        <f>SUM(Z13:Z41)*-1</f>
        <v>2110621846.0100002</v>
      </c>
    </row>
    <row r="45" spans="1:26" ht="15" customHeight="1" x14ac:dyDescent="0.25"/>
    <row r="47" spans="1:26" x14ac:dyDescent="0.25">
      <c r="A47" s="48">
        <v>2013</v>
      </c>
      <c r="E47" s="40"/>
      <c r="F47" s="40">
        <v>1040</v>
      </c>
      <c r="G47" s="40">
        <v>1040</v>
      </c>
      <c r="H47" s="40"/>
      <c r="I47" s="40"/>
      <c r="J47" s="40">
        <v>24424</v>
      </c>
      <c r="K47" s="40">
        <v>24424</v>
      </c>
      <c r="L47" s="40"/>
      <c r="M47" s="40"/>
      <c r="N47" s="40">
        <v>4334</v>
      </c>
      <c r="O47" s="40">
        <v>4334</v>
      </c>
      <c r="P47" s="40"/>
      <c r="Q47" s="40"/>
      <c r="R47" s="40"/>
      <c r="S47" s="40"/>
      <c r="T47" s="40"/>
      <c r="U47" s="40"/>
      <c r="V47" s="40">
        <v>1572</v>
      </c>
      <c r="W47" s="40">
        <v>1572</v>
      </c>
      <c r="X47" s="40"/>
    </row>
    <row r="48" spans="1:26" x14ac:dyDescent="0.25">
      <c r="A48" s="48">
        <v>2014</v>
      </c>
      <c r="E48" s="40"/>
      <c r="F48" s="40">
        <v>1344</v>
      </c>
      <c r="G48" s="40">
        <v>1344</v>
      </c>
      <c r="H48" s="40"/>
      <c r="I48" s="40"/>
      <c r="J48" s="40">
        <v>35947</v>
      </c>
      <c r="K48" s="40">
        <v>35947</v>
      </c>
      <c r="L48" s="40"/>
      <c r="M48" s="40">
        <v>200</v>
      </c>
      <c r="N48" s="40">
        <v>13767</v>
      </c>
      <c r="O48" s="40">
        <v>13767</v>
      </c>
      <c r="P48" s="40"/>
      <c r="Q48" s="40"/>
      <c r="R48" s="40"/>
      <c r="S48" s="40"/>
      <c r="T48" s="40"/>
      <c r="U48" s="40"/>
      <c r="V48" s="40"/>
      <c r="W48" s="40"/>
      <c r="X48" s="40"/>
    </row>
    <row r="49" spans="1:14" x14ac:dyDescent="0.25">
      <c r="N49" s="49">
        <f>N43-N47</f>
        <v>1836</v>
      </c>
    </row>
    <row r="52" spans="1:14" x14ac:dyDescent="0.25">
      <c r="G52" s="40">
        <f>G47-G48</f>
        <v>-304</v>
      </c>
    </row>
    <row r="53" spans="1:14" x14ac:dyDescent="0.25">
      <c r="G53" s="49">
        <f>G52/G48*100</f>
        <v>-22.61904761904762</v>
      </c>
    </row>
    <row r="56" spans="1:14" x14ac:dyDescent="0.25">
      <c r="A56" s="48">
        <v>2011</v>
      </c>
      <c r="E56" s="40">
        <f>G48+K48+O48</f>
        <v>51058</v>
      </c>
    </row>
    <row r="57" spans="1:14" x14ac:dyDescent="0.25">
      <c r="A57" s="48">
        <v>2012</v>
      </c>
      <c r="E57" s="40">
        <f>G47+K47+O47</f>
        <v>29798</v>
      </c>
    </row>
    <row r="58" spans="1:14" x14ac:dyDescent="0.25">
      <c r="E58" s="40">
        <f>E57-E56</f>
        <v>-21260</v>
      </c>
    </row>
    <row r="59" spans="1:14" x14ac:dyDescent="0.25">
      <c r="E59" s="49">
        <f>E58/E56*100</f>
        <v>-41.638920443417291</v>
      </c>
    </row>
  </sheetData>
  <mergeCells count="32">
    <mergeCell ref="U7:X7"/>
    <mergeCell ref="U11:X11"/>
    <mergeCell ref="U8:X8"/>
    <mergeCell ref="Q7:T7"/>
    <mergeCell ref="I11:L11"/>
    <mergeCell ref="M11:P11"/>
    <mergeCell ref="Q11:T11"/>
    <mergeCell ref="Q8:T8"/>
    <mergeCell ref="I8:L8"/>
    <mergeCell ref="W9:W10"/>
    <mergeCell ref="V9:V10"/>
    <mergeCell ref="U9:U10"/>
    <mergeCell ref="B11:D11"/>
    <mergeCell ref="E11:H11"/>
    <mergeCell ref="I7:L7"/>
    <mergeCell ref="E7:H7"/>
    <mergeCell ref="A2:X2"/>
    <mergeCell ref="A4:X4"/>
    <mergeCell ref="K9:K10"/>
    <mergeCell ref="A7:A10"/>
    <mergeCell ref="M9:M10"/>
    <mergeCell ref="N9:N10"/>
    <mergeCell ref="O9:O10"/>
    <mergeCell ref="E9:E10"/>
    <mergeCell ref="F9:F10"/>
    <mergeCell ref="G9:G10"/>
    <mergeCell ref="I9:I10"/>
    <mergeCell ref="J9:J10"/>
    <mergeCell ref="B7:D7"/>
    <mergeCell ref="M7:P7"/>
    <mergeCell ref="E8:H8"/>
    <mergeCell ref="B8:D8"/>
  </mergeCells>
  <phoneticPr fontId="8" type="noConversion"/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17</Rok>
    <_dlc_DocId xmlns="fc3156d0-6477-4e59-85db-677a3ac3ddef">K6F56YJ4D42X-540-748</_dlc_DocId>
    <_dlc_DocIdUrl xmlns="fc3156d0-6477-4e59-85db-677a3ac3ddef">
      <Url>http://sharepoint.brno.cz/ORF/rozpocet/_layouts/15/DocIdRedir.aspx?ID=K6F56YJ4D42X-540-748</Url>
      <Description>K6F56YJ4D42X-540-748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4C4C1-D683-4842-815B-481C5050BE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FEEF3D-E97D-451D-B9D3-5C1C6599D57C}">
  <ds:schemaRefs>
    <ds:schemaRef ds:uri="http://schemas.microsoft.com/office/2006/documentManagement/types"/>
    <ds:schemaRef ds:uri="http://purl.org/dc/elements/1.1/"/>
    <ds:schemaRef ds:uri="http://purl.org/dc/terms/"/>
    <ds:schemaRef ds:uri="626c80ca-c64a-4e2b-8fdc-4ca129da90da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c3156d0-6477-4e59-85db-677a3ac3dd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2ED73E-A138-4C30-944E-CE364A2A90C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C83EB0D-86D3-46A1-A51A-D2492BCE4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Příjmy a Výdaje </vt:lpstr>
      <vt:lpstr>Příjmy </vt:lpstr>
      <vt:lpstr>Daňové příjmy</vt:lpstr>
      <vt:lpstr>Ost.daně=Místní popl.</vt:lpstr>
      <vt:lpstr>Nedaňové příjmy</vt:lpstr>
      <vt:lpstr>Kapitálové příjmy</vt:lpstr>
      <vt:lpstr>Transfery neinvestiční 2.5</vt:lpstr>
      <vt:lpstr>Transfery nein.2.5a</vt:lpstr>
      <vt:lpstr>Transfery investiční</vt:lpstr>
      <vt:lpstr>Výdaje </vt:lpstr>
      <vt:lpstr>Běžné výdaje</vt:lpstr>
      <vt:lpstr>Kapitálové výdaje</vt:lpstr>
      <vt:lpstr>Financování</vt:lpstr>
      <vt:lpstr>'Běžné výdaje'!Oblast_tisku</vt:lpstr>
      <vt:lpstr>'Daňové příjmy'!Oblast_tisku</vt:lpstr>
      <vt:lpstr>Financování!Oblast_tisku</vt:lpstr>
      <vt:lpstr>'Kapitálové příjmy'!Oblast_tisku</vt:lpstr>
      <vt:lpstr>'Kapitálové výdaje'!Oblast_tisku</vt:lpstr>
      <vt:lpstr>'Nedaňové příjmy'!Oblast_tisku</vt:lpstr>
      <vt:lpstr>'Ost.daně=Místní popl.'!Oblast_tisku</vt:lpstr>
      <vt:lpstr>'Příjmy '!Oblast_tisku</vt:lpstr>
      <vt:lpstr>'Příjmy a Výdaje '!Oblast_tisku</vt:lpstr>
      <vt:lpstr>'Transfery investiční'!Oblast_tisku</vt:lpstr>
      <vt:lpstr>'Transfery nein.2.5a'!Oblast_tisku</vt:lpstr>
      <vt:lpstr>'Transfery neinvestiční 2.5'!Oblast_tisku</vt:lpstr>
      <vt:lpstr>'Výdaje 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Jiri Trnecka</cp:lastModifiedBy>
  <cp:lastPrinted>2016-04-08T13:10:25Z</cp:lastPrinted>
  <dcterms:created xsi:type="dcterms:W3CDTF">1999-07-13T07:42:57Z</dcterms:created>
  <dcterms:modified xsi:type="dcterms:W3CDTF">2016-04-08T13:10:40Z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7ddfbed4-fda8-4bc6-ac34-a4aacf9408a8</vt:lpwstr>
  </property>
</Properties>
</file>